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Downloads\"/>
    </mc:Choice>
  </mc:AlternateContent>
  <xr:revisionPtr revIDLastSave="0" documentId="13_ncr:1_{41880A83-F5EA-4C06-BA29-ECE5646AFED2}" xr6:coauthVersionLast="47" xr6:coauthVersionMax="47" xr10:uidLastSave="{00000000-0000-0000-0000-000000000000}"/>
  <bookViews>
    <workbookView minimized="1" xWindow="1520" yWindow="1520" windowWidth="14400" windowHeight="7360" tabRatio="876" firstSheet="10" activeTab="13" xr2:uid="{BD5A8815-E147-49CD-966C-BFDDEA25D491}"/>
  </bookViews>
  <sheets>
    <sheet name="Rev Buildup" sheetId="1" r:id="rId1"/>
    <sheet name="BS" sheetId="2" r:id="rId2"/>
    <sheet name="PL" sheetId="3" r:id="rId3"/>
    <sheet name="Income Statement" sheetId="4" r:id="rId4"/>
    <sheet name="Bal Sheet" sheetId="8" r:id="rId5"/>
    <sheet name="WC" sheetId="9" r:id="rId6"/>
    <sheet name="Euity" sheetId="10" r:id="rId7"/>
    <sheet name="Ratios" sheetId="22" r:id="rId8"/>
    <sheet name="Other long Term Items" sheetId="20" r:id="rId9"/>
    <sheet name="Cost Sheet" sheetId="5" r:id="rId10"/>
    <sheet name="Cash Flow" sheetId="19" r:id="rId11"/>
    <sheet name="Depreciation" sheetId="14" r:id="rId12"/>
    <sheet name="Ammortisation" sheetId="12" r:id="rId13"/>
    <sheet name="DCF" sheetId="13" r:id="rId14"/>
    <sheet name="DEbT &amp; Int1" sheetId="21" r:id="rId15"/>
    <sheet name="Sensex Returns" sheetId="16" r:id="rId16"/>
    <sheet name="M&amp;M 1 year" sheetId="27" r:id="rId17"/>
    <sheet name="Sensex 1year" sheetId="25" r:id="rId18"/>
    <sheet name="Sensex 10 year" sheetId="26" r:id="rId19"/>
    <sheet name="Beta" sheetId="17" r:id="rId20"/>
    <sheet name="WACC" sheetId="18" r:id="rId21"/>
  </sheets>
  <definedNames>
    <definedName name="Capex_Breakup">Depreciation!$A$39:$L$46</definedName>
    <definedName name="GrossIntang_Breakup">Ammortisation!$A$24:$F$28</definedName>
    <definedName name="GrossPPE_Breakup">Depreciation!$A$24:$E$32</definedName>
    <definedName name="IntangExpense_Breakup">Ammortisation!$A$35:$L$38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8" l="1"/>
  <c r="K87" i="13"/>
  <c r="L87" i="13" s="1"/>
  <c r="M87" i="13" s="1"/>
  <c r="N87" i="13" s="1"/>
  <c r="O87" i="13" s="1"/>
  <c r="J87" i="13"/>
  <c r="H90" i="13"/>
  <c r="H91" i="13" s="1"/>
  <c r="H92" i="13" s="1"/>
  <c r="H93" i="13" s="1"/>
  <c r="H94" i="13" s="1"/>
  <c r="H95" i="13" s="1"/>
  <c r="H89" i="13"/>
  <c r="R80" i="13"/>
  <c r="R78" i="13"/>
  <c r="R79" i="13" s="1"/>
  <c r="T76" i="13"/>
  <c r="U76" i="13" s="1"/>
  <c r="V76" i="13" s="1"/>
  <c r="W76" i="13" s="1"/>
  <c r="X76" i="13" s="1"/>
  <c r="Y76" i="13" s="1"/>
  <c r="K76" i="13"/>
  <c r="L76" i="13" s="1"/>
  <c r="M76" i="13" s="1"/>
  <c r="N76" i="13" s="1"/>
  <c r="O76" i="13" s="1"/>
  <c r="J76" i="13"/>
  <c r="H78" i="13"/>
  <c r="H79" i="13" s="1"/>
  <c r="H80" i="13" s="1"/>
  <c r="H81" i="13" s="1"/>
  <c r="H82" i="13" s="1"/>
  <c r="H83" i="13" s="1"/>
  <c r="D56" i="13"/>
  <c r="D51" i="13"/>
  <c r="D50" i="13"/>
  <c r="O44" i="13"/>
  <c r="N44" i="13"/>
  <c r="P44" i="13" s="1"/>
  <c r="C15" i="13"/>
  <c r="C56" i="13"/>
  <c r="C51" i="13"/>
  <c r="C50" i="13"/>
  <c r="L46" i="13"/>
  <c r="K46" i="13"/>
  <c r="J46" i="13"/>
  <c r="I46" i="13"/>
  <c r="H46" i="13"/>
  <c r="C30" i="22"/>
  <c r="L30" i="22"/>
  <c r="K30" i="22"/>
  <c r="J30" i="22"/>
  <c r="I30" i="22"/>
  <c r="H30" i="22"/>
  <c r="G30" i="22"/>
  <c r="F30" i="22"/>
  <c r="E30" i="22"/>
  <c r="D30" i="22"/>
  <c r="G27" i="22"/>
  <c r="F27" i="22"/>
  <c r="E27" i="22"/>
  <c r="D27" i="22"/>
  <c r="C27" i="22"/>
  <c r="G26" i="22"/>
  <c r="F26" i="22"/>
  <c r="E26" i="22"/>
  <c r="D26" i="22"/>
  <c r="C26" i="22"/>
  <c r="G25" i="22"/>
  <c r="F25" i="22"/>
  <c r="E25" i="22"/>
  <c r="D25" i="22"/>
  <c r="C25" i="22"/>
  <c r="G24" i="22"/>
  <c r="F24" i="22"/>
  <c r="E24" i="22"/>
  <c r="D24" i="22"/>
  <c r="C24" i="22"/>
  <c r="G23" i="22"/>
  <c r="F23" i="22"/>
  <c r="E23" i="22"/>
  <c r="D23" i="22"/>
  <c r="C23" i="22"/>
  <c r="G19" i="22"/>
  <c r="F19" i="22"/>
  <c r="E19" i="22"/>
  <c r="D19" i="22"/>
  <c r="C19" i="22"/>
  <c r="G18" i="22"/>
  <c r="F18" i="22"/>
  <c r="E18" i="22"/>
  <c r="D18" i="22"/>
  <c r="C18" i="22"/>
  <c r="G15" i="22"/>
  <c r="F15" i="22"/>
  <c r="E15" i="22"/>
  <c r="D15" i="22"/>
  <c r="C15" i="22"/>
  <c r="G14" i="22"/>
  <c r="F14" i="22"/>
  <c r="E14" i="22"/>
  <c r="D14" i="22"/>
  <c r="C14" i="22"/>
  <c r="G13" i="22"/>
  <c r="F13" i="22"/>
  <c r="E13" i="22"/>
  <c r="D13" i="22"/>
  <c r="C13" i="22"/>
  <c r="G12" i="22"/>
  <c r="F12" i="22"/>
  <c r="E12" i="22"/>
  <c r="D12" i="22"/>
  <c r="C12" i="22"/>
  <c r="G11" i="22"/>
  <c r="F11" i="22"/>
  <c r="E11" i="22"/>
  <c r="D11" i="22"/>
  <c r="C11" i="22"/>
  <c r="L10" i="22"/>
  <c r="K10" i="22"/>
  <c r="J10" i="22"/>
  <c r="I10" i="22"/>
  <c r="H10" i="22"/>
  <c r="G10" i="22"/>
  <c r="F10" i="22"/>
  <c r="E10" i="22"/>
  <c r="D10" i="22"/>
  <c r="C10" i="22"/>
  <c r="C36" i="13"/>
  <c r="G36" i="13"/>
  <c r="C9" i="13"/>
  <c r="B8" i="18"/>
  <c r="E250" i="17"/>
  <c r="D250" i="17"/>
  <c r="E249" i="17"/>
  <c r="D249" i="17"/>
  <c r="E248" i="17"/>
  <c r="D248" i="17"/>
  <c r="E247" i="17"/>
  <c r="D247" i="17"/>
  <c r="E246" i="17"/>
  <c r="D246" i="17"/>
  <c r="E245" i="17"/>
  <c r="D245" i="17"/>
  <c r="E244" i="17"/>
  <c r="D244" i="17"/>
  <c r="E243" i="17"/>
  <c r="D243" i="17"/>
  <c r="E242" i="17"/>
  <c r="D242" i="17"/>
  <c r="E241" i="17"/>
  <c r="D241" i="17"/>
  <c r="E240" i="17"/>
  <c r="D240" i="17"/>
  <c r="E239" i="17"/>
  <c r="D239" i="17"/>
  <c r="E238" i="17"/>
  <c r="D238" i="17"/>
  <c r="E237" i="17"/>
  <c r="D237" i="17"/>
  <c r="E236" i="17"/>
  <c r="D236" i="17"/>
  <c r="E235" i="17"/>
  <c r="D235" i="17"/>
  <c r="E234" i="17"/>
  <c r="D234" i="17"/>
  <c r="E233" i="17"/>
  <c r="D233" i="17"/>
  <c r="E232" i="17"/>
  <c r="D232" i="17"/>
  <c r="E231" i="17"/>
  <c r="D231" i="17"/>
  <c r="E230" i="17"/>
  <c r="D230" i="17"/>
  <c r="E229" i="17"/>
  <c r="D229" i="17"/>
  <c r="E228" i="17"/>
  <c r="D228" i="17"/>
  <c r="E227" i="17"/>
  <c r="D227" i="17"/>
  <c r="E226" i="17"/>
  <c r="D226" i="17"/>
  <c r="E225" i="17"/>
  <c r="D225" i="17"/>
  <c r="E224" i="17"/>
  <c r="D224" i="17"/>
  <c r="E223" i="17"/>
  <c r="D223" i="17"/>
  <c r="E222" i="17"/>
  <c r="D222" i="17"/>
  <c r="E221" i="17"/>
  <c r="D221" i="17"/>
  <c r="E220" i="17"/>
  <c r="D220" i="17"/>
  <c r="E219" i="17"/>
  <c r="D219" i="17"/>
  <c r="E218" i="17"/>
  <c r="D218" i="17"/>
  <c r="E217" i="17"/>
  <c r="D217" i="17"/>
  <c r="E216" i="17"/>
  <c r="D216" i="17"/>
  <c r="E215" i="17"/>
  <c r="D215" i="17"/>
  <c r="E214" i="17"/>
  <c r="D214" i="17"/>
  <c r="E213" i="17"/>
  <c r="D213" i="17"/>
  <c r="E212" i="17"/>
  <c r="D212" i="17"/>
  <c r="E211" i="17"/>
  <c r="D211" i="17"/>
  <c r="E210" i="17"/>
  <c r="D210" i="17"/>
  <c r="E209" i="17"/>
  <c r="D209" i="17"/>
  <c r="E208" i="17"/>
  <c r="D208" i="17"/>
  <c r="E207" i="17"/>
  <c r="D207" i="17"/>
  <c r="E206" i="17"/>
  <c r="D206" i="17"/>
  <c r="E205" i="17"/>
  <c r="D205" i="17"/>
  <c r="E204" i="17"/>
  <c r="D204" i="17"/>
  <c r="E203" i="17"/>
  <c r="D203" i="17"/>
  <c r="E202" i="17"/>
  <c r="D202" i="17"/>
  <c r="E201" i="17"/>
  <c r="D201" i="17"/>
  <c r="E200" i="17"/>
  <c r="D200" i="17"/>
  <c r="E199" i="17"/>
  <c r="D199" i="17"/>
  <c r="E198" i="17"/>
  <c r="D198" i="17"/>
  <c r="E197" i="17"/>
  <c r="D197" i="17"/>
  <c r="E196" i="17"/>
  <c r="D196" i="17"/>
  <c r="E195" i="17"/>
  <c r="D195" i="17"/>
  <c r="E194" i="17"/>
  <c r="D194" i="17"/>
  <c r="E193" i="17"/>
  <c r="D193" i="17"/>
  <c r="E192" i="17"/>
  <c r="D192" i="17"/>
  <c r="E191" i="17"/>
  <c r="D191" i="17"/>
  <c r="E190" i="17"/>
  <c r="D190" i="17"/>
  <c r="E189" i="17"/>
  <c r="D189" i="17"/>
  <c r="E188" i="17"/>
  <c r="D188" i="17"/>
  <c r="E187" i="17"/>
  <c r="D187" i="17"/>
  <c r="E186" i="17"/>
  <c r="D186" i="17"/>
  <c r="E185" i="17"/>
  <c r="D185" i="17"/>
  <c r="E184" i="17"/>
  <c r="D184" i="17"/>
  <c r="E183" i="17"/>
  <c r="D183" i="17"/>
  <c r="E182" i="17"/>
  <c r="D182" i="17"/>
  <c r="E181" i="17"/>
  <c r="D181" i="17"/>
  <c r="E180" i="17"/>
  <c r="D180" i="17"/>
  <c r="E179" i="17"/>
  <c r="D179" i="17"/>
  <c r="E178" i="17"/>
  <c r="D178" i="17"/>
  <c r="E177" i="17"/>
  <c r="D177" i="17"/>
  <c r="E176" i="17"/>
  <c r="D176" i="17"/>
  <c r="E175" i="17"/>
  <c r="D175" i="17"/>
  <c r="E174" i="17"/>
  <c r="D174" i="17"/>
  <c r="E173" i="17"/>
  <c r="D173" i="17"/>
  <c r="E172" i="17"/>
  <c r="D172" i="17"/>
  <c r="E171" i="17"/>
  <c r="D171" i="17"/>
  <c r="E170" i="17"/>
  <c r="D170" i="17"/>
  <c r="E169" i="17"/>
  <c r="D169" i="17"/>
  <c r="E168" i="17"/>
  <c r="D168" i="17"/>
  <c r="E167" i="17"/>
  <c r="D167" i="17"/>
  <c r="E166" i="17"/>
  <c r="D166" i="17"/>
  <c r="E165" i="17"/>
  <c r="D165" i="17"/>
  <c r="E164" i="17"/>
  <c r="D164" i="17"/>
  <c r="E163" i="17"/>
  <c r="D163" i="17"/>
  <c r="E162" i="17"/>
  <c r="D162" i="17"/>
  <c r="E161" i="17"/>
  <c r="D161" i="17"/>
  <c r="E160" i="17"/>
  <c r="D160" i="17"/>
  <c r="E159" i="17"/>
  <c r="D159" i="17"/>
  <c r="E158" i="17"/>
  <c r="D158" i="17"/>
  <c r="E157" i="17"/>
  <c r="D157" i="17"/>
  <c r="E156" i="17"/>
  <c r="D156" i="17"/>
  <c r="E155" i="17"/>
  <c r="D155" i="17"/>
  <c r="E154" i="17"/>
  <c r="D154" i="17"/>
  <c r="E153" i="17"/>
  <c r="D153" i="17"/>
  <c r="E152" i="17"/>
  <c r="D152" i="17"/>
  <c r="E151" i="17"/>
  <c r="D151" i="17"/>
  <c r="E150" i="17"/>
  <c r="D150" i="17"/>
  <c r="E149" i="17"/>
  <c r="D149" i="17"/>
  <c r="E148" i="17"/>
  <c r="D148" i="17"/>
  <c r="E147" i="17"/>
  <c r="D147" i="17"/>
  <c r="E146" i="17"/>
  <c r="D146" i="17"/>
  <c r="E145" i="17"/>
  <c r="D145" i="17"/>
  <c r="E144" i="17"/>
  <c r="D144" i="17"/>
  <c r="E143" i="17"/>
  <c r="D143" i="17"/>
  <c r="E142" i="17"/>
  <c r="D142" i="17"/>
  <c r="E141" i="17"/>
  <c r="D141" i="17"/>
  <c r="E140" i="17"/>
  <c r="D140" i="17"/>
  <c r="E139" i="17"/>
  <c r="D139" i="17"/>
  <c r="E138" i="17"/>
  <c r="D138" i="17"/>
  <c r="E137" i="17"/>
  <c r="D137" i="17"/>
  <c r="E136" i="17"/>
  <c r="D136" i="17"/>
  <c r="E135" i="17"/>
  <c r="D135" i="17"/>
  <c r="E134" i="17"/>
  <c r="D134" i="17"/>
  <c r="E133" i="17"/>
  <c r="D133" i="17"/>
  <c r="E132" i="17"/>
  <c r="D132" i="17"/>
  <c r="E131" i="17"/>
  <c r="D131" i="17"/>
  <c r="E130" i="17"/>
  <c r="D130" i="17"/>
  <c r="E129" i="17"/>
  <c r="D129" i="17"/>
  <c r="E128" i="17"/>
  <c r="D128" i="17"/>
  <c r="E127" i="17"/>
  <c r="D127" i="17"/>
  <c r="E126" i="17"/>
  <c r="D126" i="17"/>
  <c r="E125" i="17"/>
  <c r="D125" i="17"/>
  <c r="E124" i="17"/>
  <c r="D124" i="17"/>
  <c r="E123" i="17"/>
  <c r="D123" i="17"/>
  <c r="E122" i="17"/>
  <c r="D122" i="17"/>
  <c r="E121" i="17"/>
  <c r="D121" i="17"/>
  <c r="E120" i="17"/>
  <c r="D120" i="17"/>
  <c r="E119" i="17"/>
  <c r="D119" i="17"/>
  <c r="E118" i="17"/>
  <c r="D118" i="17"/>
  <c r="E117" i="17"/>
  <c r="D117" i="17"/>
  <c r="E116" i="17"/>
  <c r="D116" i="17"/>
  <c r="E115" i="17"/>
  <c r="D115" i="17"/>
  <c r="E114" i="17"/>
  <c r="D114" i="17"/>
  <c r="E113" i="17"/>
  <c r="D113" i="17"/>
  <c r="E112" i="17"/>
  <c r="D112" i="17"/>
  <c r="E111" i="17"/>
  <c r="D111" i="17"/>
  <c r="E110" i="17"/>
  <c r="D110" i="17"/>
  <c r="E109" i="17"/>
  <c r="D109" i="17"/>
  <c r="E108" i="17"/>
  <c r="D108" i="17"/>
  <c r="E107" i="17"/>
  <c r="D107" i="17"/>
  <c r="E106" i="17"/>
  <c r="D106" i="17"/>
  <c r="E105" i="17"/>
  <c r="D105" i="17"/>
  <c r="E104" i="17"/>
  <c r="D104" i="17"/>
  <c r="E103" i="17"/>
  <c r="D103" i="17"/>
  <c r="E102" i="17"/>
  <c r="D102" i="17"/>
  <c r="E101" i="17"/>
  <c r="D101" i="17"/>
  <c r="E100" i="17"/>
  <c r="D100" i="17"/>
  <c r="E99" i="17"/>
  <c r="D99" i="17"/>
  <c r="E98" i="17"/>
  <c r="D98" i="17"/>
  <c r="E97" i="17"/>
  <c r="D97" i="17"/>
  <c r="E96" i="17"/>
  <c r="D96" i="17"/>
  <c r="E95" i="17"/>
  <c r="D95" i="17"/>
  <c r="E94" i="17"/>
  <c r="D94" i="17"/>
  <c r="E93" i="17"/>
  <c r="D93" i="17"/>
  <c r="E92" i="17"/>
  <c r="D92" i="17"/>
  <c r="E91" i="17"/>
  <c r="D91" i="17"/>
  <c r="E90" i="17"/>
  <c r="D90" i="17"/>
  <c r="E89" i="17"/>
  <c r="D89" i="17"/>
  <c r="E88" i="17"/>
  <c r="D88" i="17"/>
  <c r="E87" i="17"/>
  <c r="D87" i="17"/>
  <c r="E86" i="17"/>
  <c r="D86" i="17"/>
  <c r="E85" i="17"/>
  <c r="D85" i="17"/>
  <c r="E84" i="17"/>
  <c r="D84" i="17"/>
  <c r="E83" i="17"/>
  <c r="D83" i="17"/>
  <c r="E82" i="17"/>
  <c r="D82" i="17"/>
  <c r="E81" i="17"/>
  <c r="D81" i="17"/>
  <c r="E80" i="17"/>
  <c r="D80" i="17"/>
  <c r="E79" i="17"/>
  <c r="D79" i="17"/>
  <c r="E78" i="17"/>
  <c r="D78" i="17"/>
  <c r="E77" i="17"/>
  <c r="D77" i="17"/>
  <c r="E76" i="17"/>
  <c r="D76" i="17"/>
  <c r="E75" i="17"/>
  <c r="D75" i="17"/>
  <c r="E74" i="17"/>
  <c r="D74" i="17"/>
  <c r="E73" i="17"/>
  <c r="D73" i="17"/>
  <c r="E72" i="17"/>
  <c r="D72" i="17"/>
  <c r="E71" i="17"/>
  <c r="D71" i="17"/>
  <c r="E70" i="17"/>
  <c r="D70" i="17"/>
  <c r="E69" i="17"/>
  <c r="D69" i="17"/>
  <c r="E68" i="17"/>
  <c r="D68" i="17"/>
  <c r="E67" i="17"/>
  <c r="D67" i="17"/>
  <c r="E66" i="17"/>
  <c r="D66" i="17"/>
  <c r="E65" i="17"/>
  <c r="D65" i="17"/>
  <c r="E64" i="17"/>
  <c r="D64" i="17"/>
  <c r="E63" i="17"/>
  <c r="D63" i="17"/>
  <c r="E62" i="17"/>
  <c r="D62" i="17"/>
  <c r="E61" i="17"/>
  <c r="D61" i="17"/>
  <c r="E60" i="17"/>
  <c r="D60" i="17"/>
  <c r="E59" i="17"/>
  <c r="D59" i="17"/>
  <c r="E58" i="17"/>
  <c r="D58" i="17"/>
  <c r="E57" i="17"/>
  <c r="D57" i="17"/>
  <c r="E56" i="17"/>
  <c r="D56" i="17"/>
  <c r="E55" i="17"/>
  <c r="D55" i="17"/>
  <c r="E54" i="17"/>
  <c r="D54" i="17"/>
  <c r="E53" i="17"/>
  <c r="D53" i="17"/>
  <c r="E52" i="17"/>
  <c r="D52" i="17"/>
  <c r="E51" i="17"/>
  <c r="D51" i="17"/>
  <c r="E50" i="17"/>
  <c r="D50" i="17"/>
  <c r="E49" i="17"/>
  <c r="D49" i="17"/>
  <c r="E48" i="17"/>
  <c r="D48" i="17"/>
  <c r="E47" i="17"/>
  <c r="D47" i="17"/>
  <c r="E46" i="17"/>
  <c r="D46" i="17"/>
  <c r="E45" i="17"/>
  <c r="D45" i="17"/>
  <c r="E44" i="17"/>
  <c r="D44" i="17"/>
  <c r="E43" i="17"/>
  <c r="D43" i="17"/>
  <c r="E42" i="17"/>
  <c r="D42" i="17"/>
  <c r="E41" i="17"/>
  <c r="D41" i="17"/>
  <c r="E40" i="17"/>
  <c r="D40" i="17"/>
  <c r="E39" i="17"/>
  <c r="D39" i="17"/>
  <c r="E38" i="17"/>
  <c r="D38" i="17"/>
  <c r="E37" i="17"/>
  <c r="D37" i="17"/>
  <c r="E36" i="17"/>
  <c r="D36" i="17"/>
  <c r="E35" i="17"/>
  <c r="D35" i="17"/>
  <c r="E34" i="17"/>
  <c r="D34" i="17"/>
  <c r="E33" i="17"/>
  <c r="D33" i="17"/>
  <c r="E32" i="17"/>
  <c r="D32" i="17"/>
  <c r="E31" i="17"/>
  <c r="D31" i="17"/>
  <c r="E30" i="17"/>
  <c r="D30" i="17"/>
  <c r="E29" i="17"/>
  <c r="D29" i="17"/>
  <c r="E28" i="17"/>
  <c r="D28" i="17"/>
  <c r="E27" i="17"/>
  <c r="D27" i="17"/>
  <c r="E26" i="17"/>
  <c r="D26" i="17"/>
  <c r="E25" i="17"/>
  <c r="D25" i="17"/>
  <c r="E24" i="17"/>
  <c r="D24" i="17"/>
  <c r="E23" i="17"/>
  <c r="D23" i="17"/>
  <c r="E22" i="17"/>
  <c r="D22" i="17"/>
  <c r="E21" i="17"/>
  <c r="D21" i="17"/>
  <c r="E20" i="17"/>
  <c r="D20" i="17"/>
  <c r="E19" i="17"/>
  <c r="D19" i="17"/>
  <c r="E18" i="17"/>
  <c r="D18" i="17"/>
  <c r="E17" i="17"/>
  <c r="D17" i="17"/>
  <c r="E16" i="17"/>
  <c r="D16" i="17"/>
  <c r="E15" i="17"/>
  <c r="D15" i="17"/>
  <c r="E14" i="17"/>
  <c r="D14" i="17"/>
  <c r="E13" i="17"/>
  <c r="D13" i="17"/>
  <c r="E12" i="17"/>
  <c r="D12" i="17"/>
  <c r="E11" i="17"/>
  <c r="D11" i="17"/>
  <c r="E10" i="17"/>
  <c r="D10" i="17"/>
  <c r="E9" i="17"/>
  <c r="D9" i="17"/>
  <c r="E8" i="17"/>
  <c r="D8" i="17"/>
  <c r="E7" i="17"/>
  <c r="D7" i="17"/>
  <c r="E6" i="17"/>
  <c r="D6" i="17"/>
  <c r="E5" i="17"/>
  <c r="D5" i="17"/>
  <c r="D4" i="17"/>
  <c r="H9" i="17" s="1"/>
  <c r="B10" i="18" s="1"/>
  <c r="C10" i="13" s="1"/>
  <c r="E4" i="17"/>
  <c r="E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C122" i="16"/>
  <c r="C121" i="16"/>
  <c r="C120" i="16"/>
  <c r="C119" i="16"/>
  <c r="C118" i="16"/>
  <c r="C117" i="16"/>
  <c r="C116" i="16"/>
  <c r="C115" i="16"/>
  <c r="C114" i="16"/>
  <c r="C113" i="16"/>
  <c r="C112" i="16"/>
  <c r="C111" i="16"/>
  <c r="C110" i="16"/>
  <c r="C109" i="16"/>
  <c r="C108" i="16"/>
  <c r="C107" i="16"/>
  <c r="C106" i="16"/>
  <c r="C105" i="16"/>
  <c r="C104" i="16"/>
  <c r="C103" i="16"/>
  <c r="C102" i="16"/>
  <c r="C101" i="16"/>
  <c r="C100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5" i="16"/>
  <c r="C84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124" i="16" s="1"/>
  <c r="C126" i="16" s="1"/>
  <c r="E54" i="21"/>
  <c r="D54" i="21"/>
  <c r="E19" i="20"/>
  <c r="D19" i="20"/>
  <c r="C15" i="20"/>
  <c r="G14" i="20"/>
  <c r="D14" i="20"/>
  <c r="F12" i="20"/>
  <c r="I42" i="8"/>
  <c r="J42" i="8"/>
  <c r="K42" i="8" s="1"/>
  <c r="L42" i="8" s="1"/>
  <c r="I41" i="8"/>
  <c r="J41" i="8" s="1"/>
  <c r="K41" i="8" s="1"/>
  <c r="L41" i="8" s="1"/>
  <c r="G42" i="8"/>
  <c r="H42" i="8" s="1"/>
  <c r="F42" i="8"/>
  <c r="E42" i="8"/>
  <c r="D42" i="8"/>
  <c r="C42" i="8"/>
  <c r="G40" i="8"/>
  <c r="G21" i="12" s="1"/>
  <c r="F40" i="8"/>
  <c r="E40" i="8"/>
  <c r="D40" i="8"/>
  <c r="C40" i="8"/>
  <c r="C43" i="12"/>
  <c r="E28" i="14"/>
  <c r="I93" i="12"/>
  <c r="J93" i="12"/>
  <c r="K93" i="12"/>
  <c r="L93" i="12" s="1"/>
  <c r="D93" i="12"/>
  <c r="E93" i="12"/>
  <c r="F93" i="12"/>
  <c r="G93" i="12"/>
  <c r="I76" i="12"/>
  <c r="J76" i="12"/>
  <c r="K76" i="12"/>
  <c r="L76" i="12" s="1"/>
  <c r="D76" i="12"/>
  <c r="E76" i="12" s="1"/>
  <c r="F76" i="12" s="1"/>
  <c r="G76" i="12" s="1"/>
  <c r="B59" i="12"/>
  <c r="A59" i="12"/>
  <c r="J59" i="12"/>
  <c r="K59" i="12"/>
  <c r="L59" i="12" s="1"/>
  <c r="I59" i="12"/>
  <c r="D59" i="12"/>
  <c r="E59" i="12" s="1"/>
  <c r="F59" i="12" s="1"/>
  <c r="G59" i="12" s="1"/>
  <c r="A42" i="12"/>
  <c r="D30" i="12"/>
  <c r="C30" i="12"/>
  <c r="F26" i="12" s="1"/>
  <c r="F25" i="12"/>
  <c r="J152" i="14"/>
  <c r="K152" i="14" s="1"/>
  <c r="L152" i="14" s="1"/>
  <c r="I152" i="14"/>
  <c r="D152" i="14"/>
  <c r="E152" i="14" s="1"/>
  <c r="F152" i="14" s="1"/>
  <c r="G152" i="14" s="1"/>
  <c r="J135" i="14"/>
  <c r="K135" i="14"/>
  <c r="L135" i="14" s="1"/>
  <c r="I135" i="14"/>
  <c r="D135" i="14"/>
  <c r="E135" i="14" s="1"/>
  <c r="F135" i="14" s="1"/>
  <c r="G135" i="14" s="1"/>
  <c r="I118" i="14"/>
  <c r="J118" i="14" s="1"/>
  <c r="K118" i="14" s="1"/>
  <c r="L118" i="14" s="1"/>
  <c r="E118" i="14"/>
  <c r="F118" i="14" s="1"/>
  <c r="G118" i="14" s="1"/>
  <c r="D118" i="14"/>
  <c r="J101" i="14"/>
  <c r="K101" i="14" s="1"/>
  <c r="L101" i="14" s="1"/>
  <c r="I101" i="14"/>
  <c r="D101" i="14"/>
  <c r="E101" i="14" s="1"/>
  <c r="F101" i="14" s="1"/>
  <c r="G101" i="14" s="1"/>
  <c r="I84" i="14"/>
  <c r="J84" i="14" s="1"/>
  <c r="K84" i="14" s="1"/>
  <c r="L84" i="14" s="1"/>
  <c r="D84" i="14"/>
  <c r="E84" i="14" s="1"/>
  <c r="F84" i="14" s="1"/>
  <c r="G84" i="14" s="1"/>
  <c r="B67" i="14"/>
  <c r="A67" i="14" s="1"/>
  <c r="I67" i="14"/>
  <c r="J67" i="14" s="1"/>
  <c r="K67" i="14" s="1"/>
  <c r="L67" i="14" s="1"/>
  <c r="D67" i="14"/>
  <c r="E67" i="14"/>
  <c r="F67" i="14"/>
  <c r="G67" i="14" s="1"/>
  <c r="A50" i="14"/>
  <c r="C53" i="14" s="1"/>
  <c r="G53" i="14" s="1"/>
  <c r="H53" i="14" s="1"/>
  <c r="D34" i="14"/>
  <c r="C34" i="14"/>
  <c r="F25" i="14"/>
  <c r="G15" i="10"/>
  <c r="H9" i="10" s="1"/>
  <c r="G22" i="9"/>
  <c r="D21" i="9"/>
  <c r="G20" i="9"/>
  <c r="D17" i="9"/>
  <c r="D16" i="9"/>
  <c r="E15" i="9"/>
  <c r="D15" i="9"/>
  <c r="G14" i="9"/>
  <c r="F13" i="9"/>
  <c r="F18" i="9" s="1"/>
  <c r="C16" i="9"/>
  <c r="C15" i="9"/>
  <c r="G57" i="8"/>
  <c r="G17" i="9" s="1"/>
  <c r="F57" i="8"/>
  <c r="F17" i="9" s="1"/>
  <c r="E57" i="8"/>
  <c r="E17" i="9" s="1"/>
  <c r="D57" i="8"/>
  <c r="G56" i="8"/>
  <c r="G16" i="9" s="1"/>
  <c r="F56" i="8"/>
  <c r="F16" i="9" s="1"/>
  <c r="E56" i="8"/>
  <c r="E16" i="9" s="1"/>
  <c r="D56" i="8"/>
  <c r="G55" i="8"/>
  <c r="F55" i="8"/>
  <c r="E55" i="8"/>
  <c r="D55" i="8"/>
  <c r="G54" i="8"/>
  <c r="G15" i="9" s="1"/>
  <c r="F54" i="8"/>
  <c r="F15" i="9" s="1"/>
  <c r="E54" i="8"/>
  <c r="D54" i="8"/>
  <c r="G53" i="8"/>
  <c r="F53" i="8"/>
  <c r="F14" i="9" s="1"/>
  <c r="E53" i="8"/>
  <c r="E14" i="9" s="1"/>
  <c r="D53" i="8"/>
  <c r="D58" i="8" s="1"/>
  <c r="G52" i="8"/>
  <c r="G13" i="9" s="1"/>
  <c r="F52" i="8"/>
  <c r="E52" i="8"/>
  <c r="D52" i="8"/>
  <c r="D13" i="9" s="1"/>
  <c r="C57" i="8"/>
  <c r="C17" i="9" s="1"/>
  <c r="C56" i="8"/>
  <c r="C55" i="8"/>
  <c r="C54" i="8"/>
  <c r="C53" i="8"/>
  <c r="C14" i="9" s="1"/>
  <c r="C52" i="8"/>
  <c r="C13" i="9" s="1"/>
  <c r="C18" i="9" s="1"/>
  <c r="G48" i="8"/>
  <c r="G15" i="20" s="1"/>
  <c r="F48" i="8"/>
  <c r="F15" i="20" s="1"/>
  <c r="E48" i="8"/>
  <c r="E15" i="20" s="1"/>
  <c r="D48" i="8"/>
  <c r="D15" i="20" s="1"/>
  <c r="G47" i="8"/>
  <c r="F47" i="8"/>
  <c r="F14" i="20" s="1"/>
  <c r="E47" i="8"/>
  <c r="E14" i="20" s="1"/>
  <c r="D47" i="8"/>
  <c r="G46" i="8"/>
  <c r="G13" i="20" s="1"/>
  <c r="F46" i="8"/>
  <c r="F13" i="20" s="1"/>
  <c r="E46" i="8"/>
  <c r="E13" i="20" s="1"/>
  <c r="D46" i="8"/>
  <c r="D13" i="20" s="1"/>
  <c r="G45" i="8"/>
  <c r="G12" i="20" s="1"/>
  <c r="F45" i="8"/>
  <c r="E45" i="8"/>
  <c r="E12" i="20" s="1"/>
  <c r="D45" i="8"/>
  <c r="D12" i="20" s="1"/>
  <c r="C48" i="8"/>
  <c r="C47" i="8"/>
  <c r="C14" i="20" s="1"/>
  <c r="C46" i="8"/>
  <c r="C13" i="20" s="1"/>
  <c r="C45" i="8"/>
  <c r="C12" i="20" s="1"/>
  <c r="C22" i="20" s="1"/>
  <c r="G41" i="8"/>
  <c r="H41" i="8" s="1"/>
  <c r="F41" i="8"/>
  <c r="E41" i="8"/>
  <c r="D41" i="8"/>
  <c r="G39" i="8"/>
  <c r="H39" i="8" s="1"/>
  <c r="I39" i="8" s="1"/>
  <c r="J39" i="8" s="1"/>
  <c r="K39" i="8" s="1"/>
  <c r="L39" i="8" s="1"/>
  <c r="F39" i="8"/>
  <c r="E39" i="8"/>
  <c r="D39" i="8"/>
  <c r="G37" i="8"/>
  <c r="H37" i="8" s="1"/>
  <c r="I37" i="8" s="1"/>
  <c r="J37" i="8" s="1"/>
  <c r="K37" i="8" s="1"/>
  <c r="L37" i="8" s="1"/>
  <c r="F37" i="8"/>
  <c r="E37" i="8"/>
  <c r="E38" i="8" s="1"/>
  <c r="D37" i="8"/>
  <c r="G36" i="8"/>
  <c r="G38" i="8"/>
  <c r="F36" i="8"/>
  <c r="F38" i="8" s="1"/>
  <c r="E36" i="8"/>
  <c r="D36" i="8"/>
  <c r="D38" i="8" s="1"/>
  <c r="C39" i="8"/>
  <c r="C41" i="8"/>
  <c r="C37" i="8"/>
  <c r="C36" i="8"/>
  <c r="F30" i="8"/>
  <c r="E30" i="8"/>
  <c r="G28" i="8"/>
  <c r="F28" i="8"/>
  <c r="F21" i="9" s="1"/>
  <c r="E28" i="8"/>
  <c r="E21" i="9" s="1"/>
  <c r="D28" i="8"/>
  <c r="C28" i="8"/>
  <c r="C21" i="9" s="1"/>
  <c r="G29" i="8"/>
  <c r="F29" i="8"/>
  <c r="F22" i="9" s="1"/>
  <c r="E29" i="8"/>
  <c r="E22" i="9" s="1"/>
  <c r="D29" i="8"/>
  <c r="D22" i="9" s="1"/>
  <c r="C29" i="8"/>
  <c r="C22" i="9" s="1"/>
  <c r="G27" i="8"/>
  <c r="F27" i="8"/>
  <c r="F20" i="9" s="1"/>
  <c r="F23" i="9" s="1"/>
  <c r="E27" i="8"/>
  <c r="E20" i="9" s="1"/>
  <c r="D27" i="8"/>
  <c r="D20" i="9" s="1"/>
  <c r="G26" i="8"/>
  <c r="G23" i="21" s="1"/>
  <c r="G33" i="21" s="1"/>
  <c r="F26" i="8"/>
  <c r="B16" i="18" s="1"/>
  <c r="E26" i="8"/>
  <c r="D26" i="8"/>
  <c r="C26" i="8"/>
  <c r="G23" i="8"/>
  <c r="F23" i="8"/>
  <c r="G21" i="8"/>
  <c r="G19" i="20" s="1"/>
  <c r="F21" i="8"/>
  <c r="F19" i="20" s="1"/>
  <c r="E21" i="8"/>
  <c r="D21" i="8"/>
  <c r="C21" i="8"/>
  <c r="C19" i="20" s="1"/>
  <c r="G22" i="8"/>
  <c r="G20" i="20" s="1"/>
  <c r="F22" i="8"/>
  <c r="F20" i="20" s="1"/>
  <c r="E22" i="8"/>
  <c r="E20" i="20" s="1"/>
  <c r="D22" i="8"/>
  <c r="D20" i="20" s="1"/>
  <c r="C22" i="8"/>
  <c r="C20" i="20" s="1"/>
  <c r="G20" i="8"/>
  <c r="G18" i="20" s="1"/>
  <c r="F20" i="8"/>
  <c r="F18" i="20" s="1"/>
  <c r="E20" i="8"/>
  <c r="E18" i="20" s="1"/>
  <c r="D20" i="8"/>
  <c r="D18" i="20" s="1"/>
  <c r="C20" i="8"/>
  <c r="C18" i="20" s="1"/>
  <c r="G19" i="8"/>
  <c r="C15" i="18" s="1"/>
  <c r="F19" i="8"/>
  <c r="B15" i="18" s="1"/>
  <c r="D15" i="18" s="1"/>
  <c r="E19" i="8"/>
  <c r="D19" i="8"/>
  <c r="D23" i="8" s="1"/>
  <c r="C19" i="8"/>
  <c r="C54" i="21" s="1"/>
  <c r="G16" i="8"/>
  <c r="H16" i="8" s="1"/>
  <c r="I16" i="8" s="1"/>
  <c r="J16" i="8" s="1"/>
  <c r="K16" i="8" s="1"/>
  <c r="L16" i="8" s="1"/>
  <c r="F16" i="8"/>
  <c r="E16" i="8"/>
  <c r="D16" i="8"/>
  <c r="C16" i="8"/>
  <c r="D12" i="8"/>
  <c r="G11" i="8"/>
  <c r="F11" i="8"/>
  <c r="E11" i="8"/>
  <c r="E12" i="8" s="1"/>
  <c r="D11" i="8"/>
  <c r="C11" i="8"/>
  <c r="G10" i="8"/>
  <c r="F10" i="8"/>
  <c r="E10" i="8"/>
  <c r="D10" i="8"/>
  <c r="C10" i="8"/>
  <c r="C12" i="8" s="1"/>
  <c r="I7" i="22"/>
  <c r="J7" i="22" s="1"/>
  <c r="K7" i="22" s="1"/>
  <c r="L7" i="22" s="1"/>
  <c r="D7" i="22"/>
  <c r="E7" i="22" s="1"/>
  <c r="F7" i="22" s="1"/>
  <c r="G7" i="22"/>
  <c r="C46" i="21"/>
  <c r="H38" i="21"/>
  <c r="H34" i="21"/>
  <c r="G14" i="21"/>
  <c r="G17" i="21"/>
  <c r="F14" i="21"/>
  <c r="I7" i="21"/>
  <c r="J7" i="21" s="1"/>
  <c r="K7" i="21"/>
  <c r="L7" i="21" s="1"/>
  <c r="D7" i="21"/>
  <c r="E7" i="21"/>
  <c r="F7" i="21"/>
  <c r="G7" i="21" s="1"/>
  <c r="E30" i="14"/>
  <c r="I42" i="12"/>
  <c r="J42" i="12"/>
  <c r="K42" i="12"/>
  <c r="L42" i="12" s="1"/>
  <c r="D42" i="12"/>
  <c r="E42" i="12"/>
  <c r="F42" i="12"/>
  <c r="G42" i="12" s="1"/>
  <c r="I32" i="12"/>
  <c r="J32" i="12"/>
  <c r="K32" i="12" s="1"/>
  <c r="L32" i="12" s="1"/>
  <c r="D32" i="12"/>
  <c r="E32" i="12"/>
  <c r="F32" i="12"/>
  <c r="G32" i="12" s="1"/>
  <c r="L31" i="12"/>
  <c r="K31" i="12"/>
  <c r="J31" i="12"/>
  <c r="I31" i="12"/>
  <c r="H31" i="12"/>
  <c r="A44" i="12"/>
  <c r="F27" i="12"/>
  <c r="F28" i="12"/>
  <c r="C44" i="12"/>
  <c r="B76" i="12"/>
  <c r="C45" i="12"/>
  <c r="G45" i="12" s="1"/>
  <c r="C60" i="12"/>
  <c r="C61" i="12"/>
  <c r="A61" i="12"/>
  <c r="C62" i="12"/>
  <c r="G62" i="12" s="1"/>
  <c r="H63" i="12" s="1"/>
  <c r="A73" i="12"/>
  <c r="F28" i="14"/>
  <c r="F32" i="14"/>
  <c r="B84" i="14"/>
  <c r="B101" i="14" s="1"/>
  <c r="C51" i="14"/>
  <c r="F30" i="14"/>
  <c r="C52" i="14"/>
  <c r="C68" i="14"/>
  <c r="A69" i="14"/>
  <c r="C69" i="14"/>
  <c r="C70" i="14"/>
  <c r="G70" i="14" s="1"/>
  <c r="A81" i="14"/>
  <c r="H21" i="21"/>
  <c r="I34" i="21"/>
  <c r="J34" i="21" s="1"/>
  <c r="K34" i="21" s="1"/>
  <c r="I38" i="21"/>
  <c r="A56" i="12"/>
  <c r="H54" i="14"/>
  <c r="A76" i="12"/>
  <c r="A78" i="12" s="1"/>
  <c r="B93" i="12"/>
  <c r="A93" i="12"/>
  <c r="A107" i="12" s="1"/>
  <c r="A84" i="14"/>
  <c r="A86" i="14" s="1"/>
  <c r="J38" i="21"/>
  <c r="K38" i="21" s="1"/>
  <c r="L38" i="21" s="1"/>
  <c r="C96" i="12"/>
  <c r="G96" i="12" s="1"/>
  <c r="A90" i="12"/>
  <c r="C77" i="12"/>
  <c r="C78" i="12"/>
  <c r="C79" i="12"/>
  <c r="G79" i="12" s="1"/>
  <c r="A101" i="14"/>
  <c r="B118" i="14"/>
  <c r="A118" i="14" s="1"/>
  <c r="A98" i="14"/>
  <c r="C86" i="14"/>
  <c r="L34" i="21"/>
  <c r="C120" i="14"/>
  <c r="I50" i="14"/>
  <c r="J50" i="14" s="1"/>
  <c r="K50" i="14" s="1"/>
  <c r="L50" i="14" s="1"/>
  <c r="D50" i="14"/>
  <c r="E50" i="14"/>
  <c r="F50" i="14"/>
  <c r="G50" i="14"/>
  <c r="I36" i="14"/>
  <c r="J36" i="14" s="1"/>
  <c r="K36" i="14" s="1"/>
  <c r="L36" i="14" s="1"/>
  <c r="D36" i="14"/>
  <c r="E36" i="14" s="1"/>
  <c r="F36" i="14"/>
  <c r="G36" i="14" s="1"/>
  <c r="G31" i="5"/>
  <c r="F31" i="5"/>
  <c r="F25" i="5"/>
  <c r="F34" i="5" s="1"/>
  <c r="F36" i="5" s="1"/>
  <c r="D25" i="5"/>
  <c r="C25" i="5"/>
  <c r="F18" i="5"/>
  <c r="D18" i="5"/>
  <c r="G12" i="5"/>
  <c r="F12" i="5"/>
  <c r="D12" i="5"/>
  <c r="C15" i="5"/>
  <c r="G47" i="4"/>
  <c r="F47" i="4"/>
  <c r="F48" i="4" s="1"/>
  <c r="E47" i="4"/>
  <c r="D47" i="4"/>
  <c r="D48" i="4" s="1"/>
  <c r="G46" i="4"/>
  <c r="G48" i="4" s="1"/>
  <c r="F46" i="4"/>
  <c r="E46" i="4"/>
  <c r="E48" i="4" s="1"/>
  <c r="D46" i="4"/>
  <c r="G43" i="4"/>
  <c r="H43" i="4" s="1"/>
  <c r="I43" i="4" s="1"/>
  <c r="J43" i="4" s="1"/>
  <c r="K43" i="4" s="1"/>
  <c r="L43" i="4" s="1"/>
  <c r="F43" i="4"/>
  <c r="E43" i="4"/>
  <c r="D43" i="4"/>
  <c r="G42" i="4"/>
  <c r="H42" i="4" s="1"/>
  <c r="I42" i="4" s="1"/>
  <c r="J42" i="4" s="1"/>
  <c r="K42" i="4" s="1"/>
  <c r="L42" i="4" s="1"/>
  <c r="F42" i="4"/>
  <c r="E42" i="4"/>
  <c r="D42" i="4"/>
  <c r="C47" i="4"/>
  <c r="C46" i="4"/>
  <c r="C43" i="4"/>
  <c r="C42" i="4"/>
  <c r="G39" i="4"/>
  <c r="H39" i="4" s="1"/>
  <c r="I39" i="4" s="1"/>
  <c r="J39" i="4" s="1"/>
  <c r="K39" i="4" s="1"/>
  <c r="L39" i="4" s="1"/>
  <c r="F39" i="4"/>
  <c r="E39" i="4"/>
  <c r="D39" i="4"/>
  <c r="C39" i="4"/>
  <c r="G38" i="4"/>
  <c r="C17" i="18" s="1"/>
  <c r="F38" i="4"/>
  <c r="E38" i="4"/>
  <c r="D38" i="4"/>
  <c r="C38" i="4"/>
  <c r="G33" i="4"/>
  <c r="F33" i="4"/>
  <c r="E33" i="4"/>
  <c r="D33" i="4"/>
  <c r="C33" i="4"/>
  <c r="G28" i="4"/>
  <c r="F28" i="4"/>
  <c r="G26" i="4"/>
  <c r="F26" i="4"/>
  <c r="F29" i="4"/>
  <c r="E26" i="4"/>
  <c r="E25" i="5" s="1"/>
  <c r="D26" i="4"/>
  <c r="C26" i="4"/>
  <c r="G20" i="4"/>
  <c r="G18" i="5" s="1"/>
  <c r="F20" i="4"/>
  <c r="E20" i="4"/>
  <c r="D20" i="4"/>
  <c r="C20" i="4"/>
  <c r="C18" i="5" s="1"/>
  <c r="G19" i="4"/>
  <c r="G15" i="5" s="1"/>
  <c r="F19" i="4"/>
  <c r="F15" i="5" s="1"/>
  <c r="E19" i="4"/>
  <c r="E15" i="5" s="1"/>
  <c r="D19" i="4"/>
  <c r="D15" i="5" s="1"/>
  <c r="C19" i="4"/>
  <c r="G18" i="4"/>
  <c r="F18" i="4"/>
  <c r="E18" i="4"/>
  <c r="E12" i="5" s="1"/>
  <c r="D18" i="4"/>
  <c r="C18" i="4"/>
  <c r="D12" i="4"/>
  <c r="C12" i="4"/>
  <c r="C10" i="4"/>
  <c r="G10" i="4"/>
  <c r="G12" i="4" s="1"/>
  <c r="F10" i="4"/>
  <c r="F12" i="4" s="1"/>
  <c r="E10" i="4"/>
  <c r="E12" i="4" s="1"/>
  <c r="E14" i="4" s="1"/>
  <c r="D10" i="4"/>
  <c r="I39" i="1"/>
  <c r="J39" i="1" s="1"/>
  <c r="K39" i="1" s="1"/>
  <c r="L39" i="1" s="1"/>
  <c r="J34" i="1"/>
  <c r="K34" i="1" s="1"/>
  <c r="L34" i="1" s="1"/>
  <c r="H34" i="1"/>
  <c r="I34" i="1" s="1"/>
  <c r="H24" i="1"/>
  <c r="I24" i="1" s="1"/>
  <c r="H22" i="1"/>
  <c r="I22" i="1" s="1"/>
  <c r="J22" i="1" s="1"/>
  <c r="K22" i="1" s="1"/>
  <c r="L13" i="1"/>
  <c r="H13" i="1"/>
  <c r="I13" i="1" s="1"/>
  <c r="J13" i="1" s="1"/>
  <c r="K13" i="1" s="1"/>
  <c r="H12" i="1"/>
  <c r="H11" i="1"/>
  <c r="H9" i="1"/>
  <c r="J66" i="1"/>
  <c r="K66" i="1" s="1"/>
  <c r="L66" i="1" s="1"/>
  <c r="I66" i="1"/>
  <c r="H78" i="1"/>
  <c r="H35" i="1" s="1"/>
  <c r="J77" i="1"/>
  <c r="K77" i="1" s="1"/>
  <c r="L77" i="1" s="1"/>
  <c r="I77" i="1"/>
  <c r="H77" i="1"/>
  <c r="H76" i="1"/>
  <c r="I76" i="1" s="1"/>
  <c r="J76" i="1" s="1"/>
  <c r="K76" i="1" s="1"/>
  <c r="L76" i="1" s="1"/>
  <c r="H75" i="1"/>
  <c r="I68" i="1"/>
  <c r="H68" i="1"/>
  <c r="H67" i="1"/>
  <c r="H23" i="1" s="1"/>
  <c r="I58" i="1"/>
  <c r="J58" i="1"/>
  <c r="K58" i="1" s="1"/>
  <c r="K68" i="1" s="1"/>
  <c r="L58" i="1"/>
  <c r="L68" i="1" s="1"/>
  <c r="I57" i="1"/>
  <c r="J57" i="1" s="1"/>
  <c r="I56" i="1"/>
  <c r="H74" i="1"/>
  <c r="J64" i="1"/>
  <c r="K64" i="1" s="1"/>
  <c r="L64" i="1" s="1"/>
  <c r="I64" i="1"/>
  <c r="I54" i="1"/>
  <c r="J54" i="1" s="1"/>
  <c r="K54" i="1" s="1"/>
  <c r="L54" i="1" s="1"/>
  <c r="H54" i="1"/>
  <c r="H64" i="1" s="1"/>
  <c r="H20" i="1" s="1"/>
  <c r="H73" i="1"/>
  <c r="H30" i="1" s="1"/>
  <c r="N53" i="1"/>
  <c r="N58" i="1"/>
  <c r="N57" i="1"/>
  <c r="N56" i="1"/>
  <c r="N55" i="1"/>
  <c r="H55" i="1" s="1"/>
  <c r="N54" i="1"/>
  <c r="J72" i="1"/>
  <c r="K72" i="1" s="1"/>
  <c r="L72" i="1" s="1"/>
  <c r="I72" i="1"/>
  <c r="J62" i="1"/>
  <c r="K62" i="1" s="1"/>
  <c r="L62" i="1" s="1"/>
  <c r="I62" i="1"/>
  <c r="G58" i="1"/>
  <c r="F58" i="1"/>
  <c r="E58" i="1"/>
  <c r="D58" i="1"/>
  <c r="C58" i="1"/>
  <c r="G57" i="1"/>
  <c r="F57" i="1"/>
  <c r="E57" i="1"/>
  <c r="D57" i="1"/>
  <c r="C57" i="1"/>
  <c r="G56" i="1"/>
  <c r="F56" i="1"/>
  <c r="E56" i="1"/>
  <c r="D56" i="1"/>
  <c r="C56" i="1"/>
  <c r="G55" i="1"/>
  <c r="F55" i="1"/>
  <c r="E55" i="1"/>
  <c r="D55" i="1"/>
  <c r="C55" i="1"/>
  <c r="G54" i="1"/>
  <c r="F54" i="1"/>
  <c r="E54" i="1"/>
  <c r="D54" i="1"/>
  <c r="C54" i="1"/>
  <c r="G53" i="1"/>
  <c r="F53" i="1"/>
  <c r="E53" i="1"/>
  <c r="D53" i="1"/>
  <c r="C53" i="1"/>
  <c r="H63" i="1" s="1"/>
  <c r="I52" i="1"/>
  <c r="J52" i="1"/>
  <c r="K52" i="1" s="1"/>
  <c r="L52" i="1" s="1"/>
  <c r="G36" i="1"/>
  <c r="F36" i="1"/>
  <c r="E36" i="1"/>
  <c r="D36" i="1"/>
  <c r="C36" i="1"/>
  <c r="B36" i="1"/>
  <c r="I29" i="1"/>
  <c r="J29" i="1"/>
  <c r="K29" i="1" s="1"/>
  <c r="L29" i="1" s="1"/>
  <c r="G25" i="1"/>
  <c r="F25" i="1"/>
  <c r="E25" i="1"/>
  <c r="D25" i="1"/>
  <c r="C25" i="1"/>
  <c r="B25" i="1"/>
  <c r="I18" i="1"/>
  <c r="J18" i="1" s="1"/>
  <c r="K18" i="1" s="1"/>
  <c r="L18" i="1" s="1"/>
  <c r="G65" i="19"/>
  <c r="H62" i="19" s="1"/>
  <c r="I7" i="20"/>
  <c r="J7" i="20"/>
  <c r="K7" i="20" s="1"/>
  <c r="L7" i="20" s="1"/>
  <c r="D7" i="20"/>
  <c r="E7" i="20"/>
  <c r="F7" i="20"/>
  <c r="G7" i="20" s="1"/>
  <c r="I7" i="19"/>
  <c r="J7" i="19" s="1"/>
  <c r="K7" i="19" s="1"/>
  <c r="L7" i="19" s="1"/>
  <c r="D7" i="19"/>
  <c r="E7" i="19" s="1"/>
  <c r="F7" i="19" s="1"/>
  <c r="G7" i="19" s="1"/>
  <c r="A64" i="14"/>
  <c r="A52" i="14"/>
  <c r="H17" i="12"/>
  <c r="G21" i="14"/>
  <c r="H17" i="14" s="1"/>
  <c r="G49" i="8"/>
  <c r="F49" i="8"/>
  <c r="E49" i="8"/>
  <c r="D49" i="8"/>
  <c r="G22" i="5"/>
  <c r="F22" i="5"/>
  <c r="D22" i="5"/>
  <c r="G29" i="3"/>
  <c r="H29" i="3"/>
  <c r="G35" i="4"/>
  <c r="F35" i="4"/>
  <c r="E35" i="4"/>
  <c r="D35" i="4"/>
  <c r="G21" i="4"/>
  <c r="G10" i="9" s="1"/>
  <c r="F21" i="4"/>
  <c r="F10" i="9" s="1"/>
  <c r="D21" i="4"/>
  <c r="D10" i="9" s="1"/>
  <c r="G14" i="4"/>
  <c r="F14" i="4"/>
  <c r="D14" i="4"/>
  <c r="C14" i="4"/>
  <c r="I7" i="1"/>
  <c r="J7" i="1" s="1"/>
  <c r="K7" i="1" s="1"/>
  <c r="L7" i="1" s="1"/>
  <c r="I18" i="13"/>
  <c r="J18" i="13" s="1"/>
  <c r="K18" i="13" s="1"/>
  <c r="L18" i="13" s="1"/>
  <c r="C38" i="13"/>
  <c r="I7" i="12"/>
  <c r="J7" i="12" s="1"/>
  <c r="K7" i="12"/>
  <c r="L7" i="12" s="1"/>
  <c r="D7" i="12"/>
  <c r="E7" i="12"/>
  <c r="F7" i="12" s="1"/>
  <c r="G7" i="12" s="1"/>
  <c r="I7" i="14"/>
  <c r="J7" i="14"/>
  <c r="K7" i="14"/>
  <c r="L7" i="14" s="1"/>
  <c r="D7" i="14"/>
  <c r="E7" i="14" s="1"/>
  <c r="F7" i="14"/>
  <c r="G7" i="14" s="1"/>
  <c r="I7" i="10"/>
  <c r="J7" i="10"/>
  <c r="K7" i="10" s="1"/>
  <c r="L7" i="10" s="1"/>
  <c r="D7" i="10"/>
  <c r="E7" i="10"/>
  <c r="F7" i="10" s="1"/>
  <c r="G7" i="10" s="1"/>
  <c r="I7" i="9"/>
  <c r="J7" i="9" s="1"/>
  <c r="K7" i="9" s="1"/>
  <c r="L7" i="9" s="1"/>
  <c r="D7" i="9"/>
  <c r="E7" i="9" s="1"/>
  <c r="F7" i="9" s="1"/>
  <c r="G7" i="9" s="1"/>
  <c r="I7" i="5"/>
  <c r="J7" i="5"/>
  <c r="K7" i="5" s="1"/>
  <c r="L7" i="5" s="1"/>
  <c r="D7" i="5"/>
  <c r="E7" i="5" s="1"/>
  <c r="F7" i="5" s="1"/>
  <c r="G7" i="5" s="1"/>
  <c r="I7" i="8"/>
  <c r="J7" i="8"/>
  <c r="K7" i="8"/>
  <c r="L7" i="8" s="1"/>
  <c r="D7" i="8"/>
  <c r="E7" i="8" s="1"/>
  <c r="F7" i="8" s="1"/>
  <c r="G7" i="8" s="1"/>
  <c r="C58" i="8"/>
  <c r="C38" i="8"/>
  <c r="C49" i="8" s="1"/>
  <c r="F14" i="8"/>
  <c r="F55" i="21" s="1"/>
  <c r="F32" i="8"/>
  <c r="E14" i="8"/>
  <c r="E55" i="21" s="1"/>
  <c r="D14" i="8"/>
  <c r="D55" i="21" s="1"/>
  <c r="C14" i="8"/>
  <c r="I7" i="4"/>
  <c r="J7" i="4" s="1"/>
  <c r="K7" i="4" s="1"/>
  <c r="L7" i="4"/>
  <c r="D7" i="4"/>
  <c r="E7" i="4" s="1"/>
  <c r="F7" i="4" s="1"/>
  <c r="G7" i="4" s="1"/>
  <c r="C48" i="4"/>
  <c r="C35" i="4"/>
  <c r="C29" i="4"/>
  <c r="C60" i="8"/>
  <c r="D60" i="8"/>
  <c r="G14" i="8"/>
  <c r="E17" i="3"/>
  <c r="D28" i="4" s="1"/>
  <c r="E18" i="3"/>
  <c r="E19" i="3" s="1"/>
  <c r="E22" i="3" s="1"/>
  <c r="E29" i="3" s="1"/>
  <c r="F17" i="3"/>
  <c r="E28" i="4" s="1"/>
  <c r="D17" i="3"/>
  <c r="C28" i="4" s="1"/>
  <c r="C31" i="5" s="1"/>
  <c r="C34" i="5" s="1"/>
  <c r="D18" i="3"/>
  <c r="D19" i="3" s="1"/>
  <c r="D22" i="3" s="1"/>
  <c r="C58" i="2"/>
  <c r="C27" i="8" s="1"/>
  <c r="C20" i="9" s="1"/>
  <c r="C53" i="2"/>
  <c r="C42" i="2"/>
  <c r="C40" i="2"/>
  <c r="C35" i="2"/>
  <c r="C34" i="2"/>
  <c r="C22" i="2"/>
  <c r="D63" i="2"/>
  <c r="D53" i="2"/>
  <c r="E53" i="2"/>
  <c r="F53" i="2"/>
  <c r="E34" i="2"/>
  <c r="E35" i="2"/>
  <c r="D34" i="2"/>
  <c r="D35" i="2"/>
  <c r="G14" i="1"/>
  <c r="F14" i="1"/>
  <c r="E14" i="1"/>
  <c r="D14" i="1"/>
  <c r="C14" i="1"/>
  <c r="B14" i="1"/>
  <c r="P48" i="13" l="1"/>
  <c r="R81" i="13"/>
  <c r="R82" i="13" s="1"/>
  <c r="R83" i="13" s="1"/>
  <c r="D26" i="3"/>
  <c r="D29" i="3"/>
  <c r="E31" i="5"/>
  <c r="E29" i="4"/>
  <c r="E26" i="3"/>
  <c r="G9" i="20"/>
  <c r="G31" i="20" s="1"/>
  <c r="H31" i="20" s="1"/>
  <c r="I31" i="20" s="1"/>
  <c r="J31" i="20" s="1"/>
  <c r="K31" i="20" s="1"/>
  <c r="L31" i="20" s="1"/>
  <c r="G9" i="9"/>
  <c r="G9" i="14"/>
  <c r="G23" i="4"/>
  <c r="G9" i="5"/>
  <c r="G19" i="5" s="1"/>
  <c r="H19" i="5" s="1"/>
  <c r="I19" i="5" s="1"/>
  <c r="J19" i="5" s="1"/>
  <c r="K19" i="5" s="1"/>
  <c r="L19" i="5" s="1"/>
  <c r="I55" i="1"/>
  <c r="H10" i="1"/>
  <c r="I10" i="1" s="1"/>
  <c r="H65" i="1"/>
  <c r="H21" i="1" s="1"/>
  <c r="I74" i="1"/>
  <c r="J74" i="1" s="1"/>
  <c r="K74" i="1" s="1"/>
  <c r="L74" i="1" s="1"/>
  <c r="H31" i="1"/>
  <c r="G55" i="21"/>
  <c r="B24" i="18"/>
  <c r="H53" i="1"/>
  <c r="H19" i="1"/>
  <c r="I63" i="1"/>
  <c r="J63" i="1" s="1"/>
  <c r="K63" i="1" s="1"/>
  <c r="L63" i="1" s="1"/>
  <c r="I11" i="1"/>
  <c r="J56" i="1"/>
  <c r="K56" i="1" s="1"/>
  <c r="L56" i="1" s="1"/>
  <c r="L22" i="1"/>
  <c r="D31" i="5"/>
  <c r="D29" i="4"/>
  <c r="J67" i="1"/>
  <c r="K57" i="1"/>
  <c r="C23" i="9"/>
  <c r="C12" i="5"/>
  <c r="C21" i="4"/>
  <c r="C10" i="9" s="1"/>
  <c r="C31" i="9" s="1"/>
  <c r="E18" i="5"/>
  <c r="E21" i="4"/>
  <c r="E10" i="9" s="1"/>
  <c r="H36" i="1"/>
  <c r="H42" i="1" s="1"/>
  <c r="C103" i="14"/>
  <c r="C104" i="14"/>
  <c r="G104" i="14" s="1"/>
  <c r="A115" i="14"/>
  <c r="A103" i="14"/>
  <c r="C102" i="14"/>
  <c r="H32" i="1"/>
  <c r="I32" i="1" s="1"/>
  <c r="J32" i="1" s="1"/>
  <c r="K32" i="1" s="1"/>
  <c r="L32" i="1" s="1"/>
  <c r="I75" i="1"/>
  <c r="J75" i="1" s="1"/>
  <c r="K75" i="1" s="1"/>
  <c r="L75" i="1" s="1"/>
  <c r="E9" i="20"/>
  <c r="E9" i="14"/>
  <c r="E9" i="5"/>
  <c r="E26" i="5" s="1"/>
  <c r="E9" i="9"/>
  <c r="E23" i="4"/>
  <c r="E31" i="4" s="1"/>
  <c r="E37" i="4" s="1"/>
  <c r="E41" i="4" s="1"/>
  <c r="E44" i="4" s="1"/>
  <c r="E50" i="4" s="1"/>
  <c r="F18" i="3"/>
  <c r="F19" i="3" s="1"/>
  <c r="F22" i="3" s="1"/>
  <c r="C55" i="21"/>
  <c r="I73" i="1"/>
  <c r="J73" i="1" s="1"/>
  <c r="K73" i="1" s="1"/>
  <c r="L73" i="1" s="1"/>
  <c r="H33" i="1"/>
  <c r="I33" i="1" s="1"/>
  <c r="J33" i="1" s="1"/>
  <c r="K33" i="1" s="1"/>
  <c r="L33" i="1" s="1"/>
  <c r="G32" i="5"/>
  <c r="G32" i="9"/>
  <c r="H32" i="9" s="1"/>
  <c r="I32" i="9" s="1"/>
  <c r="J32" i="9" s="1"/>
  <c r="K32" i="9" s="1"/>
  <c r="L32" i="9" s="1"/>
  <c r="D9" i="20"/>
  <c r="D36" i="20" s="1"/>
  <c r="D23" i="4"/>
  <c r="D31" i="4" s="1"/>
  <c r="D37" i="4" s="1"/>
  <c r="D41" i="4" s="1"/>
  <c r="D44" i="4" s="1"/>
  <c r="D50" i="4" s="1"/>
  <c r="D9" i="14"/>
  <c r="D9" i="9"/>
  <c r="D34" i="9" s="1"/>
  <c r="I9" i="1"/>
  <c r="J9" i="1" s="1"/>
  <c r="K9" i="1" s="1"/>
  <c r="L9" i="1" s="1"/>
  <c r="G16" i="5"/>
  <c r="G13" i="5"/>
  <c r="I12" i="1"/>
  <c r="J12" i="1" s="1"/>
  <c r="K12" i="1" s="1"/>
  <c r="H46" i="12"/>
  <c r="E34" i="20"/>
  <c r="F9" i="20"/>
  <c r="F34" i="20" s="1"/>
  <c r="F9" i="9"/>
  <c r="F38" i="9" s="1"/>
  <c r="F23" i="4"/>
  <c r="F31" i="4" s="1"/>
  <c r="F37" i="4" s="1"/>
  <c r="F41" i="4" s="1"/>
  <c r="F44" i="4" s="1"/>
  <c r="F50" i="4" s="1"/>
  <c r="F9" i="14"/>
  <c r="F9" i="5"/>
  <c r="F13" i="5" s="1"/>
  <c r="G25" i="5"/>
  <c r="G29" i="4"/>
  <c r="F19" i="5"/>
  <c r="C121" i="14"/>
  <c r="G121" i="14" s="1"/>
  <c r="A132" i="14"/>
  <c r="A120" i="14"/>
  <c r="C119" i="14"/>
  <c r="D23" i="9"/>
  <c r="F25" i="9"/>
  <c r="E28" i="20"/>
  <c r="E22" i="20"/>
  <c r="I54" i="14"/>
  <c r="I53" i="14"/>
  <c r="I67" i="1"/>
  <c r="I23" i="1" s="1"/>
  <c r="J23" i="1" s="1"/>
  <c r="I78" i="1"/>
  <c r="J78" i="1" s="1"/>
  <c r="K78" i="1" s="1"/>
  <c r="L78" i="1" s="1"/>
  <c r="E13" i="5"/>
  <c r="I20" i="1"/>
  <c r="J20" i="1" s="1"/>
  <c r="K20" i="1" s="1"/>
  <c r="L20" i="1" s="1"/>
  <c r="D9" i="5"/>
  <c r="D26" i="5" s="1"/>
  <c r="C26" i="5"/>
  <c r="H79" i="12"/>
  <c r="H80" i="12"/>
  <c r="C56" i="21"/>
  <c r="C25" i="9"/>
  <c r="E29" i="20"/>
  <c r="G36" i="20"/>
  <c r="H36" i="20" s="1"/>
  <c r="I36" i="20" s="1"/>
  <c r="J36" i="20" s="1"/>
  <c r="K36" i="20" s="1"/>
  <c r="L36" i="20" s="1"/>
  <c r="C32" i="5"/>
  <c r="J68" i="1"/>
  <c r="J24" i="1" s="1"/>
  <c r="K24" i="1" s="1"/>
  <c r="L24" i="1" s="1"/>
  <c r="C16" i="5"/>
  <c r="F26" i="5"/>
  <c r="H62" i="12"/>
  <c r="E34" i="9"/>
  <c r="C9" i="14"/>
  <c r="C9" i="9"/>
  <c r="C9" i="20"/>
  <c r="C30" i="20" s="1"/>
  <c r="C23" i="4"/>
  <c r="C31" i="4" s="1"/>
  <c r="C37" i="4" s="1"/>
  <c r="C41" i="4" s="1"/>
  <c r="C44" i="4" s="1"/>
  <c r="C50" i="4" s="1"/>
  <c r="C9" i="5"/>
  <c r="C19" i="5" s="1"/>
  <c r="E16" i="5"/>
  <c r="F32" i="5"/>
  <c r="H71" i="14"/>
  <c r="H70" i="14"/>
  <c r="E36" i="9"/>
  <c r="E23" i="9"/>
  <c r="G35" i="20"/>
  <c r="H35" i="20" s="1"/>
  <c r="I35" i="20" s="1"/>
  <c r="J35" i="20" s="1"/>
  <c r="K35" i="20" s="1"/>
  <c r="L35" i="20" s="1"/>
  <c r="E30" i="20"/>
  <c r="F32" i="9"/>
  <c r="D37" i="9"/>
  <c r="G30" i="20"/>
  <c r="H30" i="20" s="1"/>
  <c r="I30" i="20" s="1"/>
  <c r="J30" i="20" s="1"/>
  <c r="K30" i="20" s="1"/>
  <c r="L30" i="20" s="1"/>
  <c r="D56" i="21"/>
  <c r="C23" i="8"/>
  <c r="C32" i="8" s="1"/>
  <c r="C62" i="8" s="1"/>
  <c r="D30" i="9"/>
  <c r="G34" i="9"/>
  <c r="H34" i="9" s="1"/>
  <c r="C31" i="20"/>
  <c r="E56" i="21"/>
  <c r="G34" i="20"/>
  <c r="H34" i="20" s="1"/>
  <c r="I34" i="20" s="1"/>
  <c r="J34" i="20" s="1"/>
  <c r="K34" i="20" s="1"/>
  <c r="L34" i="20" s="1"/>
  <c r="E58" i="8"/>
  <c r="E60" i="8" s="1"/>
  <c r="E13" i="9"/>
  <c r="G31" i="9"/>
  <c r="H31" i="9" s="1"/>
  <c r="I31" i="9" s="1"/>
  <c r="J31" i="9" s="1"/>
  <c r="K31" i="9" s="1"/>
  <c r="L31" i="9" s="1"/>
  <c r="G38" i="9"/>
  <c r="H38" i="9" s="1"/>
  <c r="E38" i="9"/>
  <c r="D28" i="20"/>
  <c r="D31" i="20"/>
  <c r="D35" i="20"/>
  <c r="C85" i="14"/>
  <c r="C30" i="8"/>
  <c r="E31" i="20"/>
  <c r="G58" i="8"/>
  <c r="G60" i="8" s="1"/>
  <c r="E32" i="9"/>
  <c r="E35" i="20"/>
  <c r="G12" i="8"/>
  <c r="H10" i="8"/>
  <c r="E36" i="20"/>
  <c r="D30" i="8"/>
  <c r="D32" i="8" s="1"/>
  <c r="D62" i="8" s="1"/>
  <c r="F31" i="20"/>
  <c r="G30" i="9"/>
  <c r="H30" i="9" s="1"/>
  <c r="I30" i="9" s="1"/>
  <c r="J30" i="9" s="1"/>
  <c r="K30" i="9" s="1"/>
  <c r="L30" i="9" s="1"/>
  <c r="G18" i="9"/>
  <c r="G46" i="21"/>
  <c r="H12" i="21"/>
  <c r="D22" i="20"/>
  <c r="E24" i="20" s="1"/>
  <c r="G28" i="20"/>
  <c r="H28" i="20" s="1"/>
  <c r="I28" i="20" s="1"/>
  <c r="J28" i="20" s="1"/>
  <c r="K28" i="20" s="1"/>
  <c r="L28" i="20" s="1"/>
  <c r="D33" i="9"/>
  <c r="G22" i="20"/>
  <c r="B135" i="14"/>
  <c r="A95" i="12"/>
  <c r="E23" i="8"/>
  <c r="E32" i="8" s="1"/>
  <c r="D29" i="20"/>
  <c r="E31" i="9"/>
  <c r="E33" i="9"/>
  <c r="C32" i="9"/>
  <c r="F36" i="9"/>
  <c r="C87" i="14"/>
  <c r="G87" i="14" s="1"/>
  <c r="C94" i="12"/>
  <c r="C35" i="20"/>
  <c r="E37" i="9"/>
  <c r="F31" i="9"/>
  <c r="F33" i="9"/>
  <c r="C33" i="9"/>
  <c r="H33" i="9" s="1"/>
  <c r="I33" i="9" s="1"/>
  <c r="J33" i="9" s="1"/>
  <c r="K33" i="9" s="1"/>
  <c r="L33" i="9" s="1"/>
  <c r="F34" i="14"/>
  <c r="C95" i="12"/>
  <c r="H97" i="12" s="1"/>
  <c r="D36" i="9"/>
  <c r="F37" i="9"/>
  <c r="F29" i="20"/>
  <c r="G33" i="9"/>
  <c r="F29" i="14"/>
  <c r="F26" i="14"/>
  <c r="F31" i="14"/>
  <c r="F27" i="14"/>
  <c r="C34" i="20"/>
  <c r="G21" i="9"/>
  <c r="G37" i="9" s="1"/>
  <c r="H37" i="9" s="1"/>
  <c r="G30" i="8"/>
  <c r="G32" i="8" s="1"/>
  <c r="G29" i="20"/>
  <c r="H29" i="20" s="1"/>
  <c r="I29" i="20" s="1"/>
  <c r="J29" i="20" s="1"/>
  <c r="K29" i="20" s="1"/>
  <c r="L29" i="20" s="1"/>
  <c r="F28" i="20"/>
  <c r="F22" i="20"/>
  <c r="G24" i="20" s="1"/>
  <c r="D34" i="20"/>
  <c r="F35" i="20"/>
  <c r="C28" i="20"/>
  <c r="F58" i="8"/>
  <c r="F60" i="8" s="1"/>
  <c r="F62" i="8" s="1"/>
  <c r="G36" i="9"/>
  <c r="H36" i="9" s="1"/>
  <c r="F54" i="21"/>
  <c r="F56" i="21" s="1"/>
  <c r="G54" i="21"/>
  <c r="D14" i="9"/>
  <c r="D31" i="9" s="1"/>
  <c r="C16" i="18"/>
  <c r="B25" i="18" s="1"/>
  <c r="E128" i="16"/>
  <c r="B9" i="18" s="1"/>
  <c r="C11" i="13" s="1"/>
  <c r="H96" i="12" l="1"/>
  <c r="C25" i="18"/>
  <c r="B26" i="18"/>
  <c r="C37" i="9"/>
  <c r="C30" i="9"/>
  <c r="D16" i="18"/>
  <c r="B19" i="18" s="1"/>
  <c r="F19" i="10"/>
  <c r="F20" i="10" s="1"/>
  <c r="F61" i="4"/>
  <c r="H105" i="14"/>
  <c r="H104" i="14"/>
  <c r="H8" i="1"/>
  <c r="I53" i="1"/>
  <c r="J53" i="1" s="1"/>
  <c r="K53" i="1" s="1"/>
  <c r="L53" i="1" s="1"/>
  <c r="G31" i="4"/>
  <c r="G37" i="4" s="1"/>
  <c r="G41" i="4" s="1"/>
  <c r="G44" i="4" s="1"/>
  <c r="C9" i="12"/>
  <c r="C11" i="12" s="1"/>
  <c r="C11" i="14"/>
  <c r="I35" i="1"/>
  <c r="J35" i="1" s="1"/>
  <c r="K35" i="1" s="1"/>
  <c r="L35" i="1" s="1"/>
  <c r="G9" i="12"/>
  <c r="G11" i="12" s="1"/>
  <c r="G11" i="14"/>
  <c r="I71" i="14"/>
  <c r="J54" i="14"/>
  <c r="J53" i="14"/>
  <c r="F29" i="3"/>
  <c r="F26" i="3"/>
  <c r="K67" i="1"/>
  <c r="K23" i="1" s="1"/>
  <c r="L23" i="1" s="1"/>
  <c r="L57" i="1"/>
  <c r="L67" i="1" s="1"/>
  <c r="C52" i="4"/>
  <c r="I37" i="9"/>
  <c r="I36" i="9"/>
  <c r="A135" i="14"/>
  <c r="B152" i="14"/>
  <c r="A152" i="14" s="1"/>
  <c r="D32" i="9"/>
  <c r="F30" i="9"/>
  <c r="F34" i="9"/>
  <c r="D30" i="20"/>
  <c r="D11" i="14"/>
  <c r="D9" i="12"/>
  <c r="D11" i="12" s="1"/>
  <c r="E52" i="4"/>
  <c r="G29" i="21"/>
  <c r="G56" i="21"/>
  <c r="H56" i="21" s="1"/>
  <c r="I10" i="8"/>
  <c r="I34" i="9"/>
  <c r="I63" i="12"/>
  <c r="I62" i="12"/>
  <c r="I80" i="12"/>
  <c r="F24" i="20"/>
  <c r="H122" i="14"/>
  <c r="D19" i="10"/>
  <c r="D20" i="10" s="1"/>
  <c r="D61" i="4"/>
  <c r="D16" i="5"/>
  <c r="I30" i="1"/>
  <c r="C24" i="18"/>
  <c r="G23" i="9"/>
  <c r="G25" i="9" s="1"/>
  <c r="C34" i="9"/>
  <c r="E19" i="10"/>
  <c r="E20" i="10" s="1"/>
  <c r="E61" i="4"/>
  <c r="F16" i="5"/>
  <c r="D18" i="9"/>
  <c r="D25" i="9" s="1"/>
  <c r="D27" i="9" s="1"/>
  <c r="H16" i="5"/>
  <c r="I16" i="5" s="1"/>
  <c r="J16" i="5" s="1"/>
  <c r="K16" i="5" s="1"/>
  <c r="L16" i="5" s="1"/>
  <c r="H45" i="12"/>
  <c r="D32" i="5"/>
  <c r="D34" i="5"/>
  <c r="D36" i="5" s="1"/>
  <c r="I31" i="1"/>
  <c r="J31" i="1" s="1"/>
  <c r="K31" i="1" s="1"/>
  <c r="L31" i="1" s="1"/>
  <c r="H88" i="14"/>
  <c r="F36" i="20"/>
  <c r="C36" i="20"/>
  <c r="F30" i="20"/>
  <c r="C29" i="20"/>
  <c r="D13" i="5"/>
  <c r="F52" i="4"/>
  <c r="D19" i="5"/>
  <c r="E19" i="5"/>
  <c r="E22" i="5"/>
  <c r="E36" i="5" s="1"/>
  <c r="G62" i="8"/>
  <c r="I38" i="9"/>
  <c r="C38" i="9"/>
  <c r="H32" i="5"/>
  <c r="I32" i="5" s="1"/>
  <c r="J32" i="5" s="1"/>
  <c r="K32" i="5" s="1"/>
  <c r="L32" i="5" s="1"/>
  <c r="D38" i="9"/>
  <c r="D52" i="4"/>
  <c r="E9" i="12"/>
  <c r="E11" i="12" s="1"/>
  <c r="E11" i="14"/>
  <c r="E32" i="5"/>
  <c r="E34" i="5"/>
  <c r="G26" i="5"/>
  <c r="H26" i="5" s="1"/>
  <c r="I26" i="5" s="1"/>
  <c r="J26" i="5" s="1"/>
  <c r="K26" i="5" s="1"/>
  <c r="L26" i="5" s="1"/>
  <c r="G34" i="5"/>
  <c r="G36" i="5" s="1"/>
  <c r="L12" i="1"/>
  <c r="C13" i="5"/>
  <c r="H13" i="5" s="1"/>
  <c r="I13" i="5" s="1"/>
  <c r="J13" i="5" s="1"/>
  <c r="K13" i="5" s="1"/>
  <c r="L13" i="5" s="1"/>
  <c r="C22" i="5"/>
  <c r="C36" i="5" s="1"/>
  <c r="J11" i="1"/>
  <c r="K11" i="1" s="1"/>
  <c r="L11" i="1" s="1"/>
  <c r="C19" i="10"/>
  <c r="C20" i="10" s="1"/>
  <c r="C61" i="4"/>
  <c r="I65" i="1"/>
  <c r="I21" i="1" s="1"/>
  <c r="J55" i="1"/>
  <c r="E30" i="9"/>
  <c r="E18" i="9"/>
  <c r="E25" i="9" s="1"/>
  <c r="F27" i="9" s="1"/>
  <c r="E62" i="8"/>
  <c r="B11" i="18"/>
  <c r="D24" i="20"/>
  <c r="F9" i="12"/>
  <c r="F11" i="12" s="1"/>
  <c r="F11" i="14"/>
  <c r="C36" i="9"/>
  <c r="I19" i="1"/>
  <c r="H25" i="1"/>
  <c r="H40" i="1" s="1"/>
  <c r="G27" i="9" l="1"/>
  <c r="J36" i="9"/>
  <c r="J38" i="9"/>
  <c r="H87" i="14"/>
  <c r="I79" i="12"/>
  <c r="J63" i="12"/>
  <c r="J62" i="12"/>
  <c r="J37" i="9"/>
  <c r="K55" i="1"/>
  <c r="J65" i="1"/>
  <c r="J21" i="1" s="1"/>
  <c r="J34" i="9"/>
  <c r="H11" i="14"/>
  <c r="I11" i="14" s="1"/>
  <c r="J11" i="14" s="1"/>
  <c r="K11" i="14" s="1"/>
  <c r="L11" i="14" s="1"/>
  <c r="H11" i="12"/>
  <c r="I25" i="1"/>
  <c r="I40" i="1" s="1"/>
  <c r="J19" i="1"/>
  <c r="G50" i="4"/>
  <c r="G52" i="4"/>
  <c r="H52" i="4" s="1"/>
  <c r="J10" i="1"/>
  <c r="E27" i="9"/>
  <c r="J10" i="8"/>
  <c r="K54" i="14"/>
  <c r="K53" i="14" s="1"/>
  <c r="H14" i="1"/>
  <c r="H41" i="1" s="1"/>
  <c r="H43" i="1" s="1"/>
  <c r="H10" i="4" s="1"/>
  <c r="H12" i="4" s="1"/>
  <c r="H14" i="4" s="1"/>
  <c r="I8" i="1"/>
  <c r="I36" i="1"/>
  <c r="I42" i="1" s="1"/>
  <c r="J30" i="1"/>
  <c r="I56" i="21"/>
  <c r="A166" i="14"/>
  <c r="C155" i="14"/>
  <c r="G155" i="14" s="1"/>
  <c r="C154" i="14"/>
  <c r="A154" i="14"/>
  <c r="C153" i="14"/>
  <c r="I104" i="14"/>
  <c r="I105" i="14"/>
  <c r="I97" i="12"/>
  <c r="I96" i="12"/>
  <c r="I46" i="12"/>
  <c r="I45" i="12" s="1"/>
  <c r="D24" i="18"/>
  <c r="E24" i="18" s="1"/>
  <c r="C12" i="13"/>
  <c r="H121" i="14"/>
  <c r="G37" i="21"/>
  <c r="H26" i="21"/>
  <c r="A137" i="14"/>
  <c r="C138" i="14"/>
  <c r="G138" i="14" s="1"/>
  <c r="A149" i="14"/>
  <c r="C136" i="14"/>
  <c r="C137" i="14"/>
  <c r="I70" i="14"/>
  <c r="B20" i="18" l="1"/>
  <c r="I52" i="4"/>
  <c r="J52" i="4" s="1"/>
  <c r="K52" i="4" s="1"/>
  <c r="L52" i="4" s="1"/>
  <c r="J46" i="12"/>
  <c r="J45" i="12"/>
  <c r="L54" i="14"/>
  <c r="K10" i="8"/>
  <c r="J80" i="12"/>
  <c r="J79" i="12"/>
  <c r="I88" i="14"/>
  <c r="K10" i="1"/>
  <c r="J71" i="14"/>
  <c r="J70" i="14"/>
  <c r="K38" i="9"/>
  <c r="L55" i="1"/>
  <c r="L65" i="1" s="1"/>
  <c r="K65" i="1"/>
  <c r="K21" i="1" s="1"/>
  <c r="L21" i="1" s="1"/>
  <c r="I122" i="14"/>
  <c r="I14" i="1"/>
  <c r="I41" i="1" s="1"/>
  <c r="I43" i="1" s="1"/>
  <c r="I10" i="4" s="1"/>
  <c r="I12" i="4" s="1"/>
  <c r="I14" i="4" s="1"/>
  <c r="J8" i="1"/>
  <c r="G19" i="10"/>
  <c r="G20" i="10" s="1"/>
  <c r="H20" i="10" s="1"/>
  <c r="I20" i="10" s="1"/>
  <c r="J20" i="10" s="1"/>
  <c r="K20" i="10" s="1"/>
  <c r="L20" i="10" s="1"/>
  <c r="G61" i="4"/>
  <c r="J97" i="12"/>
  <c r="J96" i="12"/>
  <c r="H9" i="20"/>
  <c r="H9" i="9"/>
  <c r="H9" i="14"/>
  <c r="H9" i="5"/>
  <c r="J25" i="1"/>
  <c r="J40" i="1" s="1"/>
  <c r="K19" i="1"/>
  <c r="K36" i="9"/>
  <c r="H139" i="14"/>
  <c r="H138" i="14" s="1"/>
  <c r="J56" i="21"/>
  <c r="J36" i="1"/>
  <c r="J42" i="1" s="1"/>
  <c r="K30" i="1"/>
  <c r="J105" i="14"/>
  <c r="J104" i="14" s="1"/>
  <c r="I11" i="12"/>
  <c r="K37" i="9"/>
  <c r="H156" i="14"/>
  <c r="H155" i="14"/>
  <c r="K63" i="12"/>
  <c r="K62" i="12" s="1"/>
  <c r="K34" i="9"/>
  <c r="I139" i="14" l="1"/>
  <c r="I138" i="14"/>
  <c r="K105" i="14"/>
  <c r="L63" i="12"/>
  <c r="L10" i="8"/>
  <c r="K56" i="21"/>
  <c r="K96" i="12"/>
  <c r="K97" i="12"/>
  <c r="K71" i="14"/>
  <c r="K70" i="14"/>
  <c r="H12" i="5"/>
  <c r="H18" i="5"/>
  <c r="H20" i="4" s="1"/>
  <c r="H25" i="5"/>
  <c r="H31" i="5"/>
  <c r="H28" i="4" s="1"/>
  <c r="H15" i="5"/>
  <c r="H19" i="4" s="1"/>
  <c r="I156" i="14"/>
  <c r="I155" i="14" s="1"/>
  <c r="H18" i="20"/>
  <c r="H20" i="8" s="1"/>
  <c r="H20" i="20"/>
  <c r="H22" i="8" s="1"/>
  <c r="H13" i="20"/>
  <c r="H46" i="8" s="1"/>
  <c r="H15" i="20"/>
  <c r="H48" i="8" s="1"/>
  <c r="H14" i="20"/>
  <c r="H47" i="8" s="1"/>
  <c r="H19" i="20"/>
  <c r="H21" i="8" s="1"/>
  <c r="H12" i="20"/>
  <c r="L37" i="9"/>
  <c r="L53" i="14"/>
  <c r="J11" i="12"/>
  <c r="L10" i="1"/>
  <c r="K46" i="12"/>
  <c r="K45" i="12"/>
  <c r="K36" i="1"/>
  <c r="K42" i="1" s="1"/>
  <c r="L30" i="1"/>
  <c r="L36" i="1" s="1"/>
  <c r="L42" i="1" s="1"/>
  <c r="H16" i="9"/>
  <c r="H56" i="8" s="1"/>
  <c r="H13" i="9"/>
  <c r="H15" i="9"/>
  <c r="H54" i="8" s="1"/>
  <c r="H17" i="9"/>
  <c r="H57" i="8" s="1"/>
  <c r="H21" i="9"/>
  <c r="H28" i="8" s="1"/>
  <c r="H22" i="9"/>
  <c r="H29" i="8" s="1"/>
  <c r="L38" i="9"/>
  <c r="J14" i="1"/>
  <c r="J41" i="1" s="1"/>
  <c r="J43" i="1" s="1"/>
  <c r="J10" i="4" s="1"/>
  <c r="J12" i="4" s="1"/>
  <c r="J14" i="4" s="1"/>
  <c r="K8" i="1"/>
  <c r="I87" i="14"/>
  <c r="I9" i="20"/>
  <c r="I9" i="9"/>
  <c r="I9" i="14"/>
  <c r="I9" i="5"/>
  <c r="K80" i="12"/>
  <c r="K79" i="12" s="1"/>
  <c r="H9" i="12"/>
  <c r="H10" i="12" s="1"/>
  <c r="H10" i="14"/>
  <c r="L36" i="9"/>
  <c r="L34" i="9"/>
  <c r="K25" i="1"/>
  <c r="K40" i="1" s="1"/>
  <c r="L19" i="1"/>
  <c r="L25" i="1" s="1"/>
  <c r="L40" i="1" s="1"/>
  <c r="I121" i="14"/>
  <c r="C8" i="13"/>
  <c r="B21" i="18"/>
  <c r="D25" i="18" s="1"/>
  <c r="L80" i="12" l="1"/>
  <c r="L79" i="12"/>
  <c r="J156" i="14"/>
  <c r="J155" i="14" s="1"/>
  <c r="K11" i="12"/>
  <c r="L56" i="21"/>
  <c r="J88" i="14"/>
  <c r="K14" i="1"/>
  <c r="K41" i="1" s="1"/>
  <c r="K43" i="1" s="1"/>
  <c r="K10" i="4" s="1"/>
  <c r="K12" i="4" s="1"/>
  <c r="K14" i="4" s="1"/>
  <c r="L8" i="1"/>
  <c r="L14" i="1" s="1"/>
  <c r="L41" i="1" s="1"/>
  <c r="L43" i="1" s="1"/>
  <c r="L10" i="4" s="1"/>
  <c r="L12" i="4" s="1"/>
  <c r="L14" i="4" s="1"/>
  <c r="J9" i="20"/>
  <c r="J9" i="9"/>
  <c r="J9" i="14"/>
  <c r="J9" i="5"/>
  <c r="H18" i="12"/>
  <c r="H35" i="12"/>
  <c r="H38" i="12"/>
  <c r="C101" i="12" s="1"/>
  <c r="H37" i="12"/>
  <c r="C84" i="12" s="1"/>
  <c r="H36" i="12"/>
  <c r="C67" i="12" s="1"/>
  <c r="H26" i="4"/>
  <c r="H29" i="4" s="1"/>
  <c r="H34" i="5"/>
  <c r="E25" i="18"/>
  <c r="E29" i="18" s="1"/>
  <c r="B29" i="18"/>
  <c r="C13" i="13" s="1"/>
  <c r="H22" i="20"/>
  <c r="H45" i="8"/>
  <c r="H18" i="4"/>
  <c r="H21" i="4" s="1"/>
  <c r="H22" i="5"/>
  <c r="I20" i="20"/>
  <c r="I22" i="8" s="1"/>
  <c r="I13" i="20"/>
  <c r="I46" i="8" s="1"/>
  <c r="I15" i="20"/>
  <c r="I48" i="8" s="1"/>
  <c r="I19" i="20"/>
  <c r="I21" i="8" s="1"/>
  <c r="I14" i="20"/>
  <c r="I47" i="8" s="1"/>
  <c r="I18" i="20"/>
  <c r="I20" i="8" s="1"/>
  <c r="I12" i="20"/>
  <c r="H24" i="13"/>
  <c r="H31" i="19"/>
  <c r="H46" i="14"/>
  <c r="C160" i="14" s="1"/>
  <c r="H18" i="14"/>
  <c r="H39" i="14"/>
  <c r="H44" i="14"/>
  <c r="C126" i="14" s="1"/>
  <c r="H40" i="14"/>
  <c r="C58" i="14" s="1"/>
  <c r="H43" i="14"/>
  <c r="C109" i="14" s="1"/>
  <c r="H42" i="14"/>
  <c r="C92" i="14" s="1"/>
  <c r="H45" i="14"/>
  <c r="C143" i="14" s="1"/>
  <c r="H41" i="14"/>
  <c r="C75" i="14" s="1"/>
  <c r="L46" i="12"/>
  <c r="L62" i="12"/>
  <c r="J122" i="14"/>
  <c r="I12" i="5"/>
  <c r="I25" i="5"/>
  <c r="I18" i="5"/>
  <c r="I20" i="4" s="1"/>
  <c r="I15" i="5"/>
  <c r="I19" i="4" s="1"/>
  <c r="I31" i="5"/>
  <c r="I28" i="4" s="1"/>
  <c r="L71" i="14"/>
  <c r="L70" i="14"/>
  <c r="I9" i="12"/>
  <c r="I10" i="12" s="1"/>
  <c r="I10" i="14"/>
  <c r="K104" i="14"/>
  <c r="H52" i="8"/>
  <c r="I16" i="9"/>
  <c r="I56" i="8" s="1"/>
  <c r="I15" i="9"/>
  <c r="I54" i="8" s="1"/>
  <c r="I13" i="9"/>
  <c r="I21" i="9"/>
  <c r="I28" i="8" s="1"/>
  <c r="I22" i="9"/>
  <c r="I29" i="8" s="1"/>
  <c r="I17" i="9"/>
  <c r="I57" i="8" s="1"/>
  <c r="J138" i="14"/>
  <c r="J139" i="14"/>
  <c r="L97" i="12"/>
  <c r="H36" i="5" l="1"/>
  <c r="K156" i="14"/>
  <c r="K155" i="14"/>
  <c r="I18" i="12"/>
  <c r="I37" i="12"/>
  <c r="C85" i="12" s="1"/>
  <c r="I36" i="12"/>
  <c r="C68" i="12" s="1"/>
  <c r="I35" i="12"/>
  <c r="I38" i="12"/>
  <c r="C102" i="12" s="1"/>
  <c r="J121" i="14"/>
  <c r="K84" i="12"/>
  <c r="I84" i="12"/>
  <c r="J84" i="12"/>
  <c r="L84" i="12"/>
  <c r="H84" i="12"/>
  <c r="H90" i="12" s="1"/>
  <c r="K9" i="20"/>
  <c r="K9" i="9"/>
  <c r="K9" i="14"/>
  <c r="K9" i="5"/>
  <c r="I52" i="8"/>
  <c r="H160" i="14"/>
  <c r="H166" i="14" s="1"/>
  <c r="K160" i="14"/>
  <c r="I160" i="14"/>
  <c r="L160" i="14"/>
  <c r="J160" i="14"/>
  <c r="H10" i="9"/>
  <c r="H23" i="4"/>
  <c r="H31" i="4" s="1"/>
  <c r="K101" i="12"/>
  <c r="J101" i="12"/>
  <c r="I101" i="12"/>
  <c r="H101" i="12"/>
  <c r="H107" i="12" s="1"/>
  <c r="L101" i="12"/>
  <c r="H40" i="12"/>
  <c r="C50" i="12"/>
  <c r="J87" i="14"/>
  <c r="L45" i="12"/>
  <c r="H24" i="20"/>
  <c r="H33" i="19" s="1"/>
  <c r="H48" i="19" s="1"/>
  <c r="I45" i="8"/>
  <c r="I22" i="20"/>
  <c r="K75" i="14"/>
  <c r="J75" i="14"/>
  <c r="H75" i="14"/>
  <c r="H81" i="14" s="1"/>
  <c r="L75" i="14"/>
  <c r="I75" i="14"/>
  <c r="J92" i="14"/>
  <c r="K92" i="14"/>
  <c r="L92" i="14"/>
  <c r="H92" i="14"/>
  <c r="H98" i="14" s="1"/>
  <c r="I92" i="14"/>
  <c r="J25" i="5"/>
  <c r="J15" i="5"/>
  <c r="J19" i="4" s="1"/>
  <c r="J31" i="5"/>
  <c r="J28" i="4" s="1"/>
  <c r="J18" i="5"/>
  <c r="J20" i="4" s="1"/>
  <c r="J12" i="5"/>
  <c r="L11" i="12"/>
  <c r="J109" i="14"/>
  <c r="I109" i="14"/>
  <c r="H109" i="14"/>
  <c r="H115" i="14" s="1"/>
  <c r="K109" i="14"/>
  <c r="L109" i="14"/>
  <c r="J10" i="14"/>
  <c r="J9" i="12"/>
  <c r="J10" i="12" s="1"/>
  <c r="L143" i="14"/>
  <c r="K143" i="14"/>
  <c r="I143" i="14"/>
  <c r="J143" i="14"/>
  <c r="H143" i="14"/>
  <c r="H149" i="14" s="1"/>
  <c r="L105" i="14"/>
  <c r="L104" i="14" s="1"/>
  <c r="I26" i="4"/>
  <c r="I29" i="4" s="1"/>
  <c r="I34" i="5"/>
  <c r="L58" i="14"/>
  <c r="K58" i="14"/>
  <c r="J58" i="14"/>
  <c r="H58" i="14"/>
  <c r="H64" i="14" s="1"/>
  <c r="I58" i="14"/>
  <c r="J16" i="9"/>
  <c r="J56" i="8" s="1"/>
  <c r="J15" i="9"/>
  <c r="J54" i="8" s="1"/>
  <c r="J13" i="9"/>
  <c r="J17" i="9"/>
  <c r="J57" i="8" s="1"/>
  <c r="J22" i="9"/>
  <c r="J29" i="8" s="1"/>
  <c r="J21" i="9"/>
  <c r="J28" i="8" s="1"/>
  <c r="L96" i="12"/>
  <c r="I18" i="4"/>
  <c r="I21" i="4" s="1"/>
  <c r="I22" i="5"/>
  <c r="K126" i="14"/>
  <c r="J126" i="14"/>
  <c r="H126" i="14"/>
  <c r="H132" i="14" s="1"/>
  <c r="L126" i="14"/>
  <c r="I126" i="14"/>
  <c r="J20" i="20"/>
  <c r="J22" i="8" s="1"/>
  <c r="J13" i="20"/>
  <c r="J46" i="8" s="1"/>
  <c r="J15" i="20"/>
  <c r="J48" i="8" s="1"/>
  <c r="J19" i="20"/>
  <c r="J21" i="8" s="1"/>
  <c r="J12" i="20"/>
  <c r="J18" i="20"/>
  <c r="J20" i="8" s="1"/>
  <c r="J14" i="20"/>
  <c r="J47" i="8" s="1"/>
  <c r="K138" i="14"/>
  <c r="K139" i="14"/>
  <c r="I45" i="14"/>
  <c r="C144" i="14" s="1"/>
  <c r="I31" i="19"/>
  <c r="I24" i="13"/>
  <c r="I18" i="14"/>
  <c r="I42" i="14"/>
  <c r="C93" i="14" s="1"/>
  <c r="I41" i="14"/>
  <c r="C76" i="14" s="1"/>
  <c r="I44" i="14"/>
  <c r="C127" i="14" s="1"/>
  <c r="I43" i="14"/>
  <c r="C110" i="14" s="1"/>
  <c r="I39" i="14"/>
  <c r="I46" i="14"/>
  <c r="C161" i="14" s="1"/>
  <c r="I40" i="14"/>
  <c r="C59" i="14" s="1"/>
  <c r="H48" i="14"/>
  <c r="H67" i="12"/>
  <c r="H73" i="12" s="1"/>
  <c r="L9" i="9"/>
  <c r="L9" i="14"/>
  <c r="L9" i="20"/>
  <c r="L9" i="5"/>
  <c r="K76" i="14" l="1"/>
  <c r="L76" i="14"/>
  <c r="I76" i="14"/>
  <c r="J76" i="14"/>
  <c r="J93" i="14"/>
  <c r="I93" i="14"/>
  <c r="L93" i="14"/>
  <c r="K93" i="14"/>
  <c r="K59" i="14"/>
  <c r="J59" i="14"/>
  <c r="I59" i="14"/>
  <c r="I64" i="14" s="1"/>
  <c r="L59" i="14"/>
  <c r="J161" i="14"/>
  <c r="L161" i="14"/>
  <c r="I161" i="14"/>
  <c r="I166" i="14" s="1"/>
  <c r="K161" i="14"/>
  <c r="I48" i="14"/>
  <c r="I110" i="14"/>
  <c r="I115" i="14" s="1"/>
  <c r="J110" i="14"/>
  <c r="L110" i="14"/>
  <c r="K110" i="14"/>
  <c r="J45" i="8"/>
  <c r="J22" i="20"/>
  <c r="J24" i="20" s="1"/>
  <c r="J33" i="19" s="1"/>
  <c r="L9" i="12"/>
  <c r="L10" i="12" s="1"/>
  <c r="L10" i="14"/>
  <c r="I127" i="14"/>
  <c r="I132" i="14" s="1"/>
  <c r="L127" i="14"/>
  <c r="K127" i="14"/>
  <c r="J127" i="14"/>
  <c r="J31" i="19"/>
  <c r="J39" i="14"/>
  <c r="J24" i="13"/>
  <c r="J18" i="14"/>
  <c r="J46" i="14"/>
  <c r="C162" i="14" s="1"/>
  <c r="J42" i="14"/>
  <c r="C94" i="14" s="1"/>
  <c r="J41" i="14"/>
  <c r="C77" i="14" s="1"/>
  <c r="J44" i="14"/>
  <c r="C128" i="14" s="1"/>
  <c r="J40" i="14"/>
  <c r="C60" i="14" s="1"/>
  <c r="J43" i="14"/>
  <c r="C111" i="14" s="1"/>
  <c r="J45" i="14"/>
  <c r="C145" i="14" s="1"/>
  <c r="J26" i="4"/>
  <c r="J29" i="4" s="1"/>
  <c r="J34" i="5"/>
  <c r="H168" i="14"/>
  <c r="H19" i="14" s="1"/>
  <c r="I98" i="14"/>
  <c r="K122" i="14"/>
  <c r="K121" i="14"/>
  <c r="I102" i="12"/>
  <c r="I107" i="12" s="1"/>
  <c r="L102" i="12"/>
  <c r="J102" i="12"/>
  <c r="K102" i="12"/>
  <c r="K12" i="5"/>
  <c r="K31" i="5"/>
  <c r="K28" i="4" s="1"/>
  <c r="K25" i="5"/>
  <c r="K15" i="5"/>
  <c r="K19" i="4" s="1"/>
  <c r="K18" i="5"/>
  <c r="K20" i="4" s="1"/>
  <c r="C51" i="12"/>
  <c r="I40" i="12"/>
  <c r="K9" i="12"/>
  <c r="K10" i="12" s="1"/>
  <c r="K10" i="14"/>
  <c r="I68" i="12"/>
  <c r="J68" i="12" s="1"/>
  <c r="K144" i="14"/>
  <c r="I144" i="14"/>
  <c r="L144" i="14"/>
  <c r="J144" i="14"/>
  <c r="J52" i="8"/>
  <c r="I24" i="20"/>
  <c r="I33" i="19" s="1"/>
  <c r="I48" i="19" s="1"/>
  <c r="K16" i="9"/>
  <c r="K56" i="8" s="1"/>
  <c r="K15" i="9"/>
  <c r="K54" i="8" s="1"/>
  <c r="K13" i="9"/>
  <c r="K22" i="9"/>
  <c r="K29" i="8" s="1"/>
  <c r="K21" i="9"/>
  <c r="K28" i="8" s="1"/>
  <c r="K17" i="9"/>
  <c r="K57" i="8" s="1"/>
  <c r="L85" i="12"/>
  <c r="J85" i="12"/>
  <c r="K85" i="12"/>
  <c r="I85" i="12"/>
  <c r="I90" i="12" s="1"/>
  <c r="I67" i="12"/>
  <c r="I81" i="14"/>
  <c r="H14" i="9"/>
  <c r="H20" i="9"/>
  <c r="K13" i="20"/>
  <c r="K46" i="8" s="1"/>
  <c r="K15" i="20"/>
  <c r="K48" i="8" s="1"/>
  <c r="K19" i="20"/>
  <c r="K21" i="8" s="1"/>
  <c r="K12" i="20"/>
  <c r="K18" i="20"/>
  <c r="K20" i="8" s="1"/>
  <c r="K20" i="20"/>
  <c r="K22" i="8" s="1"/>
  <c r="K14" i="20"/>
  <c r="K47" i="8" s="1"/>
  <c r="I149" i="14"/>
  <c r="J18" i="4"/>
  <c r="J21" i="4" s="1"/>
  <c r="J22" i="5"/>
  <c r="J36" i="5" s="1"/>
  <c r="K88" i="14"/>
  <c r="K87" i="14" s="1"/>
  <c r="L16" i="9"/>
  <c r="L56" i="8" s="1"/>
  <c r="L15" i="9"/>
  <c r="L54" i="8" s="1"/>
  <c r="L13" i="9"/>
  <c r="L22" i="9"/>
  <c r="L29" i="8" s="1"/>
  <c r="L21" i="9"/>
  <c r="L28" i="8" s="1"/>
  <c r="L17" i="9"/>
  <c r="L57" i="8" s="1"/>
  <c r="L138" i="14"/>
  <c r="L139" i="14"/>
  <c r="I36" i="5"/>
  <c r="J50" i="12"/>
  <c r="I50" i="12"/>
  <c r="L50" i="12"/>
  <c r="K50" i="12"/>
  <c r="H50" i="12"/>
  <c r="H56" i="12" s="1"/>
  <c r="H109" i="12" s="1"/>
  <c r="H19" i="12" s="1"/>
  <c r="I10" i="9"/>
  <c r="I23" i="4"/>
  <c r="I31" i="4" s="1"/>
  <c r="L156" i="14"/>
  <c r="L155" i="14" s="1"/>
  <c r="L31" i="5"/>
  <c r="L28" i="4" s="1"/>
  <c r="L25" i="5"/>
  <c r="L15" i="5"/>
  <c r="L19" i="4" s="1"/>
  <c r="L18" i="5"/>
  <c r="L20" i="4" s="1"/>
  <c r="L12" i="5"/>
  <c r="L15" i="20"/>
  <c r="L48" i="8" s="1"/>
  <c r="L19" i="20"/>
  <c r="L21" i="8" s="1"/>
  <c r="L12" i="20"/>
  <c r="L14" i="20"/>
  <c r="L47" i="8" s="1"/>
  <c r="L20" i="20"/>
  <c r="L22" i="8" s="1"/>
  <c r="L18" i="20"/>
  <c r="L20" i="8" s="1"/>
  <c r="L13" i="20"/>
  <c r="L46" i="8" s="1"/>
  <c r="J18" i="12"/>
  <c r="J37" i="12"/>
  <c r="C86" i="12" s="1"/>
  <c r="J36" i="12"/>
  <c r="C69" i="12" s="1"/>
  <c r="J38" i="12"/>
  <c r="C103" i="12" s="1"/>
  <c r="J35" i="12"/>
  <c r="I168" i="14" l="1"/>
  <c r="I19" i="14" s="1"/>
  <c r="I33" i="4" s="1"/>
  <c r="J48" i="14"/>
  <c r="K68" i="12"/>
  <c r="L68" i="12" s="1"/>
  <c r="J48" i="19"/>
  <c r="H34" i="4"/>
  <c r="H21" i="12"/>
  <c r="L87" i="14"/>
  <c r="L88" i="14"/>
  <c r="J69" i="12"/>
  <c r="L69" i="12"/>
  <c r="K69" i="12"/>
  <c r="H33" i="4"/>
  <c r="H35" i="4" s="1"/>
  <c r="H21" i="14"/>
  <c r="H53" i="8"/>
  <c r="H18" i="9"/>
  <c r="K52" i="8"/>
  <c r="J51" i="12"/>
  <c r="I51" i="12"/>
  <c r="L51" i="12"/>
  <c r="K51" i="12"/>
  <c r="K86" i="12"/>
  <c r="L86" i="12"/>
  <c r="J86" i="12"/>
  <c r="J90" i="12" s="1"/>
  <c r="I56" i="12"/>
  <c r="L122" i="14"/>
  <c r="L145" i="14"/>
  <c r="J145" i="14"/>
  <c r="K145" i="14"/>
  <c r="J10" i="9"/>
  <c r="J23" i="4"/>
  <c r="J31" i="4" s="1"/>
  <c r="I73" i="12"/>
  <c r="K26" i="4"/>
  <c r="K29" i="4" s="1"/>
  <c r="K34" i="5"/>
  <c r="J111" i="14"/>
  <c r="J115" i="14" s="1"/>
  <c r="L111" i="14"/>
  <c r="K111" i="14"/>
  <c r="K60" i="14"/>
  <c r="J60" i="14"/>
  <c r="J64" i="14" s="1"/>
  <c r="L60" i="14"/>
  <c r="L22" i="20"/>
  <c r="L45" i="8"/>
  <c r="L18" i="12"/>
  <c r="L35" i="12"/>
  <c r="L38" i="12"/>
  <c r="C105" i="12" s="1"/>
  <c r="L105" i="12" s="1"/>
  <c r="L36" i="12"/>
  <c r="C71" i="12" s="1"/>
  <c r="L71" i="12" s="1"/>
  <c r="L37" i="12"/>
  <c r="C88" i="12" s="1"/>
  <c r="L88" i="12" s="1"/>
  <c r="K18" i="4"/>
  <c r="K21" i="4" s="1"/>
  <c r="K22" i="5"/>
  <c r="K36" i="5" s="1"/>
  <c r="K128" i="14"/>
  <c r="J128" i="14"/>
  <c r="J132" i="14" s="1"/>
  <c r="L128" i="14"/>
  <c r="L34" i="5"/>
  <c r="L26" i="4"/>
  <c r="L29" i="4" s="1"/>
  <c r="H23" i="9"/>
  <c r="H27" i="8"/>
  <c r="K24" i="13"/>
  <c r="K18" i="14"/>
  <c r="K31" i="19"/>
  <c r="K46" i="14"/>
  <c r="C163" i="14" s="1"/>
  <c r="K42" i="14"/>
  <c r="C95" i="14" s="1"/>
  <c r="K45" i="14"/>
  <c r="C146" i="14" s="1"/>
  <c r="K41" i="14"/>
  <c r="C78" i="14" s="1"/>
  <c r="K44" i="14"/>
  <c r="C129" i="14" s="1"/>
  <c r="K40" i="14"/>
  <c r="C61" i="14" s="1"/>
  <c r="K43" i="14"/>
  <c r="C112" i="14" s="1"/>
  <c r="K39" i="14"/>
  <c r="L77" i="14"/>
  <c r="K77" i="14"/>
  <c r="J77" i="14"/>
  <c r="J81" i="14" s="1"/>
  <c r="L24" i="13"/>
  <c r="L18" i="14"/>
  <c r="L43" i="14"/>
  <c r="C113" i="14" s="1"/>
  <c r="L113" i="14" s="1"/>
  <c r="L44" i="14"/>
  <c r="C130" i="14" s="1"/>
  <c r="L130" i="14" s="1"/>
  <c r="L31" i="19"/>
  <c r="L40" i="14"/>
  <c r="C62" i="14" s="1"/>
  <c r="L62" i="14" s="1"/>
  <c r="L39" i="14"/>
  <c r="L46" i="14"/>
  <c r="C164" i="14" s="1"/>
  <c r="L164" i="14" s="1"/>
  <c r="L42" i="14"/>
  <c r="C96" i="14" s="1"/>
  <c r="L96" i="14" s="1"/>
  <c r="L45" i="14"/>
  <c r="C147" i="14" s="1"/>
  <c r="L147" i="14" s="1"/>
  <c r="L41" i="14"/>
  <c r="C79" i="14" s="1"/>
  <c r="L79" i="14" s="1"/>
  <c r="K22" i="20"/>
  <c r="K45" i="8"/>
  <c r="K18" i="12"/>
  <c r="K36" i="12"/>
  <c r="C70" i="12" s="1"/>
  <c r="K35" i="12"/>
  <c r="K38" i="12"/>
  <c r="C104" i="12" s="1"/>
  <c r="K37" i="12"/>
  <c r="C87" i="12" s="1"/>
  <c r="J94" i="14"/>
  <c r="J98" i="14" s="1"/>
  <c r="L94" i="14"/>
  <c r="K94" i="14"/>
  <c r="I14" i="9"/>
  <c r="I20" i="9"/>
  <c r="L52" i="8"/>
  <c r="J149" i="14"/>
  <c r="L162" i="14"/>
  <c r="K162" i="14"/>
  <c r="J162" i="14"/>
  <c r="J166" i="14" s="1"/>
  <c r="C52" i="12"/>
  <c r="J40" i="12"/>
  <c r="L18" i="4"/>
  <c r="L21" i="4" s="1"/>
  <c r="L22" i="5"/>
  <c r="J103" i="12"/>
  <c r="J107" i="12" s="1"/>
  <c r="K103" i="12"/>
  <c r="L103" i="12"/>
  <c r="J67" i="12"/>
  <c r="J73" i="12" s="1"/>
  <c r="K24" i="20"/>
  <c r="K33" i="19" s="1"/>
  <c r="I109" i="12" l="1"/>
  <c r="I19" i="12" s="1"/>
  <c r="I34" i="4" s="1"/>
  <c r="I35" i="4" s="1"/>
  <c r="J168" i="14"/>
  <c r="J19" i="14" s="1"/>
  <c r="J33" i="4" s="1"/>
  <c r="I21" i="13"/>
  <c r="I11" i="19"/>
  <c r="I37" i="4"/>
  <c r="L107" i="12"/>
  <c r="K52" i="12"/>
  <c r="J52" i="12"/>
  <c r="J56" i="12" s="1"/>
  <c r="J109" i="12" s="1"/>
  <c r="J19" i="12" s="1"/>
  <c r="J34" i="4" s="1"/>
  <c r="L52" i="12"/>
  <c r="K48" i="14"/>
  <c r="L40" i="12"/>
  <c r="C54" i="12"/>
  <c r="L54" i="12" s="1"/>
  <c r="L121" i="14"/>
  <c r="H25" i="9"/>
  <c r="L87" i="12"/>
  <c r="L90" i="12" s="1"/>
  <c r="K87" i="12"/>
  <c r="K90" i="12" s="1"/>
  <c r="L112" i="14"/>
  <c r="L115" i="14" s="1"/>
  <c r="K112" i="14"/>
  <c r="K115" i="14" s="1"/>
  <c r="K70" i="12"/>
  <c r="L70" i="12"/>
  <c r="L48" i="19"/>
  <c r="K78" i="14"/>
  <c r="K81" i="14" s="1"/>
  <c r="L78" i="14"/>
  <c r="L81" i="14" s="1"/>
  <c r="H21" i="13"/>
  <c r="H11" i="19"/>
  <c r="H37" i="4"/>
  <c r="K104" i="12"/>
  <c r="K107" i="12" s="1"/>
  <c r="L104" i="12"/>
  <c r="K61" i="14"/>
  <c r="K64" i="14" s="1"/>
  <c r="L61" i="14"/>
  <c r="L64" i="14" s="1"/>
  <c r="L129" i="14"/>
  <c r="L132" i="14" s="1"/>
  <c r="K129" i="14"/>
  <c r="K132" i="14" s="1"/>
  <c r="H36" i="8"/>
  <c r="H38" i="8" s="1"/>
  <c r="I17" i="14"/>
  <c r="I21" i="14" s="1"/>
  <c r="I17" i="12"/>
  <c r="I21" i="12" s="1"/>
  <c r="H40" i="8"/>
  <c r="L95" i="14"/>
  <c r="K95" i="14"/>
  <c r="K98" i="14" s="1"/>
  <c r="J14" i="9"/>
  <c r="J20" i="9"/>
  <c r="K163" i="14"/>
  <c r="K166" i="14" s="1"/>
  <c r="L163" i="14"/>
  <c r="L166" i="14" s="1"/>
  <c r="K40" i="12"/>
  <c r="C53" i="12"/>
  <c r="K67" i="12"/>
  <c r="I23" i="9"/>
  <c r="I27" i="8"/>
  <c r="L36" i="5"/>
  <c r="I53" i="8"/>
  <c r="I18" i="9"/>
  <c r="L24" i="20"/>
  <c r="L33" i="19" s="1"/>
  <c r="K48" i="19"/>
  <c r="K10" i="9"/>
  <c r="K23" i="4"/>
  <c r="K31" i="4" s="1"/>
  <c r="K146" i="14"/>
  <c r="K149" i="14" s="1"/>
  <c r="L146" i="14"/>
  <c r="L149" i="14" s="1"/>
  <c r="L48" i="14"/>
  <c r="L10" i="9"/>
  <c r="L23" i="4"/>
  <c r="L31" i="4" s="1"/>
  <c r="L98" i="14"/>
  <c r="L168" i="14" l="1"/>
  <c r="L19" i="14" s="1"/>
  <c r="L33" i="4" s="1"/>
  <c r="K73" i="12"/>
  <c r="L67" i="12"/>
  <c r="L73" i="12" s="1"/>
  <c r="L14" i="9"/>
  <c r="L20" i="9"/>
  <c r="H27" i="9"/>
  <c r="J17" i="12"/>
  <c r="J21" i="12" s="1"/>
  <c r="I40" i="8"/>
  <c r="I36" i="8"/>
  <c r="I38" i="8" s="1"/>
  <c r="J17" i="14"/>
  <c r="J21" i="14" s="1"/>
  <c r="H49" i="8"/>
  <c r="J35" i="4"/>
  <c r="K168" i="14"/>
  <c r="K19" i="14" s="1"/>
  <c r="K33" i="4" s="1"/>
  <c r="J27" i="8"/>
  <c r="J23" i="9"/>
  <c r="L53" i="12"/>
  <c r="L56" i="12" s="1"/>
  <c r="K53" i="12"/>
  <c r="K56" i="12" s="1"/>
  <c r="K109" i="12" s="1"/>
  <c r="K19" i="12" s="1"/>
  <c r="K34" i="4" s="1"/>
  <c r="K14" i="9"/>
  <c r="K20" i="9"/>
  <c r="J53" i="8"/>
  <c r="J18" i="9"/>
  <c r="I25" i="9"/>
  <c r="I27" i="9" s="1"/>
  <c r="L109" i="12" l="1"/>
  <c r="L19" i="12" s="1"/>
  <c r="L34" i="4" s="1"/>
  <c r="L35" i="4" s="1"/>
  <c r="I23" i="13"/>
  <c r="I22" i="19"/>
  <c r="H23" i="13"/>
  <c r="H22" i="19"/>
  <c r="L23" i="9"/>
  <c r="L27" i="8"/>
  <c r="J21" i="13"/>
  <c r="J11" i="19"/>
  <c r="J37" i="4"/>
  <c r="J25" i="9"/>
  <c r="K27" i="9" s="1"/>
  <c r="L53" i="8"/>
  <c r="L18" i="9"/>
  <c r="K17" i="12"/>
  <c r="K21" i="12" s="1"/>
  <c r="J40" i="8"/>
  <c r="K23" i="9"/>
  <c r="K27" i="8"/>
  <c r="K35" i="4"/>
  <c r="K53" i="8"/>
  <c r="K18" i="9"/>
  <c r="K25" i="9" s="1"/>
  <c r="J36" i="8"/>
  <c r="J38" i="8" s="1"/>
  <c r="J49" i="8" s="1"/>
  <c r="K17" i="14"/>
  <c r="K21" i="14" s="1"/>
  <c r="I49" i="8"/>
  <c r="K36" i="8" l="1"/>
  <c r="K38" i="8" s="1"/>
  <c r="L17" i="14"/>
  <c r="L21" i="14" s="1"/>
  <c r="L36" i="8" s="1"/>
  <c r="L38" i="8" s="1"/>
  <c r="K21" i="13"/>
  <c r="K11" i="19"/>
  <c r="K37" i="4"/>
  <c r="J27" i="9"/>
  <c r="K23" i="13"/>
  <c r="K22" i="19"/>
  <c r="L17" i="12"/>
  <c r="L21" i="12" s="1"/>
  <c r="L40" i="8" s="1"/>
  <c r="K40" i="8"/>
  <c r="L25" i="9"/>
  <c r="L27" i="9" s="1"/>
  <c r="L21" i="13"/>
  <c r="L11" i="19"/>
  <c r="L37" i="4"/>
  <c r="K49" i="8" l="1"/>
  <c r="L23" i="13"/>
  <c r="L22" i="19"/>
  <c r="L49" i="8"/>
  <c r="J23" i="13"/>
  <c r="J22" i="19"/>
  <c r="H30" i="8" l="1"/>
  <c r="H26" i="8"/>
  <c r="J28" i="19"/>
  <c r="J48" i="4"/>
  <c r="H60" i="19"/>
  <c r="H51" i="19"/>
  <c r="L26" i="13"/>
  <c r="L22" i="13"/>
  <c r="K32" i="13"/>
  <c r="K28" i="13"/>
  <c r="K28" i="19"/>
  <c r="K48" i="4"/>
  <c r="L9" i="21"/>
  <c r="L14" i="21"/>
  <c r="L17" i="21"/>
  <c r="L22" i="21"/>
  <c r="K49" i="21"/>
  <c r="K47" i="21"/>
  <c r="J46" i="21"/>
  <c r="I32" i="13"/>
  <c r="I28" i="13"/>
  <c r="K30" i="8"/>
  <c r="K26" i="8"/>
  <c r="I59" i="19"/>
  <c r="I15" i="19"/>
  <c r="K62" i="19"/>
  <c r="L33" i="13"/>
  <c r="L30" i="13"/>
  <c r="L35" i="21"/>
  <c r="L33" i="21"/>
  <c r="J12" i="21"/>
  <c r="K47" i="13"/>
  <c r="K20" i="13"/>
  <c r="K25" i="13"/>
  <c r="K43" i="13"/>
  <c r="I12" i="21"/>
  <c r="L59" i="19"/>
  <c r="L15" i="19"/>
  <c r="H28" i="19"/>
  <c r="H48" i="4"/>
  <c r="H11" i="21"/>
  <c r="I63" i="8"/>
  <c r="I62" i="8"/>
  <c r="L28" i="13"/>
  <c r="L32" i="13"/>
  <c r="H26" i="13"/>
  <c r="H22" i="13"/>
  <c r="K35" i="21"/>
  <c r="K33" i="21"/>
  <c r="I10" i="10"/>
  <c r="I49" i="21"/>
  <c r="I47" i="21"/>
  <c r="K21" i="21"/>
  <c r="K23" i="21"/>
  <c r="L21" i="21"/>
  <c r="L23" i="21"/>
  <c r="L26" i="8"/>
  <c r="L30" i="8"/>
  <c r="I27" i="21"/>
  <c r="I15" i="21"/>
  <c r="I54" i="21"/>
  <c r="I55" i="21"/>
  <c r="J55" i="21"/>
  <c r="J54" i="21"/>
  <c r="J15" i="21"/>
  <c r="J27" i="21"/>
  <c r="J47" i="13"/>
  <c r="J43" i="13"/>
  <c r="L26" i="22"/>
  <c r="L60" i="8"/>
  <c r="L62" i="8"/>
  <c r="L63" i="8"/>
  <c r="J12" i="8"/>
  <c r="I60" i="8"/>
  <c r="I26" i="22"/>
  <c r="I30" i="8"/>
  <c r="I26" i="8"/>
  <c r="I46" i="21"/>
  <c r="J47" i="21"/>
  <c r="J49" i="21"/>
  <c r="I28" i="19"/>
  <c r="I48" i="4"/>
  <c r="J35" i="21"/>
  <c r="J33" i="21"/>
  <c r="K26" i="22"/>
  <c r="K46" i="21"/>
  <c r="L47" i="21"/>
  <c r="L49" i="21"/>
  <c r="K10" i="21"/>
  <c r="K18" i="10"/>
  <c r="K12" i="10"/>
  <c r="K56" i="19"/>
  <c r="K19" i="22"/>
  <c r="K18" i="22"/>
  <c r="H87" i="13"/>
  <c r="D58" i="13"/>
  <c r="D52" i="13"/>
  <c r="D49" i="13"/>
  <c r="L12" i="21"/>
  <c r="L27" i="21"/>
  <c r="L15" i="21"/>
  <c r="L54" i="21"/>
  <c r="L55" i="21"/>
  <c r="I10" i="21"/>
  <c r="I19" i="10"/>
  <c r="I18" i="10"/>
  <c r="I12" i="10"/>
  <c r="I56" i="19"/>
  <c r="K55" i="8"/>
  <c r="K58" i="8"/>
  <c r="K60" i="8"/>
  <c r="K62" i="8"/>
  <c r="K63" i="8"/>
  <c r="J60" i="19"/>
  <c r="J51" i="19"/>
  <c r="L48" i="13"/>
  <c r="L45" i="13"/>
  <c r="R76" i="13"/>
  <c r="H28" i="13"/>
  <c r="H32" i="13"/>
  <c r="C34" i="13"/>
  <c r="C40" i="13"/>
  <c r="H76" i="13"/>
  <c r="I12" i="8"/>
  <c r="L10" i="10"/>
  <c r="K19" i="10"/>
  <c r="K10" i="10"/>
  <c r="J26" i="13"/>
  <c r="J22" i="13"/>
  <c r="J32" i="13"/>
  <c r="J20" i="13"/>
  <c r="J25" i="13"/>
  <c r="J28" i="13"/>
  <c r="L28" i="19"/>
  <c r="L48" i="4"/>
  <c r="K59" i="19"/>
  <c r="K15" i="19"/>
  <c r="I11" i="8"/>
  <c r="I14" i="8"/>
  <c r="I32" i="8"/>
  <c r="I62" i="19"/>
  <c r="J10" i="10"/>
  <c r="K61" i="19"/>
  <c r="K65" i="19"/>
  <c r="L62" i="19"/>
  <c r="J11" i="8"/>
  <c r="J14" i="8"/>
  <c r="J32" i="8"/>
  <c r="H27" i="22"/>
  <c r="L20" i="13"/>
  <c r="L25" i="13"/>
  <c r="L43" i="13"/>
  <c r="L47" i="13"/>
  <c r="K11" i="21"/>
  <c r="H32" i="8"/>
  <c r="H12" i="8"/>
  <c r="K60" i="19"/>
  <c r="K51" i="19"/>
  <c r="I26" i="13"/>
  <c r="I22" i="13"/>
  <c r="H10" i="21"/>
  <c r="H18" i="10"/>
  <c r="H12" i="10"/>
  <c r="H56" i="19"/>
  <c r="K26" i="13"/>
  <c r="K22" i="13"/>
  <c r="I22" i="21"/>
  <c r="I17" i="21"/>
  <c r="I9" i="21"/>
  <c r="I14" i="21"/>
  <c r="H63" i="8"/>
  <c r="H62" i="8"/>
  <c r="I35" i="21"/>
  <c r="I33" i="21"/>
  <c r="K12" i="8"/>
  <c r="J63" i="8"/>
  <c r="J62" i="8"/>
  <c r="I19" i="22"/>
  <c r="I55" i="8"/>
  <c r="I58" i="8"/>
  <c r="I18" i="22"/>
  <c r="K12" i="21"/>
  <c r="L61" i="4"/>
  <c r="L12" i="22"/>
  <c r="L14" i="22"/>
  <c r="L15" i="22"/>
  <c r="L11" i="22"/>
  <c r="L13" i="22"/>
  <c r="K25" i="22"/>
  <c r="K23" i="22"/>
  <c r="K27" i="13"/>
  <c r="K23" i="8"/>
  <c r="K19" i="8"/>
  <c r="K24" i="22"/>
  <c r="J25" i="22"/>
  <c r="J24" i="22"/>
  <c r="J23" i="8"/>
  <c r="J23" i="22"/>
  <c r="J19" i="8"/>
  <c r="J27" i="13"/>
  <c r="I27" i="22"/>
  <c r="H60" i="8"/>
  <c r="H26" i="22"/>
  <c r="L60" i="19"/>
  <c r="L51" i="19"/>
  <c r="L14" i="8"/>
  <c r="L32" i="8"/>
  <c r="H20" i="13"/>
  <c r="H25" i="13"/>
  <c r="H43" i="13"/>
  <c r="H47" i="13"/>
  <c r="C49" i="13"/>
  <c r="C52" i="13"/>
  <c r="C58" i="13"/>
  <c r="J60" i="8"/>
  <c r="J26" i="22"/>
  <c r="J11" i="21"/>
  <c r="L19" i="22"/>
  <c r="L58" i="8"/>
  <c r="L18" i="22"/>
  <c r="H46" i="21"/>
  <c r="H47" i="21"/>
  <c r="H49" i="21"/>
  <c r="L9" i="19"/>
  <c r="L20" i="19"/>
  <c r="L27" i="19"/>
  <c r="L29" i="19"/>
  <c r="L61" i="19"/>
  <c r="L65" i="19"/>
  <c r="L55" i="8"/>
  <c r="L46" i="21"/>
  <c r="K27" i="22"/>
  <c r="K55" i="21"/>
  <c r="K54" i="21"/>
  <c r="K15" i="21"/>
  <c r="K27" i="21"/>
  <c r="H14" i="22"/>
  <c r="H61" i="4"/>
  <c r="H13" i="22"/>
  <c r="H12" i="22"/>
  <c r="H15" i="22"/>
  <c r="H11" i="22"/>
  <c r="I11" i="22"/>
  <c r="I61" i="4"/>
  <c r="I14" i="22"/>
  <c r="I13" i="22"/>
  <c r="I15" i="22"/>
  <c r="I12" i="22"/>
  <c r="H35" i="21"/>
  <c r="H33" i="21"/>
  <c r="J9" i="21"/>
  <c r="J14" i="21"/>
  <c r="J17" i="21"/>
  <c r="J22" i="21"/>
  <c r="J10" i="21"/>
  <c r="J19" i="10"/>
  <c r="J18" i="10"/>
  <c r="J12" i="10"/>
  <c r="J56" i="19"/>
  <c r="I9" i="19"/>
  <c r="I20" i="19"/>
  <c r="I27" i="19"/>
  <c r="I29" i="19"/>
  <c r="I61" i="19"/>
  <c r="I65" i="19"/>
  <c r="J62" i="19"/>
  <c r="K22" i="21"/>
  <c r="K9" i="19"/>
  <c r="K20" i="19"/>
  <c r="K27" i="19"/>
  <c r="K29" i="19"/>
  <c r="K9" i="21"/>
  <c r="K14" i="21"/>
  <c r="K17" i="21"/>
  <c r="I11" i="21"/>
  <c r="J27" i="22"/>
  <c r="I25" i="22"/>
  <c r="I23" i="22"/>
  <c r="I23" i="8"/>
  <c r="I27" i="13"/>
  <c r="I24" i="22"/>
  <c r="L10" i="21"/>
  <c r="L41" i="4"/>
  <c r="L44" i="4"/>
  <c r="L50" i="4"/>
  <c r="L19" i="10"/>
  <c r="L18" i="10"/>
  <c r="L12" i="10"/>
  <c r="L56" i="19"/>
  <c r="L23" i="8"/>
  <c r="L24" i="22"/>
  <c r="L25" i="22"/>
  <c r="L27" i="13"/>
  <c r="L26" i="21"/>
  <c r="L29" i="21"/>
  <c r="L19" i="8"/>
  <c r="L23" i="22"/>
  <c r="L11" i="21"/>
  <c r="H15" i="19"/>
  <c r="H59" i="19"/>
  <c r="K14" i="22"/>
  <c r="K13" i="22"/>
  <c r="K61" i="4"/>
  <c r="K12" i="22"/>
  <c r="K15" i="22"/>
  <c r="K37" i="21"/>
  <c r="K39" i="21"/>
  <c r="K41" i="21"/>
  <c r="K38" i="4"/>
  <c r="K41" i="4"/>
  <c r="K44" i="4"/>
  <c r="K50" i="4"/>
  <c r="K11" i="22"/>
  <c r="L9" i="10"/>
  <c r="L15" i="10"/>
  <c r="L11" i="8"/>
  <c r="L12" i="8"/>
  <c r="I19" i="8"/>
  <c r="I51" i="19"/>
  <c r="I60" i="19"/>
  <c r="H19" i="22"/>
  <c r="H61" i="19"/>
  <c r="H65" i="19"/>
  <c r="H55" i="8"/>
  <c r="H58" i="8"/>
  <c r="H18" i="22"/>
  <c r="I37" i="21"/>
  <c r="I39" i="21"/>
  <c r="I41" i="21"/>
  <c r="I38" i="4"/>
  <c r="I41" i="4"/>
  <c r="I44" i="4"/>
  <c r="I50" i="4"/>
  <c r="I20" i="13"/>
  <c r="I25" i="13"/>
  <c r="I43" i="13"/>
  <c r="I47" i="13"/>
  <c r="J15" i="22"/>
  <c r="J11" i="22"/>
  <c r="J12" i="22"/>
  <c r="J13" i="22"/>
  <c r="J61" i="4"/>
  <c r="J50" i="4"/>
  <c r="J14" i="22"/>
  <c r="J15" i="19"/>
  <c r="J59" i="19"/>
  <c r="H25" i="22"/>
  <c r="H23" i="22"/>
  <c r="H23" i="8"/>
  <c r="H24" i="22"/>
  <c r="H19" i="8"/>
  <c r="H27" i="13"/>
  <c r="J26" i="21"/>
  <c r="J29" i="21"/>
  <c r="K26" i="21"/>
  <c r="K29" i="21"/>
  <c r="L37" i="21"/>
  <c r="L39" i="21"/>
  <c r="L41" i="21"/>
  <c r="L38" i="4"/>
  <c r="L27" i="22"/>
  <c r="J18" i="22"/>
  <c r="I26" i="21"/>
  <c r="I29" i="21"/>
  <c r="J37" i="21"/>
  <c r="J39" i="21"/>
  <c r="J41" i="21"/>
  <c r="J38" i="4"/>
  <c r="J41" i="4"/>
  <c r="J44" i="4"/>
  <c r="J9" i="19"/>
  <c r="J20" i="19"/>
  <c r="J27" i="19"/>
  <c r="J29" i="19"/>
  <c r="J61" i="19"/>
  <c r="J65" i="19"/>
  <c r="J55" i="8"/>
  <c r="J58" i="8"/>
  <c r="J19" i="22"/>
  <c r="I9" i="10"/>
  <c r="I15" i="10"/>
  <c r="J9" i="10"/>
  <c r="J15" i="10"/>
  <c r="K9" i="10"/>
  <c r="K15" i="10"/>
  <c r="K11" i="8"/>
  <c r="K14" i="8"/>
  <c r="K32" i="8"/>
  <c r="H50" i="4"/>
  <c r="H19" i="10"/>
  <c r="H10" i="10"/>
  <c r="H15" i="10"/>
  <c r="H11" i="8"/>
  <c r="H14" i="8"/>
  <c r="H55" i="21"/>
  <c r="H54" i="21"/>
  <c r="H15" i="21"/>
  <c r="H27" i="21"/>
  <c r="H29" i="21"/>
  <c r="H37" i="21"/>
  <c r="H39" i="21"/>
  <c r="H41" i="21"/>
  <c r="H38" i="4"/>
  <c r="H41" i="4"/>
  <c r="H44" i="4"/>
  <c r="H9" i="19"/>
  <c r="H20" i="19"/>
  <c r="H27" i="19"/>
  <c r="H29" i="19"/>
  <c r="H9" i="21"/>
  <c r="H14" i="21"/>
  <c r="H17" i="21"/>
  <c r="H22" i="21"/>
  <c r="H23" i="21"/>
  <c r="I21" i="21"/>
  <c r="I23" i="21"/>
  <c r="J21" i="21"/>
  <c r="J23" i="21"/>
  <c r="J26" i="8"/>
  <c r="J3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tc={32702352-343A-4729-AADA-7CB386A5F55E}</author>
    <author>tc={1A1018FC-ADD3-414E-821F-B67713CA33A9}</author>
    <author>tc={1276995B-C84E-4DC5-9BC3-B12902C312DF}</author>
  </authors>
  <commentList>
    <comment ref="H53" authorId="0" shapeId="0" xr:uid="{32702352-343A-4729-AADA-7CB386A5F55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Bullish &amp; Bearish Growth Rate</t>
        </r>
      </text>
    </comment>
    <comment ref="H63" authorId="1" shapeId="0" xr:uid="{1A1018FC-ADD3-414E-821F-B67713CA33A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5yr % Growth Rate</t>
        </r>
      </text>
    </comment>
    <comment ref="H73" authorId="2" shapeId="0" xr:uid="{1276995B-C84E-4DC5-9BC3-B12902C312D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6 yr CAGR</t>
        </r>
      </text>
    </comment>
  </commentList>
</comments>
</file>

<file path=xl/sharedStrings.xml><?xml version="1.0" encoding="utf-8"?>
<sst xmlns="http://schemas.openxmlformats.org/spreadsheetml/2006/main" count="963" uniqueCount="677">
  <si>
    <t>Segments</t>
  </si>
  <si>
    <t>Automotive</t>
  </si>
  <si>
    <t>Total</t>
  </si>
  <si>
    <t>Hospitality</t>
  </si>
  <si>
    <t>Others</t>
  </si>
  <si>
    <t xml:space="preserve">Real Estate </t>
  </si>
  <si>
    <t>Farm Equipment</t>
  </si>
  <si>
    <t>(Value in Rs Cr)</t>
  </si>
  <si>
    <t>Financial Services</t>
  </si>
  <si>
    <t>EQUITY</t>
  </si>
  <si>
    <t>LIABILITIES</t>
  </si>
  <si>
    <t>Inventories</t>
  </si>
  <si>
    <t>1,66,462.49</t>
  </si>
  <si>
    <t>1,67,006.66</t>
  </si>
  <si>
    <t>Goodwill</t>
  </si>
  <si>
    <t>Provisions</t>
  </si>
  <si>
    <t>I. ASSETS</t>
  </si>
  <si>
    <t>NON-CURRENT ASSETS</t>
  </si>
  <si>
    <t>Property, plant and equipment</t>
  </si>
  <si>
    <t>Capital work-in-progress.</t>
  </si>
  <si>
    <t>Other intangible assets.</t>
  </si>
  <si>
    <t>Intangible assets under development</t>
  </si>
  <si>
    <t>Investments accounted using equity method.</t>
  </si>
  <si>
    <t>Financial assets</t>
  </si>
  <si>
    <t>(i) Investments</t>
  </si>
  <si>
    <t>(ii) Trade receivables.</t>
  </si>
  <si>
    <t>(iii) Loans.</t>
  </si>
  <si>
    <t>(iv) Other financial assets.</t>
  </si>
  <si>
    <t>Deferred tax assets (net)</t>
  </si>
  <si>
    <t>Income tax assets (net)</t>
  </si>
  <si>
    <t>Other non-current assets</t>
  </si>
  <si>
    <t/>
  </si>
  <si>
    <t>CURRENT ASSETS</t>
  </si>
  <si>
    <t>(iii) Cash and cash equivalents</t>
  </si>
  <si>
    <t>(iv) Bank balances other than cash and cash equivalents.</t>
  </si>
  <si>
    <t>(v) Loans.</t>
  </si>
  <si>
    <t>(vi) Other financial assets.</t>
  </si>
  <si>
    <t>Other current assets</t>
  </si>
  <si>
    <t>Assets classified as held for sale.</t>
  </si>
  <si>
    <t>TOTAL ASSETS.</t>
  </si>
  <si>
    <t>II. EQUITY AND LIABILITIES</t>
  </si>
  <si>
    <t>Equity share capital.</t>
  </si>
  <si>
    <t>Other equity</t>
  </si>
  <si>
    <t>Equity attributable to owners of the company.</t>
  </si>
  <si>
    <t>Non-controlling interests.</t>
  </si>
  <si>
    <t>NON-CURRENT LIABILITIES</t>
  </si>
  <si>
    <t>Financial liabilities</t>
  </si>
  <si>
    <t>(ia) Borrowings</t>
  </si>
  <si>
    <t>(ib) Lease liabilities.</t>
  </si>
  <si>
    <t>(ii) Trade payables</t>
  </si>
  <si>
    <t>(iii) Other financial liabilities.</t>
  </si>
  <si>
    <t>Deferred tax liabilities (net).</t>
  </si>
  <si>
    <t>Other non-current liabilities</t>
  </si>
  <si>
    <t>CURRENT LIABILITIES</t>
  </si>
  <si>
    <t>Other current liabilities.</t>
  </si>
  <si>
    <t>Current tax liabilities (net).</t>
  </si>
  <si>
    <t>TOTAL EQUITY AND LIABILITIES.</t>
  </si>
  <si>
    <t>INCOME</t>
  </si>
  <si>
    <t>EXPENSES</t>
  </si>
  <si>
    <t>1,11,169.77</t>
  </si>
  <si>
    <t>Revenue from operations.</t>
  </si>
  <si>
    <t>Other income</t>
  </si>
  <si>
    <t>Total Income</t>
  </si>
  <si>
    <t>Cost of materials consumed .</t>
  </si>
  <si>
    <t>Purchases of stock-in-trade</t>
  </si>
  <si>
    <t>Changes in inventories of finished goods, stock-in-trade and work-in-progress.</t>
  </si>
  <si>
    <t>Employee benefits expense</t>
  </si>
  <si>
    <t>Finance costs .</t>
  </si>
  <si>
    <t>Depreciation, amortisation and impairment expense .</t>
  </si>
  <si>
    <t>Other expenses</t>
  </si>
  <si>
    <t>Total Expenses</t>
  </si>
  <si>
    <t>Profit Before Exceptional Items, share of profit of associates and joint ventures and tax</t>
  </si>
  <si>
    <t>Exceptional items (net)</t>
  </si>
  <si>
    <t>Share of profit of associates and joint ventures (net)</t>
  </si>
  <si>
    <t>Profit Before Tax</t>
  </si>
  <si>
    <t>Tax Expense</t>
  </si>
  <si>
    <t>Current tax .</t>
  </si>
  <si>
    <t>Deferred tax .</t>
  </si>
  <si>
    <t>Profit for the year</t>
  </si>
  <si>
    <t>Depreciation</t>
  </si>
  <si>
    <t>Financial Modeling of M&amp;M Ltd</t>
  </si>
  <si>
    <t>Income Statement</t>
  </si>
  <si>
    <t>(All data is Lakhs INR, except per share information, A - Actual, E - Estimated)</t>
  </si>
  <si>
    <r>
      <t>(</t>
    </r>
    <r>
      <rPr>
        <b/>
        <sz val="11"/>
        <color theme="3" tint="0.3999755851924192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for actual data,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for calculations, </t>
    </r>
    <r>
      <rPr>
        <b/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for Linkage)</t>
    </r>
  </si>
  <si>
    <t>Particular</t>
  </si>
  <si>
    <t>A.</t>
  </si>
  <si>
    <t>Income :</t>
  </si>
  <si>
    <t>Revenue from Operations</t>
  </si>
  <si>
    <t>Gross Revenue from Sale of Products and Services</t>
  </si>
  <si>
    <t>Less : Excise Duty</t>
  </si>
  <si>
    <t>Net Revenue from Sale of Products and Services</t>
  </si>
  <si>
    <t xml:space="preserve">Other Operating Revenue </t>
  </si>
  <si>
    <t xml:space="preserve">Revenue from Operations (Net) </t>
  </si>
  <si>
    <t>B.</t>
  </si>
  <si>
    <t>Cost of sales (Direct Expenses)</t>
  </si>
  <si>
    <t xml:space="preserve">Cost of Materials Consumed </t>
  </si>
  <si>
    <t xml:space="preserve">Purchases of Stock-in-Trade </t>
  </si>
  <si>
    <t>Changes in Inventories of Finished Goods, Work-in-Progress, Stock-in-Trade and Manufactured Components</t>
  </si>
  <si>
    <t>Total (Cost of Production)</t>
  </si>
  <si>
    <t>C.</t>
  </si>
  <si>
    <t>Gross Profit</t>
  </si>
  <si>
    <t>d</t>
  </si>
  <si>
    <t>Indirect Expenses</t>
  </si>
  <si>
    <t>Employee benefit expenses</t>
  </si>
  <si>
    <t>Finance cost (Other Borrowing Costs)</t>
  </si>
  <si>
    <t>Total Indirect Expenses</t>
  </si>
  <si>
    <t>E.</t>
  </si>
  <si>
    <t>EBITDA</t>
  </si>
  <si>
    <t>Amortization</t>
  </si>
  <si>
    <t>Total Depreciation and Amortisation Expense</t>
  </si>
  <si>
    <t>F.</t>
  </si>
  <si>
    <t>EBIT</t>
  </si>
  <si>
    <t>Interest Expense</t>
  </si>
  <si>
    <t>G.</t>
  </si>
  <si>
    <t xml:space="preserve">Profit Before Exceptional Items and Tax </t>
  </si>
  <si>
    <t>Add : Exceptional Items</t>
  </si>
  <si>
    <t xml:space="preserve">(Add)/Less : Tax Expense </t>
  </si>
  <si>
    <t xml:space="preserve">Current Tax </t>
  </si>
  <si>
    <t xml:space="preserve">Deferred Tax (Net) </t>
  </si>
  <si>
    <t xml:space="preserve">Net Current Tax </t>
  </si>
  <si>
    <t>H</t>
  </si>
  <si>
    <t>Profit For the Year</t>
  </si>
  <si>
    <t>Tax Ratio</t>
  </si>
  <si>
    <t>H.</t>
  </si>
  <si>
    <t xml:space="preserve">Profit for the year atrributable to owners of the company </t>
  </si>
  <si>
    <t>Non Controlling Interest (Profit)/Loss .</t>
  </si>
  <si>
    <t>Net Profit for the year</t>
  </si>
  <si>
    <t>Diluted Weighted Average Shares (millions)</t>
  </si>
  <si>
    <t>earnings per share</t>
  </si>
  <si>
    <t>Basic</t>
  </si>
  <si>
    <t>Diluted</t>
  </si>
  <si>
    <t>Tax rate</t>
  </si>
  <si>
    <t>Balance Sheet</t>
  </si>
  <si>
    <t>A. EQUITY AND LIABILITIES</t>
  </si>
  <si>
    <t>I</t>
  </si>
  <si>
    <t>Shareholders’ Funds</t>
  </si>
  <si>
    <t xml:space="preserve">(a) Equity Share Capital </t>
  </si>
  <si>
    <t>(b) Other Equity</t>
  </si>
  <si>
    <t>Equity attributable to owners of the Company</t>
  </si>
  <si>
    <t>PAT(Not given in this model)</t>
  </si>
  <si>
    <t>Total Equity</t>
  </si>
  <si>
    <t>Minority Interest</t>
  </si>
  <si>
    <t>II</t>
  </si>
  <si>
    <t>Non - Current Liabilities</t>
  </si>
  <si>
    <t>(a) Long Term Borrowings</t>
  </si>
  <si>
    <t xml:space="preserve">(b) Deferred Tax Liabilities (Net) </t>
  </si>
  <si>
    <t>(c) Other Long Term Liabilities</t>
  </si>
  <si>
    <t>(d) Long Term Provisions</t>
  </si>
  <si>
    <t>Total Non - Current Liabilities</t>
  </si>
  <si>
    <t>III</t>
  </si>
  <si>
    <t>Current Liabilities</t>
  </si>
  <si>
    <t>(a) Short Term Borrowings</t>
  </si>
  <si>
    <t>(b) Trade Payables</t>
  </si>
  <si>
    <t xml:space="preserve">(c) Other Current Liabilities </t>
  </si>
  <si>
    <t xml:space="preserve">(d) Short Term Provisions </t>
  </si>
  <si>
    <t>Total Current Liabilities</t>
  </si>
  <si>
    <t>B.  ASSETS</t>
  </si>
  <si>
    <t>I.</t>
  </si>
  <si>
    <t>Fixed Assets</t>
  </si>
  <si>
    <t>Net Block (PPE)</t>
  </si>
  <si>
    <t>Capital Work-in-Progress</t>
  </si>
  <si>
    <t>Net Fixed Assets</t>
  </si>
  <si>
    <t>Investments accounted using Equity method</t>
  </si>
  <si>
    <t>Intangible assets</t>
  </si>
  <si>
    <t xml:space="preserve">         Intangible under development</t>
  </si>
  <si>
    <t>Non - Current Assets</t>
  </si>
  <si>
    <t>Non-current investments</t>
  </si>
  <si>
    <t>Long-term loans and advances</t>
  </si>
  <si>
    <t>Total Non - Current Assets</t>
  </si>
  <si>
    <t>Current Assets</t>
  </si>
  <si>
    <t>Current investments</t>
  </si>
  <si>
    <t>Trade receivables</t>
  </si>
  <si>
    <t>Cash and bank balances</t>
  </si>
  <si>
    <t>Short-term loans and advances</t>
  </si>
  <si>
    <t>Other Current Assets</t>
  </si>
  <si>
    <t>Total Current Assets</t>
  </si>
  <si>
    <t>Check</t>
  </si>
  <si>
    <t>Normal</t>
  </si>
  <si>
    <t>Bullish</t>
  </si>
  <si>
    <t>Bearish</t>
  </si>
  <si>
    <t>Cost Sheet</t>
  </si>
  <si>
    <t>Sales</t>
  </si>
  <si>
    <t>Direct Cost</t>
  </si>
  <si>
    <t>Cost of Materials Consumed  as % of Sales</t>
  </si>
  <si>
    <t>Purchase of stock-in-trade</t>
  </si>
  <si>
    <t>Purchase of stock-in-trade as %  of sales</t>
  </si>
  <si>
    <t>Changes in inventories of stock-in-trade</t>
  </si>
  <si>
    <t>Changes in inventories of stock-in-trade as % of Sales</t>
  </si>
  <si>
    <t>Total Direct Cost</t>
  </si>
  <si>
    <t xml:space="preserve">Indirect Cost </t>
  </si>
  <si>
    <t>Employee Benefits Expense</t>
  </si>
  <si>
    <t>Employee Benefits Expense as % of Sales</t>
  </si>
  <si>
    <t>Finance Costs (Other Borrowing Costs)</t>
  </si>
  <si>
    <t>Finance Costs as % of Sales</t>
  </si>
  <si>
    <t>Other Expenses</t>
  </si>
  <si>
    <t>Other Expenses as % of sales</t>
  </si>
  <si>
    <t xml:space="preserve">Total Indirect Cost </t>
  </si>
  <si>
    <t>TotalCost</t>
  </si>
  <si>
    <t>Net Sales</t>
  </si>
  <si>
    <t>Cost of Sales (excluding D&amp;A)</t>
  </si>
  <si>
    <t>Working Capital Balances</t>
  </si>
  <si>
    <t>Total Non Cash Current Assets</t>
  </si>
  <si>
    <t>Trade payables</t>
  </si>
  <si>
    <t>Other current liabilities</t>
  </si>
  <si>
    <t>Short-term provisions</t>
  </si>
  <si>
    <t>Net Working Capital/ (Deficit)</t>
  </si>
  <si>
    <t>(Increase)/ Decrease in Working Capital</t>
  </si>
  <si>
    <t>Ratios &amp; Assumptions</t>
  </si>
  <si>
    <t>Current investments (as % of sales)</t>
  </si>
  <si>
    <t>Inventories (No. of Days)  = (Inventory/ (CoSales/365))</t>
  </si>
  <si>
    <t>Trade receivables (No. of Days) = Recv/ (avg daily sales)</t>
  </si>
  <si>
    <t>Short-term loans and advances (as % of sales)</t>
  </si>
  <si>
    <t>Other Current Assets (as % of sales)</t>
  </si>
  <si>
    <t>Trade payables (No. of Days) = Payables/ Avg daily Cost of sales)</t>
  </si>
  <si>
    <t>Other current liabilities (as % of sales)</t>
  </si>
  <si>
    <t>Short-term provisions (as % of sales)</t>
  </si>
  <si>
    <t>Inventory TO (cost of sales/ Inventory)</t>
  </si>
  <si>
    <t>Trade Recv TO (Sales/ Receivables)</t>
  </si>
  <si>
    <t>Trade Payable TO (Cost of Sales/ Payables)</t>
  </si>
  <si>
    <t xml:space="preserve">Working Capital </t>
  </si>
  <si>
    <t>Beginning Equity Balance</t>
  </si>
  <si>
    <t>Net Income</t>
  </si>
  <si>
    <t>Issuance/ (Repurchase) of Equity</t>
  </si>
  <si>
    <t>Dividends Paid</t>
  </si>
  <si>
    <t>Currency Transalation Reserve</t>
  </si>
  <si>
    <t>Ending Equity Balance</t>
  </si>
  <si>
    <t>Dividend Assumptions</t>
  </si>
  <si>
    <t>Total Dividends Paid</t>
  </si>
  <si>
    <t>Dividend Payout Ratio</t>
  </si>
  <si>
    <t>Share Repurchase Assumptions</t>
  </si>
  <si>
    <t>Current Year EPS</t>
  </si>
  <si>
    <t>Assumed Current Year EPS Multiple</t>
  </si>
  <si>
    <t>Implied Share Price</t>
  </si>
  <si>
    <t>Average Cash Balance</t>
  </si>
  <si>
    <t>Capital Expenditures</t>
  </si>
  <si>
    <t>Capital Expenditures as % of Net Sales</t>
  </si>
  <si>
    <t>Depreciation as a % of Capital Expenditure</t>
  </si>
  <si>
    <t>Beginning Net PP&amp;E</t>
  </si>
  <si>
    <t>(Depreciation Expense)</t>
  </si>
  <si>
    <t>(Asset Sales )</t>
  </si>
  <si>
    <t>Ending Net PP&amp;E</t>
  </si>
  <si>
    <t>Depreciation Sheet</t>
  </si>
  <si>
    <t>Ammortisation Sheet</t>
  </si>
  <si>
    <t>Intangible Expenditure</t>
  </si>
  <si>
    <t>Intangible Exp as % of Net Sales</t>
  </si>
  <si>
    <t>Ammortisation</t>
  </si>
  <si>
    <t>Ammortisation as % of Intangible Exp</t>
  </si>
  <si>
    <t>Beginning Net Intangibles</t>
  </si>
  <si>
    <t>Intangible Expenditures</t>
  </si>
  <si>
    <t>(Ammortisation Expense)</t>
  </si>
  <si>
    <t>Ending Net Intangible</t>
  </si>
  <si>
    <t>Tax Rate</t>
  </si>
  <si>
    <t>Enterprise Value = Market Value of Equity + Book Value of Debt - Cash &amp; equivalents</t>
  </si>
  <si>
    <t>Risk Free Rate</t>
  </si>
  <si>
    <t>EV-Value of debt + Cash = Value of equity</t>
  </si>
  <si>
    <t>Beta</t>
  </si>
  <si>
    <t>Market Return</t>
  </si>
  <si>
    <t>Cost of Equity</t>
  </si>
  <si>
    <t>Cost of Capital</t>
  </si>
  <si>
    <t>Terminal Growth Rate</t>
  </si>
  <si>
    <t>All numbers are in Rs. Crores except per share data</t>
  </si>
  <si>
    <t>CMP</t>
  </si>
  <si>
    <t>Free Cash Flow Calculations</t>
  </si>
  <si>
    <t>Add:Depreciation</t>
  </si>
  <si>
    <t>Add: Interest*(1-tax rate)</t>
  </si>
  <si>
    <t>Less:Changes in working Capital</t>
  </si>
  <si>
    <t>Less:Capex (Increase in PP&amp;E)</t>
  </si>
  <si>
    <t>Free Cash Flow to the Firm(FCFF)</t>
  </si>
  <si>
    <t>Less: Interest*(1-tax rate)</t>
  </si>
  <si>
    <t>Add:Net Borrowing</t>
  </si>
  <si>
    <t>Free Cash Flow to the Equity (FCFE)</t>
  </si>
  <si>
    <t>Terminal Value of FCFE</t>
  </si>
  <si>
    <t>Present Value of FCFE</t>
  </si>
  <si>
    <t>PV of Terminal Value</t>
  </si>
  <si>
    <t>Total Present Value of FCFE</t>
  </si>
  <si>
    <t>Face Value</t>
  </si>
  <si>
    <t>Existing no. of shares</t>
  </si>
  <si>
    <t>Core capital/ Fvalue</t>
  </si>
  <si>
    <t>Add: Fresh Issue</t>
  </si>
  <si>
    <t>Total no. of Equity Shares</t>
  </si>
  <si>
    <t>Value per Share (FCFE)</t>
  </si>
  <si>
    <t>EV/EBITDA</t>
  </si>
  <si>
    <t>Terminal Value</t>
  </si>
  <si>
    <t>Discounting Factor</t>
  </si>
  <si>
    <t>EV</t>
  </si>
  <si>
    <t>Present Value of FCFF</t>
  </si>
  <si>
    <t>Using EV/EBITDA terminal value</t>
  </si>
  <si>
    <t>Total Present Value of FCFF</t>
  </si>
  <si>
    <t>Value of Debt</t>
  </si>
  <si>
    <t>Cash &amp; equivalents</t>
  </si>
  <si>
    <t>Total Present Value of Equity</t>
  </si>
  <si>
    <t>Value per Share (FCFF)</t>
  </si>
  <si>
    <t>FCFE Model</t>
  </si>
  <si>
    <t>FCFF</t>
  </si>
  <si>
    <t>Exit Multiple (EV/EBITDA)</t>
  </si>
  <si>
    <t>DCF Valuation Sheet</t>
  </si>
  <si>
    <t>Debt &amp; Interest</t>
  </si>
  <si>
    <t>Date</t>
  </si>
  <si>
    <t>Price</t>
  </si>
  <si>
    <t>% Monthly Change</t>
  </si>
  <si>
    <t>5 Year CAGR</t>
  </si>
  <si>
    <t>Average Monthly Return</t>
  </si>
  <si>
    <t>Average Yearly Return</t>
  </si>
  <si>
    <t>5 Year CAGR Average</t>
  </si>
  <si>
    <t>beta</t>
  </si>
  <si>
    <t>Sensex</t>
  </si>
  <si>
    <t>%Change in Sensex</t>
  </si>
  <si>
    <t>y = mx +c</t>
  </si>
  <si>
    <t>M&amp;M</t>
  </si>
  <si>
    <t>% Change M&amp;M</t>
  </si>
  <si>
    <t>Rf</t>
  </si>
  <si>
    <t>YTM</t>
  </si>
  <si>
    <t>Market Return (5 yr CAGR)</t>
  </si>
  <si>
    <t>Rm</t>
  </si>
  <si>
    <t>= Rf + Beta x (Rm - Rf)</t>
  </si>
  <si>
    <t>Cost of Debt</t>
  </si>
  <si>
    <t>=Finance cost / (Long Term + Short term Borrowings)</t>
  </si>
  <si>
    <t>Average</t>
  </si>
  <si>
    <t>Long Term Borrowing</t>
  </si>
  <si>
    <t>Short Term Borrowing</t>
  </si>
  <si>
    <t>Finance Cost</t>
  </si>
  <si>
    <t>After Tax Cost of Debt</t>
  </si>
  <si>
    <t xml:space="preserve"> Cost of Debt x (1- Tax Rate)</t>
  </si>
  <si>
    <t>% Wieghts</t>
  </si>
  <si>
    <t>% Cost</t>
  </si>
  <si>
    <t>Total debt</t>
  </si>
  <si>
    <t>Total Capital</t>
  </si>
  <si>
    <t>WACC</t>
  </si>
  <si>
    <t>Value</t>
  </si>
  <si>
    <t>Shareholders Equity Schedule</t>
  </si>
  <si>
    <t>Share of Profit of Associates &amp; JV</t>
  </si>
  <si>
    <t>FV</t>
  </si>
  <si>
    <t>Amount Repurchased ( Rs Cr outgo)</t>
  </si>
  <si>
    <t>Shares Repurchased - (in Cr)</t>
  </si>
  <si>
    <t>Others (Buyback)</t>
  </si>
  <si>
    <t xml:space="preserve">Profit Before Exceptional Items, share of profit of associates and joint ventures and tax. </t>
  </si>
  <si>
    <t xml:space="preserve">Adjustments for:             </t>
  </si>
  <si>
    <t xml:space="preserve">Depreciation, amortisation and impairment expense.          </t>
  </si>
  <si>
    <t xml:space="preserve">Loss/(gain) on foreign exchange fluctuation and other adjustments (net)      </t>
  </si>
  <si>
    <t xml:space="preserve">Gain due to change in lease arrangements        </t>
  </si>
  <si>
    <t xml:space="preserve">Equity-settled share-based payment expenses           </t>
  </si>
  <si>
    <t xml:space="preserve">Net gain on financial instruments measured at fair value.      </t>
  </si>
  <si>
    <t xml:space="preserve">(Gain)/Loss on property, plant and equipment sold /scrapped /written off (net)    </t>
  </si>
  <si>
    <t xml:space="preserve">              </t>
  </si>
  <si>
    <t xml:space="preserve">Operating Profit before working capital changes         </t>
  </si>
  <si>
    <t xml:space="preserve">Changes in:             </t>
  </si>
  <si>
    <t xml:space="preserve">Trade and other receivables.           </t>
  </si>
  <si>
    <t xml:space="preserve">Financial services receivable            </t>
  </si>
  <si>
    <t xml:space="preserve">Inventories              </t>
  </si>
  <si>
    <t xml:space="preserve">Trade and other payables and provisions.         </t>
  </si>
  <si>
    <t xml:space="preserve">Cash (used in)/generated from operations          </t>
  </si>
  <si>
    <t xml:space="preserve">Income taxes paid (net of refunds and interest on refunds)     </t>
  </si>
  <si>
    <t xml:space="preserve">Net cash (used in)/from operating activities.         </t>
  </si>
  <si>
    <t xml:space="preserve">B. CASH FLOW FROM INVESTING ACTIVITIES:         </t>
  </si>
  <si>
    <t xml:space="preserve">Payment to acquire property, plant &amp; equipment and other intangible assets.    </t>
  </si>
  <si>
    <t xml:space="preserve">Proceeds from sale of property, plant &amp; equipment and other intangible assets.   </t>
  </si>
  <si>
    <t xml:space="preserve">Payment to acquire investments.           </t>
  </si>
  <si>
    <t xml:space="preserve">Proceeds from sale of investments.          </t>
  </si>
  <si>
    <t xml:space="preserve">Interest received (excluding financial services business)         </t>
  </si>
  <si>
    <t xml:space="preserve">Dividends received from joint ventures and associates        </t>
  </si>
  <si>
    <t xml:space="preserve">Proceeds from capital reduction/buy-back of shares by joint venture      </t>
  </si>
  <si>
    <t xml:space="preserve">Dividends received from others           </t>
  </si>
  <si>
    <t xml:space="preserve">Bank deposits placed.            </t>
  </si>
  <si>
    <t xml:space="preserve">Bank deposits matured.            </t>
  </si>
  <si>
    <t xml:space="preserve">Net change in earmarked and margin accounts with banks.      </t>
  </si>
  <si>
    <t xml:space="preserve">Receivables /Inter corporate deposits placed          </t>
  </si>
  <si>
    <t xml:space="preserve">Inter corporate deposits refunded           </t>
  </si>
  <si>
    <t xml:space="preserve">Purchase of investment in joint ventures and associates (including share application money)   </t>
  </si>
  <si>
    <t xml:space="preserve">Purchase consideration paid on acquisition of subsidiaries net of cash acquired    </t>
  </si>
  <si>
    <t xml:space="preserve">Consideration received on disposal of subsidiaries.         </t>
  </si>
  <si>
    <t xml:space="preserve">Consideration received on disposal (including partial sale of investment) of associates and joint ventures. </t>
  </si>
  <si>
    <t xml:space="preserve">Net cash used in investing activities         </t>
  </si>
  <si>
    <t xml:space="preserve">C. CASH FLOW FROM FINANCING ACTIVITIES:         </t>
  </si>
  <si>
    <t xml:space="preserve">Proceeds from issue of shares to employees by ESOP trust.     </t>
  </si>
  <si>
    <t xml:space="preserve">Proceeds from borrowings.            </t>
  </si>
  <si>
    <t xml:space="preserve">Repayments of borrowings            </t>
  </si>
  <si>
    <t xml:space="preserve">Net change in loans repayable on demand and cash credit     </t>
  </si>
  <si>
    <t xml:space="preserve">Proceeds from issue of Compulsorily Convertible Preference Shares       </t>
  </si>
  <si>
    <t xml:space="preserve">Repayment of lease liabilities           </t>
  </si>
  <si>
    <t xml:space="preserve">Dividends paid             </t>
  </si>
  <si>
    <t xml:space="preserve">Dividend paid to non-controlling interests          </t>
  </si>
  <si>
    <t xml:space="preserve">Transactions with non-controlling interest.           </t>
  </si>
  <si>
    <t xml:space="preserve">Interest, commitment and finance charges paid (excluding financial services business)     </t>
  </si>
  <si>
    <t xml:space="preserve">Net cash from /(used in) financing activities        </t>
  </si>
  <si>
    <t xml:space="preserve">Net increase in cash and cash equivalents.        </t>
  </si>
  <si>
    <t xml:space="preserve">Cash and cash equivalents at the beginning of the year     </t>
  </si>
  <si>
    <t xml:space="preserve">Cash and cash equivalents related to disposal of subsidiaries      </t>
  </si>
  <si>
    <t xml:space="preserve">Unrealised gain /(loss) on foreign currency cash and cash equivalents (net).    </t>
  </si>
  <si>
    <t xml:space="preserve">Cash and cash equivalents at the end of the year (Refer note 16).  </t>
  </si>
  <si>
    <t xml:space="preserve">A. CASH FLOW FROM OPERATING ACTIVITIES:        </t>
  </si>
  <si>
    <t xml:space="preserve">Dividend on investments and interest income [excluding Rs. 12152 crores (2022: Rs. 10923.82 crores)  in respect of financial services business].         </t>
  </si>
  <si>
    <t xml:space="preserve">Interest, commitment and finance charges [excluding Rs. 5079.63 crores (2022: Rs. 4392.6 crores) in  respect of financial services business].          </t>
  </si>
  <si>
    <t>Cash Flow</t>
  </si>
  <si>
    <t>Other Non Current Assets</t>
  </si>
  <si>
    <t>Other Non Current Liabilities</t>
  </si>
  <si>
    <t>Other Long Term Liabilities</t>
  </si>
  <si>
    <t>Long Term Provisions</t>
  </si>
  <si>
    <t xml:space="preserve">Deferred Tax Liabilities (Net) </t>
  </si>
  <si>
    <t>Net Non Current Assets</t>
  </si>
  <si>
    <t>Change in Net non current Assets</t>
  </si>
  <si>
    <t>Other Long Term Items</t>
  </si>
  <si>
    <t>Assumptions : As a % of sales</t>
  </si>
  <si>
    <t>% Growth Rate</t>
  </si>
  <si>
    <t>CAGR</t>
  </si>
  <si>
    <t>Gross Value</t>
  </si>
  <si>
    <t>Carrying Val</t>
  </si>
  <si>
    <t>Useful Life</t>
  </si>
  <si>
    <t>Proportion of Assets</t>
  </si>
  <si>
    <t>Method of Depriciation</t>
  </si>
  <si>
    <t>Buildings</t>
  </si>
  <si>
    <t>SLM</t>
  </si>
  <si>
    <t>Furniture &amp; Fixtures</t>
  </si>
  <si>
    <t>Office Equipment</t>
  </si>
  <si>
    <t>Total PPE</t>
  </si>
  <si>
    <t>Column Index</t>
  </si>
  <si>
    <t>Total Capex</t>
  </si>
  <si>
    <t>Breakup</t>
  </si>
  <si>
    <t>Amount</t>
  </si>
  <si>
    <t>Carrying Value</t>
  </si>
  <si>
    <t>Continued Depreciation Expense (existing)</t>
  </si>
  <si>
    <t>Depreciation on new Capex</t>
  </si>
  <si>
    <t>Year</t>
  </si>
  <si>
    <t>New Capex</t>
  </si>
  <si>
    <t>Method of Ammortisation</t>
  </si>
  <si>
    <t>Total Intangible Expenditure</t>
  </si>
  <si>
    <t>Continued Ammortisation Expense (existing)</t>
  </si>
  <si>
    <t>Ammortisation on new Intangible exp</t>
  </si>
  <si>
    <t>New Intangible</t>
  </si>
  <si>
    <t>Land</t>
  </si>
  <si>
    <t>Buildings - Leasehold</t>
  </si>
  <si>
    <t>Vehicles</t>
  </si>
  <si>
    <t>Aircrafts</t>
  </si>
  <si>
    <t>Plant &amp; Equipment</t>
  </si>
  <si>
    <t>Development Expenditure</t>
  </si>
  <si>
    <t>Computer Software</t>
  </si>
  <si>
    <t>Brand License</t>
  </si>
  <si>
    <t>Gross Intangible (Break-up for 2023)</t>
  </si>
  <si>
    <t>Gross PPE (Break-up for 2023)</t>
  </si>
  <si>
    <t>(INR in Million Except Per Share Amounts)</t>
  </si>
  <si>
    <t>Cash Flow Available for Financing Activities</t>
  </si>
  <si>
    <t>Dividend Payment</t>
  </si>
  <si>
    <t>Interest Payment</t>
  </si>
  <si>
    <t>+ Beginning Cash Balance</t>
  </si>
  <si>
    <t>- Minimum Cash Balance</t>
  </si>
  <si>
    <t>Cash Available for Debt Repayment</t>
  </si>
  <si>
    <t>Long Term Debt Issuance</t>
  </si>
  <si>
    <t>Long Term Debt (Repayments)</t>
  </si>
  <si>
    <t>Cash Available for Revolving Credit Facility</t>
  </si>
  <si>
    <t>Additional Revolving Credit Facility</t>
  </si>
  <si>
    <t>Beginning Balance</t>
  </si>
  <si>
    <t>Discretionary (Paydown)/ Borrowings</t>
  </si>
  <si>
    <t>Ending Balance</t>
  </si>
  <si>
    <t>Long Term  (commited payments)</t>
  </si>
  <si>
    <t>Issuance</t>
  </si>
  <si>
    <t>(Repayment/ Amortization)</t>
  </si>
  <si>
    <t>Interest Expense Calculation</t>
  </si>
  <si>
    <t>1) Revolving Credit Facility</t>
  </si>
  <si>
    <t>Interest Expense (Revolving Credit)</t>
  </si>
  <si>
    <t>2) Long Term (committed)</t>
  </si>
  <si>
    <t xml:space="preserve">Interest Expense </t>
  </si>
  <si>
    <t>(1) + (2 - (3)): Total Interest Expense</t>
  </si>
  <si>
    <t>Cash Balances</t>
  </si>
  <si>
    <t>Cash Balance</t>
  </si>
  <si>
    <t>(3) Interest Earned</t>
  </si>
  <si>
    <t>Long Term Debt</t>
  </si>
  <si>
    <t>Long Term Debt/ Total Equity</t>
  </si>
  <si>
    <t>Ratios</t>
  </si>
  <si>
    <t>Formula</t>
  </si>
  <si>
    <t>Profitability Ratios</t>
  </si>
  <si>
    <t xml:space="preserve">EBITDA Margin </t>
  </si>
  <si>
    <t>(EBITDA/ Net Revenue)</t>
  </si>
  <si>
    <t xml:space="preserve">Net Margin </t>
  </si>
  <si>
    <t>(Net Profit/ Net Revenue)</t>
  </si>
  <si>
    <t xml:space="preserve">Return on Assets </t>
  </si>
  <si>
    <t>(Net Profits/ Total Assets)</t>
  </si>
  <si>
    <t xml:space="preserve">Return on Capital Employed </t>
  </si>
  <si>
    <t>Return on Fixed Assets</t>
  </si>
  <si>
    <t>(Net Profits/ Fixed Assets)</t>
  </si>
  <si>
    <t xml:space="preserve">Return on Equity </t>
  </si>
  <si>
    <t>Net Profit/ Total Equity</t>
  </si>
  <si>
    <t>Liquidity Ratios</t>
  </si>
  <si>
    <t xml:space="preserve">Current Ratio </t>
  </si>
  <si>
    <t>(Current Assets/ Current liability)</t>
  </si>
  <si>
    <t xml:space="preserve">Quick Ratio </t>
  </si>
  <si>
    <t>(Quick Assets/ Current Liability)</t>
  </si>
  <si>
    <t xml:space="preserve">Cash Ratio </t>
  </si>
  <si>
    <t>(Cash+Quotable Investments)/Current Liabilities)</t>
  </si>
  <si>
    <t>Solvency Ratios</t>
  </si>
  <si>
    <t xml:space="preserve">Debt/ Equity </t>
  </si>
  <si>
    <t>((Long term Debt + Short term debt)/ Equity)</t>
  </si>
  <si>
    <t xml:space="preserve">Debt to Asset Ratio </t>
  </si>
  <si>
    <t>(total Debt/ Total assets)</t>
  </si>
  <si>
    <t xml:space="preserve">Long Term Debt to Asset Ratio </t>
  </si>
  <si>
    <t>(Long Term Debt/ Total assets)</t>
  </si>
  <si>
    <t>Financial Leverage</t>
  </si>
  <si>
    <t xml:space="preserve"> (Total Assets/ Total Equity)</t>
  </si>
  <si>
    <t xml:space="preserve">Interest Coverage Ratio </t>
  </si>
  <si>
    <t>(EBIT/ Interest)</t>
  </si>
  <si>
    <t>Activity Ratios</t>
  </si>
  <si>
    <t xml:space="preserve">Inventory Turnover </t>
  </si>
  <si>
    <t xml:space="preserve">Receivables Turnover ratio </t>
  </si>
  <si>
    <t>(Net sales/ Average Receivables)</t>
  </si>
  <si>
    <t xml:space="preserve">Payables Turnover ratio </t>
  </si>
  <si>
    <t>(Purchases/ Average Payables)</t>
  </si>
  <si>
    <t xml:space="preserve">Inventory no. of days </t>
  </si>
  <si>
    <t>365/ Inventory turnover ratio</t>
  </si>
  <si>
    <t>Receivable no of days (Net sales/ Average Receivables)</t>
  </si>
  <si>
    <t>365/ Receivable Turnover ratio</t>
  </si>
  <si>
    <t>Payables No. of Days</t>
  </si>
  <si>
    <t>365/Payable Turnover Ratio</t>
  </si>
  <si>
    <t>https://wirc-icai.org/wirc-reference-manual/part5/schedule-ii-rate-of-depreciation-the-companies-act-2013.html</t>
  </si>
  <si>
    <t>Total Depreciation</t>
  </si>
  <si>
    <t>Total Ammortisation</t>
  </si>
  <si>
    <t>https://www.investing.com/indices/sensex-historical-data</t>
  </si>
  <si>
    <t>Source</t>
  </si>
  <si>
    <t>Beta of M&amp;M</t>
  </si>
  <si>
    <t>Open</t>
  </si>
  <si>
    <t>High</t>
  </si>
  <si>
    <t>Low</t>
  </si>
  <si>
    <t xml:space="preserve"> Close </t>
  </si>
  <si>
    <t>Close Price</t>
  </si>
  <si>
    <t>Vol.</t>
  </si>
  <si>
    <t>Change %</t>
  </si>
  <si>
    <t>8.09M</t>
  </si>
  <si>
    <t>316.72M</t>
  </si>
  <si>
    <t>203.81M</t>
  </si>
  <si>
    <t>199.21M</t>
  </si>
  <si>
    <t>155.08M</t>
  </si>
  <si>
    <t>117.36M</t>
  </si>
  <si>
    <t>133.08M</t>
  </si>
  <si>
    <t>172.52M</t>
  </si>
  <si>
    <t>182.73M</t>
  </si>
  <si>
    <t>182.58M</t>
  </si>
  <si>
    <t>285.96M</t>
  </si>
  <si>
    <t>250.30M</t>
  </si>
  <si>
    <t>341.50M</t>
  </si>
  <si>
    <t>271.81M</t>
  </si>
  <si>
    <t>215.34M</t>
  </si>
  <si>
    <t>131.73M</t>
  </si>
  <si>
    <t>197.91M</t>
  </si>
  <si>
    <t>163.75M</t>
  </si>
  <si>
    <t>242.11M</t>
  </si>
  <si>
    <t>177.59M</t>
  </si>
  <si>
    <t>175.12M</t>
  </si>
  <si>
    <t>177.41M</t>
  </si>
  <si>
    <t>161.76M</t>
  </si>
  <si>
    <t>250.63M</t>
  </si>
  <si>
    <t>255.74M</t>
  </si>
  <si>
    <t>191.72M</t>
  </si>
  <si>
    <t>210.72M</t>
  </si>
  <si>
    <t>260.15M</t>
  </si>
  <si>
    <t>276.68M</t>
  </si>
  <si>
    <t>249.49M</t>
  </si>
  <si>
    <t>293.12M</t>
  </si>
  <si>
    <t>439.70M</t>
  </si>
  <si>
    <t>349.72M</t>
  </si>
  <si>
    <t>390.45M</t>
  </si>
  <si>
    <t>410.33M</t>
  </si>
  <si>
    <t>323.06M</t>
  </si>
  <si>
    <t>309.87M</t>
  </si>
  <si>
    <t>381.93M</t>
  </si>
  <si>
    <t>442.93M</t>
  </si>
  <si>
    <t>541.98M</t>
  </si>
  <si>
    <t>544.06M</t>
  </si>
  <si>
    <t>346.46M</t>
  </si>
  <si>
    <t>702.01M</t>
  </si>
  <si>
    <t>213.43M</t>
  </si>
  <si>
    <t>208.88M</t>
  </si>
  <si>
    <t>538.20M</t>
  </si>
  <si>
    <t>711.06M</t>
  </si>
  <si>
    <t>858.91M</t>
  </si>
  <si>
    <t>618.94M</t>
  </si>
  <si>
    <t>564.23M</t>
  </si>
  <si>
    <t>458.88M</t>
  </si>
  <si>
    <t>320.97M</t>
  </si>
  <si>
    <t>408.67M</t>
  </si>
  <si>
    <t>322.52M</t>
  </si>
  <si>
    <t>327.94M</t>
  </si>
  <si>
    <t>353.41M</t>
  </si>
  <si>
    <t>439.94M</t>
  </si>
  <si>
    <t>380.93M</t>
  </si>
  <si>
    <t>412.11M</t>
  </si>
  <si>
    <t>455.02M</t>
  </si>
  <si>
    <t>315.59M</t>
  </si>
  <si>
    <t>271.29M</t>
  </si>
  <si>
    <t>281.83M</t>
  </si>
  <si>
    <t>331.13M</t>
  </si>
  <si>
    <t>246.59M</t>
  </si>
  <si>
    <t>234.71M</t>
  </si>
  <si>
    <t>250.53M</t>
  </si>
  <si>
    <t>353.44M</t>
  </si>
  <si>
    <t>394.29M</t>
  </si>
  <si>
    <t>260.50M</t>
  </si>
  <si>
    <t>740.17M</t>
  </si>
  <si>
    <t>216.18M</t>
  </si>
  <si>
    <t>241.07M</t>
  </si>
  <si>
    <t>248.69M</t>
  </si>
  <si>
    <t>266.44M</t>
  </si>
  <si>
    <t>339.43M</t>
  </si>
  <si>
    <t>291.34M</t>
  </si>
  <si>
    <t>200.87M</t>
  </si>
  <si>
    <t>1.58B</t>
  </si>
  <si>
    <t>247.80M</t>
  </si>
  <si>
    <t>207.49M</t>
  </si>
  <si>
    <t>194.90M</t>
  </si>
  <si>
    <t>268.94M</t>
  </si>
  <si>
    <t>235.18M</t>
  </si>
  <si>
    <t>266.89M</t>
  </si>
  <si>
    <t>289.58M</t>
  </si>
  <si>
    <t>274.42M</t>
  </si>
  <si>
    <t>253.20M</t>
  </si>
  <si>
    <t>289.16M</t>
  </si>
  <si>
    <t>243.87M</t>
  </si>
  <si>
    <t>311.01M</t>
  </si>
  <si>
    <t>375.74M</t>
  </si>
  <si>
    <t>233.41M</t>
  </si>
  <si>
    <t>225.28M</t>
  </si>
  <si>
    <t>202.13M</t>
  </si>
  <si>
    <t>250.13M</t>
  </si>
  <si>
    <t>322.60M</t>
  </si>
  <si>
    <t>295.65M</t>
  </si>
  <si>
    <t>223.85M</t>
  </si>
  <si>
    <t>249.18M</t>
  </si>
  <si>
    <t>223.90M</t>
  </si>
  <si>
    <t>224.79M</t>
  </si>
  <si>
    <t>264.35M</t>
  </si>
  <si>
    <t>277.39M</t>
  </si>
  <si>
    <t>238.17M</t>
  </si>
  <si>
    <t>211.29M</t>
  </si>
  <si>
    <t>164.77M</t>
  </si>
  <si>
    <t>147.40M</t>
  </si>
  <si>
    <t>178.16M</t>
  </si>
  <si>
    <t>156.89M</t>
  </si>
  <si>
    <t>232.07M</t>
  </si>
  <si>
    <t>271.55M</t>
  </si>
  <si>
    <t>321.36M</t>
  </si>
  <si>
    <t>155.71M</t>
  </si>
  <si>
    <t>366.73M</t>
  </si>
  <si>
    <t>166.15M</t>
  </si>
  <si>
    <t>204.92M</t>
  </si>
  <si>
    <t>198.46M</t>
  </si>
  <si>
    <t>194.51M</t>
  </si>
  <si>
    <t>235.44M</t>
  </si>
  <si>
    <t>Open Price</t>
  </si>
  <si>
    <t>High Price</t>
  </si>
  <si>
    <t>Low Price</t>
  </si>
  <si>
    <t xml:space="preserve"> Close Price 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</si>
  <si>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</si>
  <si>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</si>
  <si>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</si>
  <si>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</si>
  <si>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</si>
  <si>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</si>
  <si>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</si>
  <si>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</si>
  <si>
    <t>https://www.bseindia.com/markets/equity/EQReports/StockPrcHistori.aspx?expandable=7&amp;scripcode=500520&amp;flag=sp&amp;Submit=G</t>
  </si>
  <si>
    <t>https://www.bseindia.com/Indices/IndexArchiveData.html</t>
  </si>
  <si>
    <t>(Net Profit/ Capital Employed) , (Capital Emp = Long term Debt+ Short Term Debt+ Equity+ Reserves)</t>
  </si>
  <si>
    <t>Risk free Rate (10 yr GSEC Yield,   )</t>
  </si>
  <si>
    <t>Gordon Growth = FY2028 x (1+g)/ (r-g)</t>
  </si>
  <si>
    <t>Should Be</t>
  </si>
  <si>
    <t xml:space="preserve">Increasing </t>
  </si>
  <si>
    <t>10+ is good (Depends on industry)</t>
  </si>
  <si>
    <t xml:space="preserve">15-20% a good company </t>
  </si>
  <si>
    <t>ideal 2:1</t>
  </si>
  <si>
    <t xml:space="preserve">Decreasing </t>
  </si>
  <si>
    <t>Close To 1</t>
  </si>
  <si>
    <t>Less than 4</t>
  </si>
  <si>
    <t>otherwise bank won't lend</t>
  </si>
  <si>
    <t>More the better</t>
  </si>
  <si>
    <t>Less</t>
  </si>
  <si>
    <t>(Net Purchase /Average Inventory)</t>
  </si>
  <si>
    <t>EV/EBITDA (2023)</t>
  </si>
  <si>
    <t>EBITDA in 2028</t>
  </si>
  <si>
    <t>EV in 2028</t>
  </si>
  <si>
    <t>Discounting Factor of 5th year</t>
  </si>
  <si>
    <t>Method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</si>
</sst>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0.00_);\(0.00\)"/>
    <numFmt numFmtId="168" formatCode="0_);\(0\)"/>
    <numFmt numFmtId="169" formatCode="0000&quot;A&quot;"/>
    <numFmt numFmtId="170" formatCode="0000&quot;E&quot;"/>
    <numFmt numFmtId="171" formatCode="_(* #,##0.0_);_(* \(#,##0.0\);_(* &quot;-&quot;??_);_(@_)"/>
    <numFmt numFmtId="172" formatCode="0.0%"/>
    <numFmt numFmtId="173" formatCode="00.0&quot;x&quot;"/>
    <numFmt numFmtId="174" formatCode="0.000"/>
    <numFmt numFmtId="175" formatCode="_ * #,##0_ ;_ * \-#,##0_ ;_ * &quot;-&quot;??_ ;_ @_ "/>
    <numFmt numFmtId="176" formatCode="#,##0;\(#,##0\);\-;@"/>
    <numFmt numFmtId="177" formatCode="&quot;FY &quot;\ 0#"/>
    <numFmt numFmtId="178" formatCode="#,##0.00;\(#,##0.00\);\-;@"/>
    <numFmt numFmtId="179" formatCode="0.0000%"/>
    <numFmt numFmtId="180" formatCode="0.0"/>
    <numFmt numFmtId="181" formatCode="_(* #,##0.000_);_(* \(#,##0.000\);_(* &quot;-&quot;??_);_(@_)"/>
    <numFmt numFmtId="182" formatCode="[$-409]mmmm\ d\,\ yyyy;@"/>
    <numFmt numFmtId="183" formatCode="[$-409]mmmm\-yy;@"/>
    <numFmt numFmtId="184" formatCode="_(* #,##0.0000_);_(* \(#,##0.0000\);_(* &quot;-&quot;??_);_(@_)"/>
    <numFmt numFmtId="185" formatCode="0.0000000000000000%"/>
  </numFmts>
  <fonts count="6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3" tint="0.3999755851924192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ED2831"/>
      <name val="Calibri"/>
      <family val="2"/>
      <scheme val="minor"/>
    </font>
    <font>
      <sz val="11"/>
      <color rgb="FFED283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1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3" tint="0.39997558519241921"/>
      <name val="Arial"/>
      <family val="2"/>
    </font>
    <font>
      <sz val="10"/>
      <color rgb="FFFF0000"/>
      <name val="Arial"/>
      <family val="2"/>
    </font>
    <font>
      <i/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0"/>
      <name val="Segoe UI"/>
      <family val="2"/>
    </font>
    <font>
      <b/>
      <sz val="11"/>
      <color theme="0"/>
      <name val="Segoe UI"/>
      <family val="2"/>
    </font>
    <font>
      <b/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F243E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5"/>
      <color rgb="FF232526"/>
      <name val="Segoe UI"/>
      <family val="2"/>
    </font>
    <font>
      <sz val="5"/>
      <color rgb="FF232526"/>
      <name val="Segoe UI"/>
      <family val="2"/>
    </font>
    <font>
      <sz val="11"/>
      <color theme="4" tint="0.7999816888943144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6D6C71"/>
        <bgColor indexed="64"/>
      </patternFill>
    </fill>
    <fill>
      <patternFill patternType="solid">
        <fgColor rgb="FFED28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D31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44">
    <xf numFmtId="0" fontId="0" fillId="0" borderId="0" xfId="0"/>
    <xf numFmtId="0" fontId="3" fillId="0" borderId="0" xfId="0" applyFont="1"/>
    <xf numFmtId="4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2" fillId="0" borderId="0" xfId="0" applyFont="1" applyAlignment="1">
      <alignment wrapText="1"/>
    </xf>
    <xf numFmtId="0" fontId="2" fillId="0" borderId="0" xfId="0" applyFont="1"/>
    <xf numFmtId="166" fontId="2" fillId="0" borderId="0" xfId="1" applyNumberFormat="1" applyFont="1"/>
    <xf numFmtId="0" fontId="2" fillId="0" borderId="0" xfId="0" applyFont="1" applyAlignment="1">
      <alignment horizontal="left" wrapText="1" indent="1"/>
    </xf>
    <xf numFmtId="165" fontId="0" fillId="0" borderId="0" xfId="1" applyFont="1"/>
    <xf numFmtId="166" fontId="0" fillId="0" borderId="0" xfId="1" applyNumberFormat="1" applyFont="1" applyAlignment="1">
      <alignment horizontal="left" indent="1"/>
    </xf>
    <xf numFmtId="0" fontId="4" fillId="2" borderId="0" xfId="0" applyFont="1" applyFill="1"/>
    <xf numFmtId="0" fontId="0" fillId="6" borderId="0" xfId="0" applyFill="1"/>
    <xf numFmtId="0" fontId="0" fillId="5" borderId="0" xfId="0" applyFill="1"/>
    <xf numFmtId="167" fontId="4" fillId="8" borderId="0" xfId="0" applyNumberFormat="1" applyFont="1" applyFill="1"/>
    <xf numFmtId="167" fontId="0" fillId="5" borderId="0" xfId="0" applyNumberFormat="1" applyFill="1"/>
    <xf numFmtId="167" fontId="0" fillId="5" borderId="0" xfId="0" applyNumberFormat="1" applyFill="1" applyAlignment="1">
      <alignment horizontal="right"/>
    </xf>
    <xf numFmtId="167" fontId="0" fillId="8" borderId="0" xfId="0" applyNumberFormat="1" applyFill="1"/>
    <xf numFmtId="167" fontId="2" fillId="5" borderId="0" xfId="0" applyNumberFormat="1" applyFont="1" applyFill="1"/>
    <xf numFmtId="0" fontId="0" fillId="5" borderId="0" xfId="0" applyFill="1" applyAlignment="1">
      <alignment horizontal="right"/>
    </xf>
    <xf numFmtId="167" fontId="2" fillId="0" borderId="0" xfId="4" applyNumberFormat="1" applyFont="1" applyBorder="1"/>
    <xf numFmtId="167" fontId="13" fillId="0" borderId="0" xfId="0" applyNumberFormat="1" applyFont="1"/>
    <xf numFmtId="167" fontId="2" fillId="8" borderId="0" xfId="0" applyNumberFormat="1" applyFont="1" applyFill="1"/>
    <xf numFmtId="166" fontId="0" fillId="0" borderId="0" xfId="1" applyNumberFormat="1" applyFont="1" applyAlignment="1">
      <alignment wrapText="1"/>
    </xf>
    <xf numFmtId="167" fontId="2" fillId="0" borderId="0" xfId="4" applyNumberFormat="1" applyFont="1" applyFill="1" applyBorder="1"/>
    <xf numFmtId="166" fontId="2" fillId="0" borderId="0" xfId="1" applyNumberFormat="1" applyFont="1" applyAlignment="1">
      <alignment horizontal="right"/>
    </xf>
    <xf numFmtId="167" fontId="0" fillId="8" borderId="0" xfId="0" applyNumberFormat="1" applyFill="1" applyAlignment="1">
      <alignment horizontal="right"/>
    </xf>
    <xf numFmtId="166" fontId="14" fillId="0" borderId="0" xfId="1" applyNumberFormat="1" applyFont="1" applyAlignment="1">
      <alignment wrapText="1"/>
    </xf>
    <xf numFmtId="0" fontId="0" fillId="0" borderId="0" xfId="0" applyAlignment="1">
      <alignment vertical="top" wrapText="1"/>
    </xf>
    <xf numFmtId="167" fontId="15" fillId="0" borderId="0" xfId="4" applyNumberFormat="1" applyFont="1" applyBorder="1"/>
    <xf numFmtId="167" fontId="15" fillId="0" borderId="0" xfId="0" applyNumberFormat="1" applyFont="1"/>
    <xf numFmtId="166" fontId="15" fillId="0" borderId="0" xfId="1" applyNumberFormat="1" applyFont="1" applyBorder="1" applyAlignment="1">
      <alignment horizontal="right"/>
    </xf>
    <xf numFmtId="167" fontId="15" fillId="8" borderId="0" xfId="0" applyNumberFormat="1" applyFont="1" applyFill="1"/>
    <xf numFmtId="0" fontId="0" fillId="0" borderId="0" xfId="0" applyAlignment="1">
      <alignment horizontal="left" indent="3"/>
    </xf>
    <xf numFmtId="167" fontId="2" fillId="0" borderId="0" xfId="0" applyNumberFormat="1" applyFont="1" applyAlignment="1">
      <alignment horizontal="left" indent="1"/>
    </xf>
    <xf numFmtId="166" fontId="2" fillId="0" borderId="0" xfId="1" applyNumberFormat="1" applyFont="1" applyBorder="1" applyAlignment="1">
      <alignment horizontal="right"/>
    </xf>
    <xf numFmtId="167" fontId="0" fillId="0" borderId="0" xfId="0" applyNumberFormat="1"/>
    <xf numFmtId="166" fontId="2" fillId="5" borderId="0" xfId="1" applyNumberFormat="1" applyFont="1" applyFill="1" applyAlignment="1">
      <alignment horizontal="right"/>
    </xf>
    <xf numFmtId="167" fontId="15" fillId="0" borderId="0" xfId="0" applyNumberFormat="1" applyFont="1" applyAlignment="1">
      <alignment horizontal="left" indent="1"/>
    </xf>
    <xf numFmtId="167" fontId="0" fillId="0" borderId="0" xfId="0" applyNumberFormat="1" applyAlignment="1">
      <alignment horizontal="left" indent="3"/>
    </xf>
    <xf numFmtId="167" fontId="15" fillId="0" borderId="0" xfId="0" applyNumberFormat="1" applyFont="1" applyAlignment="1">
      <alignment horizontal="left"/>
    </xf>
    <xf numFmtId="166" fontId="16" fillId="5" borderId="0" xfId="1" applyNumberFormat="1" applyFont="1" applyFill="1" applyAlignment="1">
      <alignment horizontal="right"/>
    </xf>
    <xf numFmtId="166" fontId="16" fillId="0" borderId="0" xfId="1" applyNumberFormat="1" applyFont="1" applyAlignment="1">
      <alignment horizontal="right"/>
    </xf>
    <xf numFmtId="168" fontId="16" fillId="5" borderId="0" xfId="0" applyNumberFormat="1" applyFont="1" applyFill="1" applyAlignment="1">
      <alignment horizontal="right"/>
    </xf>
    <xf numFmtId="166" fontId="0" fillId="0" borderId="0" xfId="1" applyNumberFormat="1" applyFont="1" applyAlignment="1">
      <alignment horizontal="right"/>
    </xf>
    <xf numFmtId="166" fontId="17" fillId="0" borderId="0" xfId="1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8" fontId="16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168" fontId="0" fillId="5" borderId="0" xfId="0" applyNumberFormat="1" applyFill="1" applyAlignment="1">
      <alignment horizontal="right"/>
    </xf>
    <xf numFmtId="10" fontId="14" fillId="0" borderId="0" xfId="2" applyNumberFormat="1" applyFont="1" applyAlignment="1">
      <alignment horizontal="right"/>
    </xf>
    <xf numFmtId="167" fontId="2" fillId="4" borderId="0" xfId="4" applyNumberFormat="1" applyFont="1" applyFill="1" applyBorder="1"/>
    <xf numFmtId="0" fontId="2" fillId="4" borderId="0" xfId="0" applyFont="1" applyFill="1" applyAlignment="1">
      <alignment wrapText="1"/>
    </xf>
    <xf numFmtId="168" fontId="2" fillId="4" borderId="0" xfId="0" applyNumberFormat="1" applyFont="1" applyFill="1" applyAlignment="1">
      <alignment horizontal="right"/>
    </xf>
    <xf numFmtId="167" fontId="0" fillId="0" borderId="0" xfId="4" applyNumberFormat="1" applyFont="1" applyBorder="1"/>
    <xf numFmtId="167" fontId="16" fillId="0" borderId="0" xfId="4" applyNumberFormat="1" applyFont="1" applyBorder="1" applyAlignment="1">
      <alignment horizontal="right"/>
    </xf>
    <xf numFmtId="9" fontId="0" fillId="5" borderId="0" xfId="2" applyFont="1" applyFill="1" applyAlignment="1">
      <alignment horizontal="right"/>
    </xf>
    <xf numFmtId="167" fontId="18" fillId="0" borderId="0" xfId="4" applyNumberFormat="1" applyFont="1"/>
    <xf numFmtId="167" fontId="18" fillId="0" borderId="0" xfId="4" applyNumberFormat="1" applyFont="1" applyBorder="1" applyAlignment="1">
      <alignment horizontal="right"/>
    </xf>
    <xf numFmtId="167" fontId="0" fillId="0" borderId="0" xfId="4" applyNumberFormat="1" applyFont="1"/>
    <xf numFmtId="9" fontId="18" fillId="0" borderId="0" xfId="2" applyFont="1" applyBorder="1" applyAlignment="1">
      <alignment horizontal="right"/>
    </xf>
    <xf numFmtId="167" fontId="16" fillId="0" borderId="0" xfId="4" applyNumberFormat="1" applyFont="1" applyAlignment="1">
      <alignment horizontal="right"/>
    </xf>
    <xf numFmtId="167" fontId="5" fillId="4" borderId="0" xfId="0" applyNumberFormat="1" applyFont="1" applyFill="1"/>
    <xf numFmtId="167" fontId="4" fillId="4" borderId="0" xfId="0" applyNumberFormat="1" applyFont="1" applyFill="1"/>
    <xf numFmtId="167" fontId="4" fillId="4" borderId="0" xfId="0" applyNumberFormat="1" applyFont="1" applyFill="1" applyAlignment="1">
      <alignment horizontal="right"/>
    </xf>
    <xf numFmtId="167" fontId="4" fillId="0" borderId="0" xfId="0" applyNumberFormat="1" applyFont="1" applyAlignment="1">
      <alignment horizontal="right"/>
    </xf>
    <xf numFmtId="167" fontId="4" fillId="5" borderId="0" xfId="0" applyNumberFormat="1" applyFont="1" applyFill="1" applyAlignment="1">
      <alignment horizontal="right"/>
    </xf>
    <xf numFmtId="167" fontId="0" fillId="4" borderId="0" xfId="0" applyNumberFormat="1" applyFill="1" applyAlignment="1">
      <alignment horizontal="right"/>
    </xf>
    <xf numFmtId="9" fontId="0" fillId="4" borderId="0" xfId="2" applyFont="1" applyFill="1" applyAlignment="1">
      <alignment horizontal="right"/>
    </xf>
    <xf numFmtId="167" fontId="5" fillId="7" borderId="0" xfId="0" applyNumberFormat="1" applyFont="1" applyFill="1"/>
    <xf numFmtId="167" fontId="4" fillId="7" borderId="0" xfId="0" applyNumberFormat="1" applyFont="1" applyFill="1"/>
    <xf numFmtId="167" fontId="4" fillId="7" borderId="0" xfId="0" applyNumberFormat="1" applyFont="1" applyFill="1" applyAlignment="1">
      <alignment horizontal="right"/>
    </xf>
    <xf numFmtId="10" fontId="0" fillId="4" borderId="0" xfId="2" applyNumberFormat="1" applyFont="1" applyFill="1" applyAlignment="1">
      <alignment horizontal="right"/>
    </xf>
    <xf numFmtId="167" fontId="0" fillId="0" borderId="0" xfId="0" applyNumberFormat="1" applyAlignment="1">
      <alignment horizontal="left" indent="1"/>
    </xf>
    <xf numFmtId="167" fontId="0" fillId="0" borderId="0" xfId="0" applyNumberFormat="1" applyAlignment="1">
      <alignment horizontal="left" indent="2"/>
    </xf>
    <xf numFmtId="167" fontId="5" fillId="2" borderId="0" xfId="0" applyNumberFormat="1" applyFont="1" applyFill="1"/>
    <xf numFmtId="167" fontId="4" fillId="2" borderId="0" xfId="0" applyNumberFormat="1" applyFont="1" applyFill="1"/>
    <xf numFmtId="169" fontId="4" fillId="2" borderId="0" xfId="0" applyNumberFormat="1" applyFont="1" applyFill="1" applyAlignment="1">
      <alignment horizontal="center"/>
    </xf>
    <xf numFmtId="170" fontId="4" fillId="3" borderId="0" xfId="0" applyNumberFormat="1" applyFont="1" applyFill="1" applyAlignment="1">
      <alignment horizontal="center"/>
    </xf>
    <xf numFmtId="167" fontId="5" fillId="3" borderId="1" xfId="0" applyNumberFormat="1" applyFont="1" applyFill="1" applyBorder="1"/>
    <xf numFmtId="167" fontId="4" fillId="3" borderId="0" xfId="0" applyNumberFormat="1" applyFont="1" applyFill="1"/>
    <xf numFmtId="167" fontId="4" fillId="3" borderId="0" xfId="0" applyNumberFormat="1" applyFont="1" applyFill="1" applyAlignment="1">
      <alignment horizontal="right"/>
    </xf>
    <xf numFmtId="0" fontId="19" fillId="5" borderId="1" xfId="0" applyFont="1" applyFill="1" applyBorder="1"/>
    <xf numFmtId="167" fontId="20" fillId="5" borderId="0" xfId="0" applyNumberFormat="1" applyFont="1" applyFill="1"/>
    <xf numFmtId="167" fontId="20" fillId="5" borderId="0" xfId="0" applyNumberFormat="1" applyFont="1" applyFill="1" applyAlignment="1">
      <alignment horizontal="right"/>
    </xf>
    <xf numFmtId="0" fontId="0" fillId="8" borderId="0" xfId="0" applyFill="1"/>
    <xf numFmtId="0" fontId="0" fillId="5" borderId="0" xfId="0" applyFill="1" applyAlignment="1">
      <alignment horizontal="center"/>
    </xf>
    <xf numFmtId="0" fontId="2" fillId="5" borderId="0" xfId="0" applyFont="1" applyFill="1"/>
    <xf numFmtId="165" fontId="2" fillId="0" borderId="0" xfId="4" applyFont="1" applyFill="1" applyBorder="1" applyAlignment="1">
      <alignment horizontal="left" vertical="top"/>
    </xf>
    <xf numFmtId="171" fontId="16" fillId="0" borderId="0" xfId="1" applyNumberFormat="1" applyFont="1" applyFill="1" applyAlignment="1">
      <alignment horizontal="right"/>
    </xf>
    <xf numFmtId="171" fontId="14" fillId="0" borderId="0" xfId="1" applyNumberFormat="1" applyFont="1" applyFill="1" applyBorder="1" applyAlignment="1">
      <alignment horizontal="right"/>
    </xf>
    <xf numFmtId="166" fontId="1" fillId="0" borderId="0" xfId="1" applyNumberFormat="1" applyFont="1" applyFill="1" applyAlignment="1">
      <alignment horizontal="right"/>
    </xf>
    <xf numFmtId="166" fontId="14" fillId="0" borderId="0" xfId="1" applyNumberFormat="1" applyFont="1" applyFill="1" applyBorder="1" applyAlignment="1">
      <alignment horizontal="right"/>
    </xf>
    <xf numFmtId="171" fontId="2" fillId="0" borderId="0" xfId="1" applyNumberFormat="1" applyFont="1" applyFill="1" applyBorder="1" applyAlignment="1">
      <alignment horizontal="right" vertical="top"/>
    </xf>
    <xf numFmtId="0" fontId="2" fillId="8" borderId="0" xfId="0" applyFont="1" applyFill="1"/>
    <xf numFmtId="165" fontId="0" fillId="0" borderId="0" xfId="4" applyFont="1" applyBorder="1"/>
    <xf numFmtId="165" fontId="2" fillId="0" borderId="0" xfId="4" applyFont="1" applyBorder="1" applyAlignment="1">
      <alignment horizontal="left" vertical="top"/>
    </xf>
    <xf numFmtId="171" fontId="2" fillId="0" borderId="0" xfId="1" applyNumberFormat="1" applyFont="1" applyAlignment="1">
      <alignment horizontal="right"/>
    </xf>
    <xf numFmtId="166" fontId="16" fillId="0" borderId="0" xfId="1" applyNumberFormat="1" applyFont="1" applyFill="1" applyAlignment="1">
      <alignment horizontal="right"/>
    </xf>
    <xf numFmtId="171" fontId="1" fillId="0" borderId="0" xfId="1" applyNumberFormat="1" applyFont="1" applyFill="1" applyAlignment="1">
      <alignment horizontal="right"/>
    </xf>
    <xf numFmtId="0" fontId="0" fillId="6" borderId="0" xfId="0" applyFill="1" applyAlignment="1">
      <alignment horizontal="center"/>
    </xf>
    <xf numFmtId="165" fontId="2" fillId="0" borderId="0" xfId="4" applyFont="1" applyBorder="1"/>
    <xf numFmtId="165" fontId="0" fillId="0" borderId="0" xfId="4" applyFont="1" applyBorder="1" applyAlignment="1">
      <alignment horizontal="center"/>
    </xf>
    <xf numFmtId="171" fontId="18" fillId="0" borderId="0" xfId="1" applyNumberFormat="1" applyFont="1" applyBorder="1" applyAlignment="1">
      <alignment horizontal="right"/>
    </xf>
    <xf numFmtId="166" fontId="18" fillId="0" borderId="0" xfId="1" applyNumberFormat="1" applyFont="1" applyBorder="1" applyAlignment="1">
      <alignment horizontal="right"/>
    </xf>
    <xf numFmtId="166" fontId="0" fillId="5" borderId="0" xfId="1" applyNumberFormat="1" applyFont="1" applyFill="1" applyAlignment="1">
      <alignment horizontal="right"/>
    </xf>
    <xf numFmtId="165" fontId="2" fillId="0" borderId="2" xfId="4" applyFont="1" applyFill="1" applyBorder="1" applyAlignment="1">
      <alignment horizontal="left" vertical="top"/>
    </xf>
    <xf numFmtId="0" fontId="0" fillId="5" borderId="2" xfId="0" applyFill="1" applyBorder="1"/>
    <xf numFmtId="1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21" fillId="0" borderId="0" xfId="4" applyNumberFormat="1" applyFont="1" applyFill="1" applyBorder="1" applyAlignment="1">
      <alignment horizontal="right" vertical="top"/>
    </xf>
    <xf numFmtId="1" fontId="18" fillId="0" borderId="0" xfId="4" applyNumberFormat="1" applyFont="1" applyBorder="1" applyAlignment="1">
      <alignment horizontal="right"/>
    </xf>
    <xf numFmtId="165" fontId="2" fillId="0" borderId="0" xfId="4" applyFont="1" applyFill="1" applyBorder="1" applyAlignment="1">
      <alignment horizontal="center"/>
    </xf>
    <xf numFmtId="165" fontId="0" fillId="0" borderId="0" xfId="4" applyFont="1" applyFill="1" applyBorder="1" applyAlignment="1">
      <alignment horizontal="left" vertical="top" indent="2"/>
    </xf>
    <xf numFmtId="166" fontId="14" fillId="0" borderId="0" xfId="1" applyNumberFormat="1" applyFont="1" applyBorder="1" applyAlignment="1">
      <alignment horizontal="right"/>
    </xf>
    <xf numFmtId="166" fontId="2" fillId="0" borderId="0" xfId="1" applyNumberFormat="1" applyFont="1" applyBorder="1" applyAlignment="1">
      <alignment horizontal="right" vertical="top"/>
    </xf>
    <xf numFmtId="165" fontId="0" fillId="0" borderId="0" xfId="4" applyFont="1" applyFill="1" applyBorder="1" applyAlignment="1">
      <alignment horizontal="center"/>
    </xf>
    <xf numFmtId="166" fontId="14" fillId="0" borderId="0" xfId="1" applyNumberFormat="1" applyFont="1" applyFill="1" applyAlignment="1">
      <alignment horizontal="right"/>
    </xf>
    <xf numFmtId="165" fontId="15" fillId="0" borderId="0" xfId="4" applyFont="1" applyBorder="1" applyAlignment="1">
      <alignment horizontal="center"/>
    </xf>
    <xf numFmtId="165" fontId="15" fillId="0" borderId="0" xfId="4" applyFont="1" applyFill="1" applyBorder="1" applyAlignment="1">
      <alignment horizontal="left" vertical="top"/>
    </xf>
    <xf numFmtId="166" fontId="2" fillId="0" borderId="0" xfId="1" applyNumberFormat="1" applyFont="1" applyFill="1" applyBorder="1" applyAlignment="1">
      <alignment horizontal="right" vertical="top"/>
    </xf>
    <xf numFmtId="171" fontId="2" fillId="0" borderId="2" xfId="1" applyNumberFormat="1" applyFont="1" applyFill="1" applyBorder="1" applyAlignment="1">
      <alignment horizontal="right" vertical="top"/>
    </xf>
    <xf numFmtId="166" fontId="2" fillId="0" borderId="2" xfId="1" applyNumberFormat="1" applyFont="1" applyFill="1" applyBorder="1" applyAlignment="1">
      <alignment horizontal="right" vertical="top"/>
    </xf>
    <xf numFmtId="165" fontId="18" fillId="0" borderId="0" xfId="4" applyFont="1" applyBorder="1" applyAlignment="1">
      <alignment horizontal="center"/>
    </xf>
    <xf numFmtId="165" fontId="18" fillId="0" borderId="0" xfId="4" applyFont="1" applyBorder="1"/>
    <xf numFmtId="165" fontId="18" fillId="0" borderId="0" xfId="4" applyFont="1" applyFill="1" applyBorder="1" applyAlignment="1">
      <alignment horizontal="center" vertical="top"/>
    </xf>
    <xf numFmtId="165" fontId="18" fillId="0" borderId="0" xfId="4" applyFont="1" applyFill="1" applyBorder="1" applyAlignment="1">
      <alignment horizontal="left" vertical="top"/>
    </xf>
    <xf numFmtId="165" fontId="2" fillId="0" borderId="0" xfId="4" applyFont="1" applyBorder="1" applyAlignment="1">
      <alignment horizontal="center" vertical="top"/>
    </xf>
    <xf numFmtId="165" fontId="21" fillId="0" borderId="0" xfId="4" applyFont="1" applyBorder="1" applyAlignment="1">
      <alignment horizontal="left" vertical="top"/>
    </xf>
    <xf numFmtId="165" fontId="21" fillId="0" borderId="0" xfId="4" applyFont="1" applyBorder="1" applyAlignment="1">
      <alignment horizontal="center" vertical="top"/>
    </xf>
    <xf numFmtId="165" fontId="18" fillId="0" borderId="0" xfId="4" applyFont="1" applyBorder="1" applyAlignment="1">
      <alignment horizontal="center" vertical="top"/>
    </xf>
    <xf numFmtId="165" fontId="18" fillId="0" borderId="0" xfId="4" applyFont="1" applyBorder="1" applyAlignment="1">
      <alignment horizontal="left" vertical="top"/>
    </xf>
    <xf numFmtId="165" fontId="22" fillId="0" borderId="0" xfId="4" applyFont="1" applyBorder="1" applyAlignment="1">
      <alignment horizontal="center" vertical="top"/>
    </xf>
    <xf numFmtId="165" fontId="22" fillId="0" borderId="0" xfId="4" applyFont="1" applyBorder="1" applyAlignment="1">
      <alignment horizontal="left" vertical="top"/>
    </xf>
    <xf numFmtId="165" fontId="21" fillId="0" borderId="0" xfId="4" applyFont="1" applyFill="1" applyBorder="1" applyAlignment="1">
      <alignment horizontal="center" vertical="top"/>
    </xf>
    <xf numFmtId="165" fontId="21" fillId="0" borderId="0" xfId="4" applyFont="1" applyFill="1" applyBorder="1" applyAlignment="1">
      <alignment horizontal="left" vertical="top"/>
    </xf>
    <xf numFmtId="165" fontId="0" fillId="0" borderId="0" xfId="4" applyFont="1" applyBorder="1" applyAlignment="1">
      <alignment horizontal="left" vertical="top" indent="2"/>
    </xf>
    <xf numFmtId="165" fontId="3" fillId="0" borderId="0" xfId="4" applyFont="1" applyBorder="1" applyAlignment="1">
      <alignment horizontal="left" vertical="top" indent="2"/>
    </xf>
    <xf numFmtId="165" fontId="18" fillId="0" borderId="0" xfId="4" applyFont="1" applyBorder="1" applyAlignment="1"/>
    <xf numFmtId="165" fontId="18" fillId="0" borderId="0" xfId="4" applyFont="1" applyFill="1" applyBorder="1" applyAlignment="1">
      <alignment horizontal="center"/>
    </xf>
    <xf numFmtId="165" fontId="18" fillId="0" borderId="0" xfId="4" applyFont="1" applyFill="1" applyBorder="1"/>
    <xf numFmtId="0" fontId="0" fillId="5" borderId="2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right"/>
    </xf>
    <xf numFmtId="0" fontId="23" fillId="0" borderId="0" xfId="0" applyFont="1"/>
    <xf numFmtId="166" fontId="0" fillId="0" borderId="0" xfId="1" applyNumberFormat="1" applyFont="1" applyFill="1" applyAlignment="1">
      <alignment horizontal="right"/>
    </xf>
    <xf numFmtId="0" fontId="15" fillId="0" borderId="0" xfId="0" applyFont="1"/>
    <xf numFmtId="165" fontId="0" fillId="0" borderId="0" xfId="1" applyFont="1" applyAlignment="1">
      <alignment horizontal="right"/>
    </xf>
    <xf numFmtId="166" fontId="2" fillId="6" borderId="0" xfId="0" applyNumberFormat="1" applyFont="1" applyFill="1"/>
    <xf numFmtId="165" fontId="0" fillId="0" borderId="0" xfId="4" applyFont="1" applyFill="1" applyAlignment="1">
      <alignment horizontal="right"/>
    </xf>
    <xf numFmtId="0" fontId="0" fillId="8" borderId="0" xfId="0" applyFill="1" applyAlignment="1">
      <alignment horizontal="right"/>
    </xf>
    <xf numFmtId="171" fontId="15" fillId="0" borderId="0" xfId="4" applyNumberFormat="1" applyFont="1" applyFill="1" applyBorder="1" applyAlignment="1" applyProtection="1">
      <alignment vertical="center"/>
      <protection locked="0"/>
    </xf>
    <xf numFmtId="166" fontId="14" fillId="0" borderId="0" xfId="1" applyNumberFormat="1" applyFont="1"/>
    <xf numFmtId="9" fontId="23" fillId="0" borderId="0" xfId="2" applyFont="1"/>
    <xf numFmtId="172" fontId="0" fillId="0" borderId="0" xfId="2" applyNumberFormat="1" applyFont="1" applyFill="1"/>
    <xf numFmtId="172" fontId="14" fillId="0" borderId="0" xfId="0" applyNumberFormat="1" applyFont="1"/>
    <xf numFmtId="0" fontId="15" fillId="0" borderId="2" xfId="0" applyFont="1" applyBorder="1"/>
    <xf numFmtId="166" fontId="2" fillId="0" borderId="2" xfId="1" applyNumberFormat="1" applyFont="1" applyBorder="1"/>
    <xf numFmtId="0" fontId="23" fillId="0" borderId="0" xfId="0" applyFont="1" applyAlignment="1">
      <alignment wrapText="1"/>
    </xf>
    <xf numFmtId="9" fontId="0" fillId="0" borderId="0" xfId="2" applyFont="1" applyFill="1"/>
    <xf numFmtId="9" fontId="16" fillId="0" borderId="0" xfId="0" applyNumberFormat="1" applyFont="1"/>
    <xf numFmtId="1" fontId="0" fillId="0" borderId="0" xfId="0" applyNumberFormat="1"/>
    <xf numFmtId="10" fontId="0" fillId="0" borderId="0" xfId="0" applyNumberFormat="1"/>
    <xf numFmtId="0" fontId="2" fillId="0" borderId="2" xfId="0" applyFont="1" applyBorder="1"/>
    <xf numFmtId="166" fontId="0" fillId="0" borderId="2" xfId="1" applyNumberFormat="1" applyFont="1" applyBorder="1"/>
    <xf numFmtId="171" fontId="0" fillId="0" borderId="0" xfId="4" applyNumberFormat="1" applyFont="1"/>
    <xf numFmtId="166" fontId="14" fillId="0" borderId="0" xfId="1" applyNumberFormat="1" applyFont="1" applyAlignment="1">
      <alignment horizontal="right"/>
    </xf>
    <xf numFmtId="1" fontId="14" fillId="0" borderId="0" xfId="0" applyNumberFormat="1" applyFont="1" applyAlignment="1">
      <alignment horizontal="right"/>
    </xf>
    <xf numFmtId="171" fontId="24" fillId="0" borderId="0" xfId="4" applyNumberFormat="1" applyFont="1"/>
    <xf numFmtId="165" fontId="0" fillId="5" borderId="0" xfId="4" applyFont="1" applyFill="1" applyBorder="1" applyAlignment="1">
      <alignment horizontal="left" vertical="top" indent="2"/>
    </xf>
    <xf numFmtId="166" fontId="1" fillId="0" borderId="0" xfId="1" applyNumberFormat="1" applyFont="1" applyAlignment="1">
      <alignment horizontal="right"/>
    </xf>
    <xf numFmtId="171" fontId="2" fillId="0" borderId="0" xfId="4" applyNumberFormat="1" applyFont="1"/>
    <xf numFmtId="1" fontId="0" fillId="0" borderId="0" xfId="0" applyNumberFormat="1" applyAlignment="1">
      <alignment horizontal="right"/>
    </xf>
    <xf numFmtId="171" fontId="0" fillId="0" borderId="0" xfId="1" applyNumberFormat="1" applyFont="1" applyAlignment="1">
      <alignment horizontal="right"/>
    </xf>
    <xf numFmtId="171" fontId="15" fillId="6" borderId="0" xfId="4" applyNumberFormat="1" applyFont="1" applyFill="1"/>
    <xf numFmtId="166" fontId="2" fillId="6" borderId="0" xfId="1" applyNumberFormat="1" applyFont="1" applyFill="1" applyAlignment="1">
      <alignment horizontal="right"/>
    </xf>
    <xf numFmtId="171" fontId="25" fillId="0" borderId="0" xfId="4" applyNumberFormat="1" applyFont="1"/>
    <xf numFmtId="0" fontId="16" fillId="0" borderId="0" xfId="0" applyFont="1" applyAlignment="1">
      <alignment horizontal="right"/>
    </xf>
    <xf numFmtId="172" fontId="0" fillId="0" borderId="0" xfId="2" applyNumberFormat="1" applyFont="1" applyFill="1" applyAlignment="1">
      <alignment horizontal="right"/>
    </xf>
    <xf numFmtId="172" fontId="14" fillId="0" borderId="0" xfId="2" applyNumberFormat="1" applyFont="1" applyAlignment="1">
      <alignment horizontal="right"/>
    </xf>
    <xf numFmtId="165" fontId="0" fillId="0" borderId="0" xfId="4" applyFont="1" applyFill="1" applyBorder="1" applyAlignment="1">
      <alignment horizontal="left" vertical="top" wrapText="1"/>
    </xf>
    <xf numFmtId="171" fontId="25" fillId="0" borderId="0" xfId="4" applyNumberFormat="1" applyFont="1" applyAlignment="1">
      <alignment wrapText="1"/>
    </xf>
    <xf numFmtId="0" fontId="14" fillId="0" borderId="0" xfId="0" applyFont="1" applyAlignment="1">
      <alignment horizontal="right"/>
    </xf>
    <xf numFmtId="171" fontId="23" fillId="0" borderId="0" xfId="4" applyNumberFormat="1" applyFont="1"/>
    <xf numFmtId="165" fontId="14" fillId="5" borderId="3" xfId="0" applyNumberFormat="1" applyFont="1" applyFill="1" applyBorder="1"/>
    <xf numFmtId="166" fontId="14" fillId="5" borderId="3" xfId="0" applyNumberFormat="1" applyFont="1" applyFill="1" applyBorder="1"/>
    <xf numFmtId="165" fontId="14" fillId="5" borderId="3" xfId="4" applyFont="1" applyFill="1" applyBorder="1"/>
    <xf numFmtId="166" fontId="14" fillId="5" borderId="3" xfId="4" applyNumberFormat="1" applyFont="1" applyFill="1" applyBorder="1"/>
    <xf numFmtId="165" fontId="16" fillId="5" borderId="3" xfId="0" applyNumberFormat="1" applyFont="1" applyFill="1" applyBorder="1"/>
    <xf numFmtId="165" fontId="26" fillId="5" borderId="3" xfId="4" applyFont="1" applyFill="1" applyBorder="1"/>
    <xf numFmtId="166" fontId="14" fillId="5" borderId="3" xfId="1" applyNumberFormat="1" applyFont="1" applyFill="1" applyBorder="1"/>
    <xf numFmtId="166" fontId="16" fillId="5" borderId="3" xfId="0" applyNumberFormat="1" applyFont="1" applyFill="1" applyBorder="1"/>
    <xf numFmtId="165" fontId="2" fillId="5" borderId="3" xfId="0" applyNumberFormat="1" applyFont="1" applyFill="1" applyBorder="1"/>
    <xf numFmtId="166" fontId="2" fillId="5" borderId="3" xfId="0" applyNumberFormat="1" applyFont="1" applyFill="1" applyBorder="1"/>
    <xf numFmtId="166" fontId="2" fillId="5" borderId="3" xfId="1" applyNumberFormat="1" applyFont="1" applyFill="1" applyBorder="1"/>
    <xf numFmtId="166" fontId="0" fillId="5" borderId="0" xfId="0" applyNumberFormat="1" applyFill="1"/>
    <xf numFmtId="165" fontId="0" fillId="5" borderId="0" xfId="0" applyNumberFormat="1" applyFill="1"/>
    <xf numFmtId="0" fontId="25" fillId="0" borderId="0" xfId="0" applyFont="1"/>
    <xf numFmtId="166" fontId="27" fillId="0" borderId="0" xfId="1" applyNumberFormat="1" applyFont="1"/>
    <xf numFmtId="165" fontId="28" fillId="0" borderId="0" xfId="1" applyFont="1"/>
    <xf numFmtId="173" fontId="27" fillId="0" borderId="0" xfId="1" applyNumberFormat="1" applyFont="1"/>
    <xf numFmtId="173" fontId="26" fillId="0" borderId="0" xfId="1" applyNumberFormat="1" applyFont="1"/>
    <xf numFmtId="166" fontId="23" fillId="0" borderId="0" xfId="1" applyNumberFormat="1" applyFont="1" applyBorder="1"/>
    <xf numFmtId="166" fontId="23" fillId="0" borderId="0" xfId="1" applyNumberFormat="1" applyFont="1" applyFill="1" applyBorder="1"/>
    <xf numFmtId="166" fontId="6" fillId="0" borderId="0" xfId="1" applyNumberFormat="1" applyFont="1" applyFill="1" applyBorder="1"/>
    <xf numFmtId="166" fontId="29" fillId="0" borderId="0" xfId="1" applyNumberFormat="1" applyFont="1"/>
    <xf numFmtId="166" fontId="29" fillId="0" borderId="0" xfId="1" applyNumberFormat="1" applyFont="1" applyFill="1"/>
    <xf numFmtId="174" fontId="16" fillId="0" borderId="0" xfId="0" applyNumberFormat="1" applyFont="1"/>
    <xf numFmtId="166" fontId="29" fillId="0" borderId="0" xfId="1" applyNumberFormat="1" applyFont="1" applyBorder="1"/>
    <xf numFmtId="0" fontId="1" fillId="0" borderId="0" xfId="0" applyFont="1"/>
    <xf numFmtId="0" fontId="30" fillId="0" borderId="0" xfId="0" applyFont="1"/>
    <xf numFmtId="0" fontId="30" fillId="0" borderId="0" xfId="0" applyFont="1" applyAlignment="1">
      <alignment wrapText="1"/>
    </xf>
    <xf numFmtId="171" fontId="1" fillId="0" borderId="3" xfId="4" applyNumberFormat="1" applyFont="1" applyBorder="1"/>
    <xf numFmtId="0" fontId="0" fillId="0" borderId="3" xfId="0" applyBorder="1"/>
    <xf numFmtId="175" fontId="14" fillId="0" borderId="3" xfId="4" applyNumberFormat="1" applyFont="1" applyFill="1" applyBorder="1"/>
    <xf numFmtId="166" fontId="1" fillId="0" borderId="3" xfId="1" applyNumberFormat="1" applyFont="1" applyBorder="1"/>
    <xf numFmtId="171" fontId="34" fillId="0" borderId="3" xfId="4" applyNumberFormat="1" applyFont="1" applyBorder="1"/>
    <xf numFmtId="10" fontId="1" fillId="0" borderId="3" xfId="2" applyNumberFormat="1" applyFont="1" applyFill="1" applyBorder="1"/>
    <xf numFmtId="10" fontId="14" fillId="0" borderId="3" xfId="2" applyNumberFormat="1" applyFont="1" applyBorder="1"/>
    <xf numFmtId="171" fontId="1" fillId="0" borderId="0" xfId="4" applyNumberFormat="1" applyFont="1"/>
    <xf numFmtId="0" fontId="1" fillId="0" borderId="0" xfId="4" applyNumberFormat="1" applyFont="1" applyBorder="1"/>
    <xf numFmtId="0" fontId="1" fillId="0" borderId="5" xfId="4" applyNumberFormat="1" applyFont="1" applyBorder="1"/>
    <xf numFmtId="0" fontId="1" fillId="0" borderId="3" xfId="4" applyNumberFormat="1" applyFont="1" applyBorder="1"/>
    <xf numFmtId="9" fontId="0" fillId="0" borderId="3" xfId="2" applyFont="1" applyBorder="1"/>
    <xf numFmtId="9" fontId="1" fillId="0" borderId="3" xfId="4" applyNumberFormat="1" applyFont="1" applyBorder="1"/>
    <xf numFmtId="166" fontId="14" fillId="0" borderId="3" xfId="4" applyNumberFormat="1" applyFont="1" applyBorder="1"/>
    <xf numFmtId="166" fontId="14" fillId="0" borderId="3" xfId="1" applyNumberFormat="1" applyFont="1" applyBorder="1"/>
    <xf numFmtId="175" fontId="14" fillId="0" borderId="3" xfId="4" applyNumberFormat="1" applyFont="1" applyBorder="1"/>
    <xf numFmtId="0" fontId="16" fillId="0" borderId="3" xfId="4" applyNumberFormat="1" applyFont="1" applyBorder="1"/>
    <xf numFmtId="166" fontId="16" fillId="0" borderId="3" xfId="1" applyNumberFormat="1" applyFont="1" applyBorder="1"/>
    <xf numFmtId="0" fontId="12" fillId="0" borderId="3" xfId="0" applyFont="1" applyBorder="1"/>
    <xf numFmtId="166" fontId="2" fillId="0" borderId="3" xfId="4" applyNumberFormat="1" applyFont="1" applyBorder="1"/>
    <xf numFmtId="166" fontId="2" fillId="0" borderId="3" xfId="1" applyNumberFormat="1" applyFont="1" applyBorder="1"/>
    <xf numFmtId="43" fontId="26" fillId="0" borderId="3" xfId="0" applyNumberFormat="1" applyFont="1" applyBorder="1"/>
    <xf numFmtId="171" fontId="0" fillId="0" borderId="3" xfId="4" applyNumberFormat="1" applyFont="1" applyBorder="1"/>
    <xf numFmtId="0" fontId="0" fillId="5" borderId="3" xfId="0" applyFill="1" applyBorder="1"/>
    <xf numFmtId="176" fontId="35" fillId="0" borderId="0" xfId="0" applyNumberFormat="1" applyFont="1"/>
    <xf numFmtId="176" fontId="0" fillId="0" borderId="0" xfId="0" applyNumberFormat="1" applyAlignment="1">
      <alignment vertical="center"/>
    </xf>
    <xf numFmtId="165" fontId="36" fillId="6" borderId="3" xfId="1" applyFont="1" applyFill="1" applyBorder="1" applyAlignment="1">
      <alignment vertical="center"/>
    </xf>
    <xf numFmtId="176" fontId="2" fillId="0" borderId="0" xfId="0" applyNumberFormat="1" applyFont="1" applyAlignment="1">
      <alignment vertical="center"/>
    </xf>
    <xf numFmtId="165" fontId="36" fillId="6" borderId="3" xfId="1" applyFont="1" applyFill="1" applyBorder="1" applyAlignment="1"/>
    <xf numFmtId="176" fontId="36" fillId="0" borderId="0" xfId="0" applyNumberFormat="1" applyFont="1" applyAlignment="1">
      <alignment vertical="center"/>
    </xf>
    <xf numFmtId="165" fontId="37" fillId="6" borderId="3" xfId="1" applyFont="1" applyFill="1" applyBorder="1" applyAlignment="1">
      <alignment vertical="center"/>
    </xf>
    <xf numFmtId="176" fontId="38" fillId="0" borderId="0" xfId="0" applyNumberFormat="1" applyFont="1" applyAlignment="1">
      <alignment vertical="center"/>
    </xf>
    <xf numFmtId="165" fontId="0" fillId="6" borderId="3" xfId="1" applyFont="1" applyFill="1" applyBorder="1" applyAlignment="1">
      <alignment vertical="center"/>
    </xf>
    <xf numFmtId="176" fontId="39" fillId="0" borderId="0" xfId="0" applyNumberFormat="1" applyFont="1"/>
    <xf numFmtId="165" fontId="0" fillId="0" borderId="0" xfId="1" applyFont="1" applyAlignment="1">
      <alignment vertical="center"/>
    </xf>
    <xf numFmtId="177" fontId="35" fillId="0" borderId="0" xfId="0" applyNumberFormat="1" applyFont="1"/>
    <xf numFmtId="176" fontId="8" fillId="0" borderId="0" xfId="0" applyNumberFormat="1" applyFont="1"/>
    <xf numFmtId="176" fontId="8" fillId="6" borderId="0" xfId="0" applyNumberFormat="1" applyFont="1" applyFill="1"/>
    <xf numFmtId="166" fontId="8" fillId="6" borderId="0" xfId="1" applyNumberFormat="1" applyFont="1" applyFill="1"/>
    <xf numFmtId="166" fontId="0" fillId="6" borderId="0" xfId="1" applyNumberFormat="1" applyFont="1" applyFill="1" applyAlignment="1">
      <alignment vertical="center"/>
    </xf>
    <xf numFmtId="176" fontId="0" fillId="0" borderId="0" xfId="0" applyNumberFormat="1"/>
    <xf numFmtId="176" fontId="40" fillId="0" borderId="2" xfId="0" applyNumberFormat="1" applyFont="1" applyBorder="1"/>
    <xf numFmtId="176" fontId="8" fillId="0" borderId="2" xfId="0" applyNumberFormat="1" applyFont="1" applyBorder="1"/>
    <xf numFmtId="176" fontId="8" fillId="6" borderId="2" xfId="0" applyNumberFormat="1" applyFont="1" applyFill="1" applyBorder="1" applyAlignment="1">
      <alignment vertical="center"/>
    </xf>
    <xf numFmtId="176" fontId="0" fillId="6" borderId="0" xfId="0" applyNumberFormat="1" applyFill="1" applyAlignment="1">
      <alignment vertical="center"/>
    </xf>
    <xf numFmtId="176" fontId="36" fillId="0" borderId="2" xfId="0" applyNumberFormat="1" applyFont="1" applyBorder="1" applyAlignment="1">
      <alignment vertical="center"/>
    </xf>
    <xf numFmtId="176" fontId="0" fillId="0" borderId="2" xfId="0" applyNumberFormat="1" applyBorder="1" applyAlignment="1">
      <alignment vertical="center"/>
    </xf>
    <xf numFmtId="176" fontId="2" fillId="6" borderId="2" xfId="0" applyNumberFormat="1" applyFont="1" applyFill="1" applyBorder="1" applyAlignment="1">
      <alignment vertical="center"/>
    </xf>
    <xf numFmtId="176" fontId="41" fillId="0" borderId="4" xfId="0" applyNumberFormat="1" applyFont="1" applyBorder="1"/>
    <xf numFmtId="176" fontId="36" fillId="0" borderId="4" xfId="0" applyNumberFormat="1" applyFont="1" applyBorder="1" applyAlignment="1">
      <alignment vertical="center"/>
    </xf>
    <xf numFmtId="176" fontId="0" fillId="0" borderId="4" xfId="0" applyNumberFormat="1" applyBorder="1" applyAlignment="1">
      <alignment vertical="center"/>
    </xf>
    <xf numFmtId="176" fontId="0" fillId="6" borderId="4" xfId="0" applyNumberFormat="1" applyFill="1" applyBorder="1" applyAlignment="1">
      <alignment vertical="center"/>
    </xf>
    <xf numFmtId="176" fontId="41" fillId="0" borderId="0" xfId="0" applyNumberFormat="1" applyFont="1"/>
    <xf numFmtId="176" fontId="36" fillId="0" borderId="2" xfId="0" applyNumberFormat="1" applyFont="1" applyBorder="1"/>
    <xf numFmtId="9" fontId="0" fillId="0" borderId="0" xfId="6" applyFont="1" applyBorder="1" applyAlignment="1">
      <alignment vertical="center"/>
    </xf>
    <xf numFmtId="0" fontId="0" fillId="0" borderId="0" xfId="0" applyAlignment="1">
      <alignment vertical="center"/>
    </xf>
    <xf numFmtId="176" fontId="0" fillId="11" borderId="0" xfId="0" applyNumberFormat="1" applyFill="1" applyAlignment="1">
      <alignment vertical="center"/>
    </xf>
    <xf numFmtId="165" fontId="0" fillId="0" borderId="0" xfId="4" applyFont="1" applyBorder="1" applyAlignment="1">
      <alignment vertical="center"/>
    </xf>
    <xf numFmtId="176" fontId="36" fillId="0" borderId="4" xfId="0" applyNumberFormat="1" applyFont="1" applyBorder="1"/>
    <xf numFmtId="178" fontId="0" fillId="0" borderId="4" xfId="0" applyNumberFormat="1" applyBorder="1" applyAlignment="1">
      <alignment vertical="center"/>
    </xf>
    <xf numFmtId="176" fontId="41" fillId="0" borderId="2" xfId="0" applyNumberFormat="1" applyFont="1" applyBorder="1"/>
    <xf numFmtId="176" fontId="36" fillId="6" borderId="0" xfId="0" applyNumberFormat="1" applyFont="1" applyFill="1" applyAlignment="1">
      <alignment vertical="center"/>
    </xf>
    <xf numFmtId="165" fontId="0" fillId="6" borderId="0" xfId="4" applyFont="1" applyFill="1" applyBorder="1" applyAlignment="1">
      <alignment vertical="center"/>
    </xf>
    <xf numFmtId="166" fontId="0" fillId="6" borderId="4" xfId="1" applyNumberFormat="1" applyFont="1" applyFill="1" applyBorder="1" applyAlignment="1">
      <alignment vertical="center"/>
    </xf>
    <xf numFmtId="166" fontId="0" fillId="0" borderId="0" xfId="1" applyNumberFormat="1" applyFont="1" applyAlignment="1">
      <alignment vertical="center"/>
    </xf>
    <xf numFmtId="165" fontId="0" fillId="0" borderId="0" xfId="0" applyNumberFormat="1"/>
    <xf numFmtId="166" fontId="0" fillId="0" borderId="2" xfId="1" applyNumberFormat="1" applyFont="1" applyBorder="1" applyAlignment="1">
      <alignment vertical="center"/>
    </xf>
    <xf numFmtId="166" fontId="0" fillId="6" borderId="0" xfId="0" applyNumberFormat="1" applyFill="1"/>
    <xf numFmtId="166" fontId="2" fillId="0" borderId="0" xfId="0" applyNumberFormat="1" applyFont="1"/>
    <xf numFmtId="165" fontId="0" fillId="6" borderId="0" xfId="0" applyNumberFormat="1" applyFill="1"/>
    <xf numFmtId="165" fontId="0" fillId="0" borderId="4" xfId="0" applyNumberFormat="1" applyBorder="1"/>
    <xf numFmtId="165" fontId="0" fillId="6" borderId="4" xfId="0" applyNumberFormat="1" applyFill="1" applyBorder="1"/>
    <xf numFmtId="0" fontId="7" fillId="0" borderId="0" xfId="3" applyAlignment="1" applyProtection="1"/>
    <xf numFmtId="9" fontId="0" fillId="0" borderId="0" xfId="0" applyNumberFormat="1"/>
    <xf numFmtId="167" fontId="5" fillId="5" borderId="0" xfId="0" applyNumberFormat="1" applyFont="1" applyFill="1"/>
    <xf numFmtId="167" fontId="4" fillId="5" borderId="0" xfId="0" applyNumberFormat="1" applyFont="1" applyFill="1"/>
    <xf numFmtId="169" fontId="4" fillId="5" borderId="0" xfId="0" applyNumberFormat="1" applyFont="1" applyFill="1" applyAlignment="1">
      <alignment horizontal="center"/>
    </xf>
    <xf numFmtId="170" fontId="4" fillId="5" borderId="0" xfId="0" applyNumberFormat="1" applyFont="1" applyFill="1" applyAlignment="1">
      <alignment horizontal="center"/>
    </xf>
    <xf numFmtId="0" fontId="1" fillId="8" borderId="0" xfId="0" applyFont="1" applyFill="1"/>
    <xf numFmtId="0" fontId="5" fillId="2" borderId="0" xfId="0" applyFont="1" applyFill="1"/>
    <xf numFmtId="0" fontId="43" fillId="0" borderId="0" xfId="0" applyFont="1" applyAlignment="1">
      <alignment horizontal="left" vertical="center" indent="1"/>
    </xf>
    <xf numFmtId="10" fontId="0" fillId="0" borderId="0" xfId="2" applyNumberFormat="1" applyFont="1"/>
    <xf numFmtId="0" fontId="44" fillId="3" borderId="0" xfId="0" applyFont="1" applyFill="1" applyAlignment="1">
      <alignment horizontal="left" vertical="center"/>
    </xf>
    <xf numFmtId="0" fontId="45" fillId="3" borderId="0" xfId="0" applyFont="1" applyFill="1" applyAlignment="1">
      <alignment horizontal="center" vertical="center"/>
    </xf>
    <xf numFmtId="0" fontId="5" fillId="3" borderId="0" xfId="0" applyFont="1" applyFill="1"/>
    <xf numFmtId="10" fontId="5" fillId="3" borderId="0" xfId="0" applyNumberFormat="1" applyFont="1" applyFill="1"/>
    <xf numFmtId="15" fontId="0" fillId="0" borderId="0" xfId="0" applyNumberFormat="1"/>
    <xf numFmtId="10" fontId="1" fillId="0" borderId="0" xfId="0" applyNumberFormat="1" applyFont="1"/>
    <xf numFmtId="0" fontId="1" fillId="0" borderId="0" xfId="0" quotePrefix="1" applyFont="1"/>
    <xf numFmtId="165" fontId="1" fillId="0" borderId="0" xfId="0" applyNumberFormat="1" applyFont="1"/>
    <xf numFmtId="10" fontId="2" fillId="0" borderId="0" xfId="2" applyNumberFormat="1" applyFont="1"/>
    <xf numFmtId="165" fontId="1" fillId="0" borderId="0" xfId="2" applyNumberFormat="1" applyFont="1"/>
    <xf numFmtId="172" fontId="1" fillId="0" borderId="0" xfId="2" applyNumberFormat="1" applyFont="1"/>
    <xf numFmtId="10" fontId="1" fillId="0" borderId="0" xfId="2" applyNumberFormat="1" applyFont="1"/>
    <xf numFmtId="179" fontId="5" fillId="3" borderId="0" xfId="0" applyNumberFormat="1" applyFont="1" applyFill="1"/>
    <xf numFmtId="0" fontId="5" fillId="14" borderId="0" xfId="0" applyFont="1" applyFill="1" applyAlignment="1">
      <alignment horizontal="center"/>
    </xf>
    <xf numFmtId="10" fontId="5" fillId="14" borderId="0" xfId="2" applyNumberFormat="1" applyFont="1" applyFill="1"/>
    <xf numFmtId="179" fontId="5" fillId="12" borderId="0" xfId="0" applyNumberFormat="1" applyFont="1" applyFill="1"/>
    <xf numFmtId="166" fontId="5" fillId="2" borderId="0" xfId="1" applyNumberFormat="1" applyFont="1" applyFill="1" applyAlignment="1">
      <alignment horizontal="right"/>
    </xf>
    <xf numFmtId="171" fontId="5" fillId="2" borderId="0" xfId="4" applyNumberFormat="1" applyFont="1" applyFill="1"/>
    <xf numFmtId="176" fontId="46" fillId="6" borderId="0" xfId="0" applyNumberFormat="1" applyFont="1" applyFill="1" applyAlignment="1">
      <alignment vertical="center" wrapText="1"/>
    </xf>
    <xf numFmtId="0" fontId="4" fillId="14" borderId="0" xfId="0" applyFont="1" applyFill="1"/>
    <xf numFmtId="176" fontId="10" fillId="12" borderId="2" xfId="0" applyNumberFormat="1" applyFont="1" applyFill="1" applyBorder="1"/>
    <xf numFmtId="176" fontId="5" fillId="12" borderId="2" xfId="0" applyNumberFormat="1" applyFont="1" applyFill="1" applyBorder="1" applyAlignment="1">
      <alignment vertical="center"/>
    </xf>
    <xf numFmtId="171" fontId="5" fillId="12" borderId="2" xfId="1" applyNumberFormat="1" applyFont="1" applyFill="1" applyBorder="1" applyAlignment="1">
      <alignment vertical="center"/>
    </xf>
    <xf numFmtId="166" fontId="26" fillId="0" borderId="0" xfId="1" applyNumberFormat="1" applyFont="1"/>
    <xf numFmtId="0" fontId="0" fillId="15" borderId="0" xfId="0" applyFill="1"/>
    <xf numFmtId="165" fontId="2" fillId="0" borderId="0" xfId="1" applyFont="1"/>
    <xf numFmtId="165" fontId="2" fillId="0" borderId="2" xfId="1" applyFont="1" applyBorder="1" applyAlignment="1">
      <alignment horizontal="right"/>
    </xf>
    <xf numFmtId="10" fontId="14" fillId="0" borderId="0" xfId="2" applyNumberFormat="1" applyFont="1"/>
    <xf numFmtId="180" fontId="16" fillId="0" borderId="0" xfId="0" applyNumberFormat="1" applyFont="1"/>
    <xf numFmtId="181" fontId="14" fillId="5" borderId="3" xfId="0" applyNumberFormat="1" applyFont="1" applyFill="1" applyBorder="1"/>
    <xf numFmtId="165" fontId="0" fillId="16" borderId="0" xfId="1" applyFont="1" applyFill="1"/>
    <xf numFmtId="165" fontId="26" fillId="0" borderId="3" xfId="1" applyFont="1" applyBorder="1"/>
    <xf numFmtId="165" fontId="1" fillId="0" borderId="3" xfId="1" applyFont="1" applyBorder="1"/>
    <xf numFmtId="9" fontId="14" fillId="0" borderId="3" xfId="4" applyNumberFormat="1" applyFont="1" applyBorder="1"/>
    <xf numFmtId="0" fontId="26" fillId="0" borderId="3" xfId="0" applyFont="1" applyBorder="1"/>
    <xf numFmtId="165" fontId="26" fillId="0" borderId="3" xfId="0" applyNumberFormat="1" applyFont="1" applyBorder="1"/>
    <xf numFmtId="171" fontId="1" fillId="0" borderId="3" xfId="4" applyNumberFormat="1" applyFont="1" applyBorder="1" applyAlignment="1">
      <alignment wrapText="1"/>
    </xf>
    <xf numFmtId="171" fontId="34" fillId="0" borderId="3" xfId="4" applyNumberFormat="1" applyFont="1" applyBorder="1" applyAlignment="1">
      <alignment wrapText="1"/>
    </xf>
    <xf numFmtId="171" fontId="1" fillId="0" borderId="0" xfId="4" applyNumberFormat="1" applyFont="1" applyAlignment="1">
      <alignment wrapText="1"/>
    </xf>
    <xf numFmtId="165" fontId="2" fillId="0" borderId="3" xfId="1" applyFont="1" applyBorder="1"/>
    <xf numFmtId="166" fontId="0" fillId="0" borderId="0" xfId="1" applyNumberFormat="1" applyFont="1" applyFill="1" applyAlignment="1">
      <alignment wrapText="1"/>
    </xf>
    <xf numFmtId="171" fontId="14" fillId="0" borderId="0" xfId="1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16" borderId="0" xfId="0" applyFill="1" applyAlignment="1">
      <alignment horizontal="left" wrapText="1" indent="1"/>
    </xf>
    <xf numFmtId="0" fontId="0" fillId="16" borderId="0" xfId="0" applyFill="1"/>
    <xf numFmtId="0" fontId="0" fillId="16" borderId="0" xfId="0" applyFill="1" applyAlignment="1">
      <alignment horizontal="left" wrapText="1" indent="2"/>
    </xf>
    <xf numFmtId="165" fontId="1" fillId="16" borderId="0" xfId="1" applyFont="1" applyFill="1"/>
    <xf numFmtId="0" fontId="5" fillId="8" borderId="0" xfId="0" applyFont="1" applyFill="1" applyAlignment="1">
      <alignment horizontal="left" wrapText="1" indent="1"/>
    </xf>
    <xf numFmtId="0" fontId="5" fillId="8" borderId="0" xfId="0" applyFont="1" applyFill="1"/>
    <xf numFmtId="165" fontId="5" fillId="8" borderId="0" xfId="1" applyFont="1" applyFill="1"/>
    <xf numFmtId="165" fontId="0" fillId="0" borderId="0" xfId="4" applyFont="1" applyFill="1" applyBorder="1" applyAlignment="1">
      <alignment horizontal="left" vertical="top" indent="1"/>
    </xf>
    <xf numFmtId="0" fontId="4" fillId="8" borderId="0" xfId="0" applyFont="1" applyFill="1" applyAlignment="1">
      <alignment horizontal="left" indent="1"/>
    </xf>
    <xf numFmtId="0" fontId="4" fillId="8" borderId="0" xfId="0" applyFont="1" applyFill="1"/>
    <xf numFmtId="166" fontId="4" fillId="8" borderId="0" xfId="1" applyNumberFormat="1" applyFont="1" applyFill="1"/>
    <xf numFmtId="0" fontId="4" fillId="12" borderId="0" xfId="0" applyFont="1" applyFill="1" applyAlignment="1">
      <alignment horizontal="left" indent="1"/>
    </xf>
    <xf numFmtId="0" fontId="4" fillId="12" borderId="0" xfId="0" applyFont="1" applyFill="1"/>
    <xf numFmtId="166" fontId="4" fillId="12" borderId="0" xfId="1" applyNumberFormat="1" applyFont="1" applyFill="1"/>
    <xf numFmtId="165" fontId="3" fillId="0" borderId="0" xfId="4" applyFont="1" applyFill="1" applyBorder="1" applyAlignment="1">
      <alignment horizontal="left" vertical="top" indent="1"/>
    </xf>
    <xf numFmtId="165" fontId="3" fillId="0" borderId="0" xfId="4" applyFont="1" applyFill="1" applyBorder="1" applyAlignment="1">
      <alignment horizontal="left" vertical="top" indent="2"/>
    </xf>
    <xf numFmtId="0" fontId="3" fillId="0" borderId="0" xfId="0" applyFont="1" applyAlignment="1">
      <alignment horizontal="left" indent="1"/>
    </xf>
    <xf numFmtId="165" fontId="0" fillId="17" borderId="0" xfId="4" applyFont="1" applyFill="1" applyBorder="1" applyAlignment="1">
      <alignment horizontal="center"/>
    </xf>
    <xf numFmtId="0" fontId="0" fillId="17" borderId="0" xfId="0" applyFill="1" applyAlignment="1">
      <alignment horizontal="left" wrapText="1" indent="1"/>
    </xf>
    <xf numFmtId="0" fontId="0" fillId="17" borderId="0" xfId="0" applyFill="1"/>
    <xf numFmtId="165" fontId="0" fillId="17" borderId="0" xfId="1" applyFont="1" applyFill="1"/>
    <xf numFmtId="166" fontId="5" fillId="8" borderId="0" xfId="1" applyNumberFormat="1" applyFont="1" applyFill="1"/>
    <xf numFmtId="165" fontId="5" fillId="12" borderId="0" xfId="1" applyFont="1" applyFill="1"/>
    <xf numFmtId="165" fontId="14" fillId="0" borderId="0" xfId="1" applyFont="1" applyFill="1" applyBorder="1" applyAlignment="1">
      <alignment horizontal="right"/>
    </xf>
    <xf numFmtId="166" fontId="16" fillId="0" borderId="0" xfId="1" applyNumberFormat="1" applyFont="1"/>
    <xf numFmtId="10" fontId="26" fillId="0" borderId="0" xfId="2" applyNumberFormat="1" applyFont="1"/>
    <xf numFmtId="0" fontId="0" fillId="18" borderId="0" xfId="0" applyFill="1"/>
    <xf numFmtId="0" fontId="0" fillId="9" borderId="0" xfId="0" applyFill="1"/>
    <xf numFmtId="166" fontId="0" fillId="9" borderId="0" xfId="1" applyNumberFormat="1" applyFont="1" applyFill="1"/>
    <xf numFmtId="0" fontId="15" fillId="9" borderId="0" xfId="0" applyFont="1" applyFill="1"/>
    <xf numFmtId="166" fontId="14" fillId="16" borderId="0" xfId="1" applyNumberFormat="1" applyFont="1" applyFill="1" applyAlignment="1">
      <alignment wrapText="1"/>
    </xf>
    <xf numFmtId="166" fontId="14" fillId="5" borderId="0" xfId="1" applyNumberFormat="1" applyFont="1" applyFill="1" applyAlignment="1">
      <alignment horizontal="right"/>
    </xf>
    <xf numFmtId="10" fontId="23" fillId="5" borderId="0" xfId="2" applyNumberFormat="1" applyFont="1" applyFill="1" applyAlignment="1">
      <alignment horizontal="right"/>
    </xf>
    <xf numFmtId="172" fontId="23" fillId="0" borderId="0" xfId="0" applyNumberFormat="1" applyFont="1"/>
    <xf numFmtId="172" fontId="14" fillId="0" borderId="0" xfId="2" applyNumberFormat="1" applyFont="1" applyFill="1"/>
    <xf numFmtId="171" fontId="47" fillId="6" borderId="6" xfId="4" applyNumberFormat="1" applyFont="1" applyFill="1" applyBorder="1"/>
    <xf numFmtId="171" fontId="0" fillId="6" borderId="6" xfId="4" applyNumberFormat="1" applyFont="1" applyFill="1" applyBorder="1"/>
    <xf numFmtId="171" fontId="0" fillId="6" borderId="0" xfId="4" applyNumberFormat="1" applyFont="1" applyFill="1" applyBorder="1"/>
    <xf numFmtId="171" fontId="27" fillId="6" borderId="0" xfId="4" applyNumberFormat="1" applyFont="1" applyFill="1"/>
    <xf numFmtId="2" fontId="16" fillId="6" borderId="0" xfId="0" applyNumberFormat="1" applyFont="1" applyFill="1"/>
    <xf numFmtId="165" fontId="0" fillId="6" borderId="0" xfId="1" applyFont="1" applyFill="1" applyBorder="1"/>
    <xf numFmtId="165" fontId="16" fillId="6" borderId="0" xfId="4" applyFont="1" applyFill="1" applyBorder="1" applyAlignment="1">
      <alignment horizontal="left"/>
    </xf>
    <xf numFmtId="10" fontId="0" fillId="6" borderId="0" xfId="2" applyNumberFormat="1" applyFont="1" applyFill="1" applyBorder="1" applyAlignment="1">
      <alignment horizontal="right"/>
    </xf>
    <xf numFmtId="165" fontId="16" fillId="0" borderId="0" xfId="4" applyFont="1" applyBorder="1"/>
    <xf numFmtId="165" fontId="29" fillId="6" borderId="0" xfId="1" applyFont="1" applyFill="1" applyAlignment="1">
      <alignment horizontal="right"/>
    </xf>
    <xf numFmtId="171" fontId="16" fillId="6" borderId="0" xfId="4" applyNumberFormat="1" applyFont="1" applyFill="1" applyAlignment="1">
      <alignment horizontal="left"/>
    </xf>
    <xf numFmtId="0" fontId="48" fillId="0" borderId="0" xfId="0" applyFont="1"/>
    <xf numFmtId="165" fontId="16" fillId="0" borderId="0" xfId="4" applyFont="1" applyAlignment="1">
      <alignment horizontal="right"/>
    </xf>
    <xf numFmtId="171" fontId="0" fillId="6" borderId="2" xfId="4" applyNumberFormat="1" applyFont="1" applyFill="1" applyBorder="1" applyAlignment="1">
      <alignment horizontal="left"/>
    </xf>
    <xf numFmtId="165" fontId="15" fillId="6" borderId="2" xfId="4" applyFont="1" applyFill="1" applyBorder="1" applyAlignment="1">
      <alignment horizontal="right"/>
    </xf>
    <xf numFmtId="171" fontId="0" fillId="6" borderId="2" xfId="4" applyNumberFormat="1" applyFont="1" applyFill="1" applyBorder="1"/>
    <xf numFmtId="10" fontId="0" fillId="6" borderId="2" xfId="7" applyNumberFormat="1" applyFont="1" applyFill="1" applyBorder="1" applyAlignment="1">
      <alignment horizontal="right"/>
    </xf>
    <xf numFmtId="0" fontId="2" fillId="19" borderId="0" xfId="0" applyFont="1" applyFill="1"/>
    <xf numFmtId="171" fontId="47" fillId="0" borderId="0" xfId="4" applyNumberFormat="1" applyFont="1"/>
    <xf numFmtId="171" fontId="0" fillId="0" borderId="6" xfId="4" applyNumberFormat="1" applyFont="1" applyBorder="1"/>
    <xf numFmtId="171" fontId="0" fillId="0" borderId="0" xfId="4" applyNumberFormat="1" applyFont="1" applyBorder="1"/>
    <xf numFmtId="165" fontId="0" fillId="9" borderId="0" xfId="1" applyFont="1" applyFill="1"/>
    <xf numFmtId="171" fontId="27" fillId="0" borderId="0" xfId="4" applyNumberFormat="1" applyFont="1"/>
    <xf numFmtId="166" fontId="0" fillId="0" borderId="0" xfId="1" applyNumberFormat="1" applyFont="1" applyFill="1"/>
    <xf numFmtId="171" fontId="27" fillId="0" borderId="2" xfId="4" applyNumberFormat="1" applyFont="1" applyBorder="1"/>
    <xf numFmtId="0" fontId="0" fillId="0" borderId="2" xfId="0" applyBorder="1"/>
    <xf numFmtId="171" fontId="0" fillId="0" borderId="2" xfId="4" applyNumberFormat="1" applyFont="1" applyBorder="1"/>
    <xf numFmtId="165" fontId="2" fillId="9" borderId="2" xfId="1" applyFont="1" applyFill="1" applyBorder="1"/>
    <xf numFmtId="171" fontId="0" fillId="0" borderId="0" xfId="4" applyNumberFormat="1" applyFont="1" applyAlignment="1">
      <alignment horizontal="left"/>
    </xf>
    <xf numFmtId="171" fontId="2" fillId="0" borderId="0" xfId="4" applyNumberFormat="1" applyFont="1" applyAlignment="1">
      <alignment horizontal="left"/>
    </xf>
    <xf numFmtId="175" fontId="2" fillId="0" borderId="0" xfId="4" applyNumberFormat="1" applyFont="1" applyFill="1"/>
    <xf numFmtId="43" fontId="2" fillId="20" borderId="0" xfId="4" applyNumberFormat="1" applyFont="1" applyFill="1"/>
    <xf numFmtId="171" fontId="0" fillId="0" borderId="0" xfId="4" applyNumberFormat="1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27" fillId="0" borderId="0" xfId="4" applyNumberFormat="1" applyFont="1" applyFill="1"/>
    <xf numFmtId="165" fontId="0" fillId="10" borderId="0" xfId="1" applyFont="1" applyFill="1"/>
    <xf numFmtId="165" fontId="0" fillId="0" borderId="0" xfId="1" applyFont="1" applyFill="1"/>
    <xf numFmtId="175" fontId="0" fillId="0" borderId="0" xfId="0" applyNumberFormat="1"/>
    <xf numFmtId="171" fontId="47" fillId="0" borderId="2" xfId="4" applyNumberFormat="1" applyFont="1" applyBorder="1"/>
    <xf numFmtId="175" fontId="2" fillId="0" borderId="2" xfId="0" applyNumberFormat="1" applyFont="1" applyBorder="1"/>
    <xf numFmtId="165" fontId="2" fillId="0" borderId="2" xfId="1" applyFont="1" applyBorder="1"/>
    <xf numFmtId="171" fontId="27" fillId="6" borderId="0" xfId="4" applyNumberFormat="1" applyFont="1" applyFill="1" applyBorder="1"/>
    <xf numFmtId="0" fontId="15" fillId="0" borderId="7" xfId="0" applyFont="1" applyBorder="1" applyAlignment="1">
      <alignment wrapText="1"/>
    </xf>
    <xf numFmtId="0" fontId="30" fillId="0" borderId="7" xfId="0" applyFont="1" applyBorder="1" applyAlignment="1">
      <alignment wrapText="1"/>
    </xf>
    <xf numFmtId="165" fontId="30" fillId="0" borderId="0" xfId="0" applyNumberFormat="1" applyFont="1" applyAlignment="1">
      <alignment wrapText="1"/>
    </xf>
    <xf numFmtId="166" fontId="30" fillId="0" borderId="0" xfId="1" applyNumberFormat="1" applyFont="1" applyAlignment="1">
      <alignment wrapText="1"/>
    </xf>
    <xf numFmtId="165" fontId="30" fillId="0" borderId="0" xfId="1" applyFont="1" applyAlignment="1">
      <alignment wrapText="1"/>
    </xf>
    <xf numFmtId="166" fontId="30" fillId="10" borderId="0" xfId="1" applyNumberFormat="1" applyFont="1" applyFill="1" applyAlignment="1">
      <alignment wrapText="1"/>
    </xf>
    <xf numFmtId="0" fontId="0" fillId="0" borderId="0" xfId="0" quotePrefix="1" applyAlignment="1">
      <alignment horizontal="left" wrapText="1" indent="1"/>
    </xf>
    <xf numFmtId="165" fontId="49" fillId="0" borderId="0" xfId="1" applyFont="1" applyAlignment="1">
      <alignment wrapText="1"/>
    </xf>
    <xf numFmtId="166" fontId="49" fillId="0" borderId="0" xfId="1" applyNumberFormat="1" applyFont="1" applyAlignment="1">
      <alignment wrapText="1"/>
    </xf>
    <xf numFmtId="0" fontId="49" fillId="0" borderId="0" xfId="0" applyFont="1" applyAlignment="1">
      <alignment wrapText="1"/>
    </xf>
    <xf numFmtId="0" fontId="15" fillId="0" borderId="2" xfId="0" applyFont="1" applyBorder="1" applyAlignment="1">
      <alignment wrapText="1"/>
    </xf>
    <xf numFmtId="0" fontId="30" fillId="0" borderId="2" xfId="0" applyFont="1" applyBorder="1" applyAlignment="1">
      <alignment wrapText="1"/>
    </xf>
    <xf numFmtId="165" fontId="30" fillId="0" borderId="2" xfId="0" applyNumberFormat="1" applyFont="1" applyBorder="1" applyAlignment="1">
      <alignment wrapText="1"/>
    </xf>
    <xf numFmtId="166" fontId="30" fillId="0" borderId="2" xfId="0" applyNumberFormat="1" applyFont="1" applyBorder="1" applyAlignment="1">
      <alignment wrapText="1"/>
    </xf>
    <xf numFmtId="0" fontId="50" fillId="18" borderId="0" xfId="0" applyFont="1" applyFill="1"/>
    <xf numFmtId="171" fontId="51" fillId="18" borderId="0" xfId="5" applyNumberFormat="1" applyFont="1" applyFill="1"/>
    <xf numFmtId="171" fontId="52" fillId="0" borderId="0" xfId="5" applyNumberFormat="1" applyFont="1" applyFill="1"/>
    <xf numFmtId="171" fontId="52" fillId="0" borderId="2" xfId="5" applyNumberFormat="1" applyFont="1" applyFill="1" applyBorder="1"/>
    <xf numFmtId="171" fontId="53" fillId="0" borderId="0" xfId="5" applyNumberFormat="1" applyFont="1" applyFill="1" applyBorder="1"/>
    <xf numFmtId="171" fontId="30" fillId="0" borderId="0" xfId="5" applyNumberFormat="1" applyFont="1" applyFill="1" applyBorder="1"/>
    <xf numFmtId="171" fontId="54" fillId="0" borderId="2" xfId="5" applyNumberFormat="1" applyFont="1" applyFill="1" applyBorder="1"/>
    <xf numFmtId="0" fontId="51" fillId="18" borderId="0" xfId="0" applyFont="1" applyFill="1"/>
    <xf numFmtId="171" fontId="30" fillId="0" borderId="0" xfId="0" applyNumberFormat="1" applyFont="1"/>
    <xf numFmtId="166" fontId="30" fillId="0" borderId="0" xfId="0" applyNumberFormat="1" applyFont="1"/>
    <xf numFmtId="172" fontId="32" fillId="0" borderId="0" xfId="0" applyNumberFormat="1" applyFont="1"/>
    <xf numFmtId="172" fontId="32" fillId="10" borderId="0" xfId="0" applyNumberFormat="1" applyFont="1" applyFill="1"/>
    <xf numFmtId="0" fontId="2" fillId="0" borderId="4" xfId="0" applyFont="1" applyBorder="1"/>
    <xf numFmtId="171" fontId="33" fillId="0" borderId="4" xfId="0" applyNumberFormat="1" applyFont="1" applyBorder="1"/>
    <xf numFmtId="172" fontId="55" fillId="0" borderId="0" xfId="0" applyNumberFormat="1" applyFont="1"/>
    <xf numFmtId="166" fontId="33" fillId="0" borderId="4" xfId="0" applyNumberFormat="1" applyFont="1" applyBorder="1"/>
    <xf numFmtId="0" fontId="15" fillId="0" borderId="8" xfId="0" applyFont="1" applyBorder="1"/>
    <xf numFmtId="165" fontId="33" fillId="0" borderId="8" xfId="0" applyNumberFormat="1" applyFont="1" applyBorder="1"/>
    <xf numFmtId="166" fontId="33" fillId="0" borderId="8" xfId="0" applyNumberFormat="1" applyFont="1" applyBorder="1"/>
    <xf numFmtId="165" fontId="30" fillId="0" borderId="0" xfId="0" applyNumberFormat="1" applyFont="1"/>
    <xf numFmtId="10" fontId="56" fillId="0" borderId="0" xfId="0" applyNumberFormat="1" applyFont="1"/>
    <xf numFmtId="166" fontId="30" fillId="0" borderId="0" xfId="1" applyNumberFormat="1" applyFont="1" applyFill="1"/>
    <xf numFmtId="0" fontId="0" fillId="0" borderId="8" xfId="0" applyBorder="1"/>
    <xf numFmtId="9" fontId="32" fillId="10" borderId="9" xfId="0" applyNumberFormat="1" applyFont="1" applyFill="1" applyBorder="1"/>
    <xf numFmtId="166" fontId="30" fillId="0" borderId="8" xfId="1" applyNumberFormat="1" applyFont="1" applyFill="1" applyBorder="1"/>
    <xf numFmtId="165" fontId="23" fillId="0" borderId="0" xfId="0" applyNumberFormat="1" applyFont="1"/>
    <xf numFmtId="166" fontId="14" fillId="0" borderId="0" xfId="0" applyNumberFormat="1" applyFont="1"/>
    <xf numFmtId="166" fontId="23" fillId="0" borderId="0" xfId="1" applyNumberFormat="1" applyFont="1"/>
    <xf numFmtId="0" fontId="1" fillId="21" borderId="0" xfId="0" applyFont="1" applyFill="1"/>
    <xf numFmtId="165" fontId="1" fillId="21" borderId="0" xfId="1" applyFont="1" applyFill="1" applyBorder="1"/>
    <xf numFmtId="165" fontId="14" fillId="21" borderId="0" xfId="2" applyNumberFormat="1" applyFont="1" applyFill="1" applyBorder="1"/>
    <xf numFmtId="0" fontId="2" fillId="22" borderId="0" xfId="0" applyFont="1" applyFill="1"/>
    <xf numFmtId="15" fontId="0" fillId="0" borderId="3" xfId="0" applyNumberFormat="1" applyBorder="1"/>
    <xf numFmtId="0" fontId="0" fillId="9" borderId="3" xfId="0" applyFill="1" applyBorder="1" applyAlignment="1">
      <alignment wrapText="1"/>
    </xf>
    <xf numFmtId="0" fontId="0" fillId="0" borderId="3" xfId="0" applyBorder="1" applyAlignment="1">
      <alignment horizontal="left" wrapText="1" indent="1"/>
    </xf>
    <xf numFmtId="10" fontId="0" fillId="0" borderId="3" xfId="2" applyNumberFormat="1" applyFont="1" applyBorder="1"/>
    <xf numFmtId="0" fontId="0" fillId="0" borderId="3" xfId="0" applyBorder="1" applyAlignment="1">
      <alignment wrapText="1"/>
    </xf>
    <xf numFmtId="10" fontId="0" fillId="0" borderId="3" xfId="2" quotePrefix="1" applyNumberFormat="1" applyFont="1" applyBorder="1"/>
    <xf numFmtId="0" fontId="0" fillId="0" borderId="3" xfId="0" applyBorder="1" applyAlignment="1">
      <alignment horizontal="left" wrapText="1"/>
    </xf>
    <xf numFmtId="165" fontId="0" fillId="0" borderId="3" xfId="1" applyFont="1" applyBorder="1"/>
    <xf numFmtId="165" fontId="0" fillId="0" borderId="3" xfId="0" applyNumberFormat="1" applyBorder="1"/>
    <xf numFmtId="10" fontId="1" fillId="0" borderId="0" xfId="2" applyNumberFormat="1" applyFont="1" applyAlignment="1">
      <alignment horizontal="right"/>
    </xf>
    <xf numFmtId="0" fontId="0" fillId="0" borderId="0" xfId="0" applyAlignment="1">
      <alignment horizontal="left" wrapText="1" indent="3"/>
    </xf>
    <xf numFmtId="0" fontId="0" fillId="19" borderId="0" xfId="0" applyFill="1" applyAlignment="1">
      <alignment horizontal="left" wrapText="1" indent="2"/>
    </xf>
    <xf numFmtId="0" fontId="0" fillId="19" borderId="0" xfId="0" applyFill="1" applyAlignment="1">
      <alignment horizontal="left" wrapText="1" indent="3"/>
    </xf>
    <xf numFmtId="172" fontId="0" fillId="0" borderId="0" xfId="0" applyNumberFormat="1" applyAlignment="1">
      <alignment horizontal="right"/>
    </xf>
    <xf numFmtId="172" fontId="14" fillId="0" borderId="0" xfId="0" applyNumberFormat="1" applyFont="1" applyAlignment="1">
      <alignment horizontal="right"/>
    </xf>
    <xf numFmtId="165" fontId="14" fillId="0" borderId="0" xfId="0" applyNumberFormat="1" applyFont="1" applyAlignment="1">
      <alignment horizontal="right"/>
    </xf>
    <xf numFmtId="171" fontId="1" fillId="19" borderId="0" xfId="1" applyNumberFormat="1" applyFont="1" applyFill="1" applyAlignment="1">
      <alignment horizontal="right"/>
    </xf>
    <xf numFmtId="166" fontId="1" fillId="19" borderId="0" xfId="1" applyNumberFormat="1" applyFont="1" applyFill="1" applyAlignment="1">
      <alignment horizontal="right"/>
    </xf>
    <xf numFmtId="166" fontId="16" fillId="0" borderId="0" xfId="1" applyNumberFormat="1" applyFont="1" applyFill="1"/>
    <xf numFmtId="166" fontId="16" fillId="0" borderId="0" xfId="0" applyNumberFormat="1" applyFont="1"/>
    <xf numFmtId="10" fontId="1" fillId="0" borderId="3" xfId="2" applyNumberFormat="1" applyFont="1" applyBorder="1"/>
    <xf numFmtId="168" fontId="4" fillId="2" borderId="0" xfId="0" applyNumberFormat="1" applyFont="1" applyFill="1"/>
    <xf numFmtId="165" fontId="2" fillId="0" borderId="2" xfId="0" applyNumberFormat="1" applyFont="1" applyBorder="1"/>
    <xf numFmtId="165" fontId="16" fillId="6" borderId="0" xfId="4" applyFont="1" applyFill="1" applyAlignment="1">
      <alignment horizontal="left"/>
    </xf>
    <xf numFmtId="171" fontId="1" fillId="19" borderId="0" xfId="4" applyNumberFormat="1" applyFont="1" applyFill="1" applyBorder="1"/>
    <xf numFmtId="0" fontId="0" fillId="19" borderId="0" xfId="0" applyFill="1"/>
    <xf numFmtId="165" fontId="0" fillId="21" borderId="0" xfId="1" applyFont="1" applyFill="1"/>
    <xf numFmtId="166" fontId="14" fillId="0" borderId="0" xfId="1" applyNumberFormat="1" applyFont="1" applyFill="1" applyAlignment="1">
      <alignment wrapText="1"/>
    </xf>
    <xf numFmtId="166" fontId="14" fillId="19" borderId="0" xfId="1" applyNumberFormat="1" applyFont="1" applyFill="1" applyAlignment="1">
      <alignment horizontal="right"/>
    </xf>
    <xf numFmtId="166" fontId="0" fillId="16" borderId="0" xfId="1" applyNumberFormat="1" applyFont="1" applyFill="1"/>
    <xf numFmtId="0" fontId="1" fillId="10" borderId="0" xfId="0" applyFont="1" applyFill="1"/>
    <xf numFmtId="0" fontId="57" fillId="22" borderId="0" xfId="3" applyFont="1" applyFill="1"/>
    <xf numFmtId="0" fontId="1" fillId="22" borderId="0" xfId="0" applyFont="1" applyFill="1"/>
    <xf numFmtId="165" fontId="58" fillId="0" borderId="0" xfId="1" applyFont="1" applyAlignment="1">
      <alignment horizontal="right" vertical="center" wrapText="1" readingOrder="1"/>
    </xf>
    <xf numFmtId="165" fontId="1" fillId="0" borderId="0" xfId="1" applyFont="1" applyAlignment="1">
      <alignment horizontal="right" vertical="center" wrapText="1" readingOrder="1"/>
    </xf>
    <xf numFmtId="183" fontId="0" fillId="0" borderId="0" xfId="0" applyNumberFormat="1" applyAlignment="1">
      <alignment horizontal="left" vertical="center"/>
    </xf>
    <xf numFmtId="183" fontId="0" fillId="0" borderId="0" xfId="0" applyNumberFormat="1" applyAlignment="1">
      <alignment vertical="center"/>
    </xf>
    <xf numFmtId="183" fontId="0" fillId="0" borderId="0" xfId="0" applyNumberFormat="1" applyAlignment="1">
      <alignment horizontal="left" vertical="center" indent="1"/>
    </xf>
    <xf numFmtId="183" fontId="4" fillId="3" borderId="0" xfId="0" applyNumberFormat="1" applyFont="1" applyFill="1" applyAlignment="1">
      <alignment horizontal="left" vertical="center" indent="1"/>
    </xf>
    <xf numFmtId="183" fontId="0" fillId="0" borderId="0" xfId="0" applyNumberFormat="1"/>
    <xf numFmtId="0" fontId="2" fillId="21" borderId="0" xfId="0" applyFont="1" applyFill="1"/>
    <xf numFmtId="0" fontId="13" fillId="21" borderId="0" xfId="3" applyFont="1" applyFill="1"/>
    <xf numFmtId="0" fontId="45" fillId="12" borderId="0" xfId="0" applyFont="1" applyFill="1" applyAlignment="1">
      <alignment horizontal="left" vertical="center" wrapText="1"/>
    </xf>
    <xf numFmtId="165" fontId="58" fillId="0" borderId="0" xfId="1" applyFont="1" applyAlignment="1">
      <alignment horizontal="right" vertical="center" wrapText="1"/>
    </xf>
    <xf numFmtId="10" fontId="59" fillId="0" borderId="0" xfId="0" applyNumberFormat="1" applyFont="1" applyAlignment="1">
      <alignment horizontal="right" vertical="center" readingOrder="1"/>
    </xf>
    <xf numFmtId="0" fontId="60" fillId="0" borderId="0" xfId="0" applyFont="1" applyAlignment="1">
      <alignment vertical="center" wrapText="1"/>
    </xf>
    <xf numFmtId="4" fontId="61" fillId="0" borderId="0" xfId="0" applyNumberFormat="1" applyFont="1" applyAlignment="1">
      <alignment vertical="center" wrapText="1"/>
    </xf>
    <xf numFmtId="0" fontId="61" fillId="0" borderId="0" xfId="0" applyFont="1" applyAlignment="1">
      <alignment vertical="center" wrapText="1"/>
    </xf>
    <xf numFmtId="182" fontId="58" fillId="0" borderId="0" xfId="0" applyNumberFormat="1" applyFont="1" applyAlignment="1">
      <alignment horizontal="left" vertical="center"/>
    </xf>
    <xf numFmtId="0" fontId="0" fillId="21" borderId="0" xfId="0" applyFill="1"/>
    <xf numFmtId="15" fontId="0" fillId="21" borderId="0" xfId="0" applyNumberFormat="1" applyFill="1"/>
    <xf numFmtId="0" fontId="45" fillId="12" borderId="0" xfId="0" applyFont="1" applyFill="1" applyAlignment="1">
      <alignment horizontal="center" vertical="center" wrapText="1"/>
    </xf>
    <xf numFmtId="166" fontId="14" fillId="5" borderId="0" xfId="1" applyNumberFormat="1" applyFont="1" applyFill="1" applyAlignment="1">
      <alignment wrapText="1"/>
    </xf>
    <xf numFmtId="184" fontId="18" fillId="0" borderId="0" xfId="1" applyNumberFormat="1" applyFont="1" applyBorder="1"/>
    <xf numFmtId="10" fontId="0" fillId="0" borderId="0" xfId="2" applyNumberFormat="1" applyFont="1" applyFill="1"/>
    <xf numFmtId="2" fontId="2" fillId="0" borderId="0" xfId="0" applyNumberFormat="1" applyFont="1"/>
    <xf numFmtId="179" fontId="4" fillId="3" borderId="0" xfId="2" applyNumberFormat="1" applyFont="1" applyFill="1"/>
    <xf numFmtId="179" fontId="4" fillId="3" borderId="0" xfId="0" applyNumberFormat="1" applyFont="1" applyFill="1"/>
    <xf numFmtId="184" fontId="4" fillId="3" borderId="0" xfId="1" applyNumberFormat="1" applyFont="1" applyFill="1"/>
    <xf numFmtId="2" fontId="1" fillId="0" borderId="0" xfId="0" applyNumberFormat="1" applyFont="1"/>
    <xf numFmtId="166" fontId="1" fillId="0" borderId="0" xfId="0" applyNumberFormat="1" applyFont="1"/>
    <xf numFmtId="165" fontId="5" fillId="14" borderId="0" xfId="1" applyFont="1" applyFill="1"/>
    <xf numFmtId="185" fontId="1" fillId="0" borderId="0" xfId="0" applyNumberFormat="1" applyFont="1"/>
    <xf numFmtId="10" fontId="36" fillId="6" borderId="3" xfId="2" applyNumberFormat="1" applyFont="1" applyFill="1" applyBorder="1" applyAlignment="1">
      <alignment vertical="center"/>
    </xf>
    <xf numFmtId="10" fontId="37" fillId="6" borderId="3" xfId="2" applyNumberFormat="1" applyFont="1" applyFill="1" applyBorder="1" applyAlignment="1">
      <alignment vertical="center"/>
    </xf>
    <xf numFmtId="43" fontId="0" fillId="0" borderId="0" xfId="0" applyNumberFormat="1"/>
    <xf numFmtId="171" fontId="0" fillId="0" borderId="0" xfId="0" applyNumberFormat="1"/>
    <xf numFmtId="165" fontId="42" fillId="0" borderId="0" xfId="0" applyNumberFormat="1" applyFont="1"/>
    <xf numFmtId="4" fontId="4" fillId="0" borderId="0" xfId="0" applyNumberFormat="1" applyFont="1"/>
    <xf numFmtId="0" fontId="5" fillId="0" borderId="0" xfId="0" applyFont="1"/>
    <xf numFmtId="9" fontId="0" fillId="0" borderId="0" xfId="0" applyNumberFormat="1" applyAlignment="1">
      <alignment horizontal="center"/>
    </xf>
    <xf numFmtId="165" fontId="0" fillId="0" borderId="0" xfId="1" applyFont="1" applyFill="1" applyBorder="1"/>
    <xf numFmtId="0" fontId="4" fillId="0" borderId="0" xfId="0" applyFont="1"/>
    <xf numFmtId="9" fontId="4" fillId="0" borderId="0" xfId="0" applyNumberFormat="1" applyFont="1" applyAlignment="1">
      <alignment horizontal="center"/>
    </xf>
    <xf numFmtId="165" fontId="4" fillId="0" borderId="0" xfId="1" applyFont="1" applyFill="1" applyBorder="1"/>
    <xf numFmtId="165" fontId="5" fillId="0" borderId="0" xfId="1" applyFont="1" applyFill="1" applyBorder="1"/>
    <xf numFmtId="0" fontId="62" fillId="0" borderId="0" xfId="0" applyFont="1"/>
    <xf numFmtId="0" fontId="4" fillId="14" borderId="0" xfId="0" applyFont="1" applyFill="1" applyAlignment="1">
      <alignment horizontal="center"/>
    </xf>
    <xf numFmtId="0" fontId="2" fillId="13" borderId="0" xfId="0" applyFont="1" applyFill="1" applyAlignment="1">
      <alignment horizontal="center" textRotation="255" wrapText="1"/>
    </xf>
    <xf numFmtId="0" fontId="4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8">
    <cellStyle name="Comma" xfId="1" builtinId="3"/>
    <cellStyle name="Comma 2" xfId="4" xr:uid="{24DDB902-26E5-4AE2-9BF1-4CC6577CE260}"/>
    <cellStyle name="Comma 3" xfId="5" xr:uid="{4A39AF75-B7CE-4A94-BCC2-68107A529B4B}"/>
    <cellStyle name="Currency" xfId="7" builtinId="4"/>
    <cellStyle name="Hyperlink" xfId="3" builtinId="8"/>
    <cellStyle name="Normal" xfId="0" builtinId="0"/>
    <cellStyle name="Percent" xfId="2" builtinId="5"/>
    <cellStyle name="Percent 2" xfId="6" xr:uid="{FF5946C7-3814-4E5B-94D6-BD5B4028170E}"/>
  </cellStyles>
  <dxfs count="30"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8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8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8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4"/>
        </patternFill>
      </fill>
    </dxf>
    <dxf>
      <fill>
        <patternFill>
          <bgColor theme="8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colors>
    <mruColors>
      <color rgb="FFFF5050"/>
      <color rgb="FFFF0000"/>
      <color rgb="FFED3131"/>
      <color rgb="FF6D6C71"/>
      <color rgb="FFED28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/>
                </a:solidFill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6350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Beta!$D$4:$D$250</c:f>
              <c:numCache>
                <c:formatCode>0.00%</c:formatCode>
                <c:ptCount val="247"/>
                <c:pt idx="0">
                  <c:v>7.7089551497699915E-4</c:v>
                </c:pt>
                <c:pt idx="1">
                  <c:v>3.6574809141114439E-3</c:v>
                </c:pt>
                <c:pt idx="2">
                  <c:v>1.4010739034082675E-3</c:v>
                </c:pt>
                <c:pt idx="3">
                  <c:v>7.9306102757537023E-3</c:v>
                </c:pt>
                <c:pt idx="4">
                  <c:v>5.0305166062130091E-3</c:v>
                </c:pt>
                <c:pt idx="5">
                  <c:v>5.8445197457457354E-3</c:v>
                </c:pt>
                <c:pt idx="6">
                  <c:v>1.5241654563240559E-3</c:v>
                </c:pt>
                <c:pt idx="7">
                  <c:v>2.317908141233227E-3</c:v>
                </c:pt>
                <c:pt idx="8">
                  <c:v>3.6854330422058101E-3</c:v>
                </c:pt>
                <c:pt idx="9">
                  <c:v>8.5722337367026835E-3</c:v>
                </c:pt>
                <c:pt idx="10">
                  <c:v>-3.9307237592615119E-3</c:v>
                </c:pt>
                <c:pt idx="11">
                  <c:v>1.7564127505420579E-4</c:v>
                </c:pt>
                <c:pt idx="12">
                  <c:v>1.2188329851099411E-3</c:v>
                </c:pt>
                <c:pt idx="13">
                  <c:v>1.6966546667402937E-3</c:v>
                </c:pt>
                <c:pt idx="14">
                  <c:v>-5.6063889816058143E-3</c:v>
                </c:pt>
                <c:pt idx="15">
                  <c:v>-2.7655643227532112E-3</c:v>
                </c:pt>
                <c:pt idx="16">
                  <c:v>3.2700076954887969E-3</c:v>
                </c:pt>
                <c:pt idx="17">
                  <c:v>6.0414538804787199E-5</c:v>
                </c:pt>
                <c:pt idx="18">
                  <c:v>4.1175599311824573E-3</c:v>
                </c:pt>
                <c:pt idx="19">
                  <c:v>-3.1060143033829757E-3</c:v>
                </c:pt>
                <c:pt idx="20">
                  <c:v>-5.9262044125505398E-3</c:v>
                </c:pt>
                <c:pt idx="21">
                  <c:v>2.1023847617929192E-3</c:v>
                </c:pt>
                <c:pt idx="22">
                  <c:v>1.2135147609595442E-3</c:v>
                </c:pt>
                <c:pt idx="23">
                  <c:v>-5.5646236507084224E-3</c:v>
                </c:pt>
                <c:pt idx="24">
                  <c:v>-4.6613565315738459E-3</c:v>
                </c:pt>
                <c:pt idx="25">
                  <c:v>2.2675464907018217E-3</c:v>
                </c:pt>
                <c:pt idx="26">
                  <c:v>1.9057762900127617E-3</c:v>
                </c:pt>
                <c:pt idx="27">
                  <c:v>0</c:v>
                </c:pt>
                <c:pt idx="28">
                  <c:v>7.3661096113650792E-3</c:v>
                </c:pt>
                <c:pt idx="29">
                  <c:v>-8.2407584477275364E-3</c:v>
                </c:pt>
                <c:pt idx="30">
                  <c:v>-1.0179612156671514E-2</c:v>
                </c:pt>
                <c:pt idx="31">
                  <c:v>-1.0275423744736667E-3</c:v>
                </c:pt>
                <c:pt idx="32">
                  <c:v>5.5542456038524257E-3</c:v>
                </c:pt>
                <c:pt idx="33">
                  <c:v>-1.6089499994116352E-3</c:v>
                </c:pt>
                <c:pt idx="34">
                  <c:v>-6.6016861748056099E-3</c:v>
                </c:pt>
                <c:pt idx="35">
                  <c:v>5.2970573293540379E-3</c:v>
                </c:pt>
                <c:pt idx="36">
                  <c:v>-4.3790157924739059E-4</c:v>
                </c:pt>
                <c:pt idx="37">
                  <c:v>-4.4910148211886325E-3</c:v>
                </c:pt>
                <c:pt idx="38">
                  <c:v>-1.3136229704951319E-2</c:v>
                </c:pt>
                <c:pt idx="39">
                  <c:v>7.0712086780060357E-3</c:v>
                </c:pt>
                <c:pt idx="40">
                  <c:v>4.5257783724983458E-3</c:v>
                </c:pt>
                <c:pt idx="41">
                  <c:v>3.081697187547805E-3</c:v>
                </c:pt>
                <c:pt idx="42">
                  <c:v>8.0082166606874061E-3</c:v>
                </c:pt>
                <c:pt idx="43">
                  <c:v>7.657390172408185E-3</c:v>
                </c:pt>
                <c:pt idx="44">
                  <c:v>2.523018202003513E-3</c:v>
                </c:pt>
                <c:pt idx="45">
                  <c:v>-3.4127913994120851E-3</c:v>
                </c:pt>
                <c:pt idx="46">
                  <c:v>4.1881318562926317E-3</c:v>
                </c:pt>
                <c:pt idx="47">
                  <c:v>9.7609621257199741E-4</c:v>
                </c:pt>
                <c:pt idx="48">
                  <c:v>-7.6793354902376931E-3</c:v>
                </c:pt>
                <c:pt idx="49">
                  <c:v>5.1890076160452381E-3</c:v>
                </c:pt>
                <c:pt idx="50">
                  <c:v>-5.0413071050969815E-4</c:v>
                </c:pt>
                <c:pt idx="51">
                  <c:v>4.2021285161195632E-3</c:v>
                </c:pt>
                <c:pt idx="52">
                  <c:v>7.5170090311034166E-3</c:v>
                </c:pt>
                <c:pt idx="53">
                  <c:v>1.2565668816695519E-2</c:v>
                </c:pt>
                <c:pt idx="54">
                  <c:v>7.8748228168807888E-3</c:v>
                </c:pt>
                <c:pt idx="55">
                  <c:v>7.083214228997825E-3</c:v>
                </c:pt>
                <c:pt idx="56">
                  <c:v>-1.4877887790876176E-4</c:v>
                </c:pt>
                <c:pt idx="57">
                  <c:v>-4.1038038460193826E-3</c:v>
                </c:pt>
                <c:pt idx="58">
                  <c:v>-4.4749040310501087E-3</c:v>
                </c:pt>
                <c:pt idx="59">
                  <c:v>3.0863271522572067E-3</c:v>
                </c:pt>
                <c:pt idx="60">
                  <c:v>2.5234176002835174E-3</c:v>
                </c:pt>
                <c:pt idx="61">
                  <c:v>-3.4121863708806988E-3</c:v>
                </c:pt>
                <c:pt idx="62">
                  <c:v>7.4216082201443712E-3</c:v>
                </c:pt>
                <c:pt idx="63">
                  <c:v>-4.916769349776029E-3</c:v>
                </c:pt>
                <c:pt idx="64">
                  <c:v>1.3516903493584476E-3</c:v>
                </c:pt>
                <c:pt idx="65">
                  <c:v>6.6712145819407542E-3</c:v>
                </c:pt>
                <c:pt idx="66">
                  <c:v>1.5820998527280583E-3</c:v>
                </c:pt>
                <c:pt idx="67">
                  <c:v>-3.5483663608313343E-3</c:v>
                </c:pt>
                <c:pt idx="68">
                  <c:v>-4.6611688777339344E-3</c:v>
                </c:pt>
                <c:pt idx="69">
                  <c:v>5.5751543805604431E-3</c:v>
                </c:pt>
                <c:pt idx="70">
                  <c:v>8.6163688391982518E-5</c:v>
                </c:pt>
                <c:pt idx="71">
                  <c:v>3.8428634032812159E-3</c:v>
                </c:pt>
                <c:pt idx="72">
                  <c:v>1.8992915740141392E-3</c:v>
                </c:pt>
                <c:pt idx="73">
                  <c:v>-3.0931502929310017E-3</c:v>
                </c:pt>
                <c:pt idx="74">
                  <c:v>-5.508889832208208E-3</c:v>
                </c:pt>
                <c:pt idx="75">
                  <c:v>1.9531753459784973E-3</c:v>
                </c:pt>
                <c:pt idx="76">
                  <c:v>5.5148908773505756E-3</c:v>
                </c:pt>
                <c:pt idx="77">
                  <c:v>1.0167178955732048E-2</c:v>
                </c:pt>
                <c:pt idx="78">
                  <c:v>1.6000315991671066E-3</c:v>
                </c:pt>
                <c:pt idx="79">
                  <c:v>-3.3559856854731285E-3</c:v>
                </c:pt>
                <c:pt idx="80">
                  <c:v>2.922679866657063E-4</c:v>
                </c:pt>
                <c:pt idx="81">
                  <c:v>3.7907210923497914E-3</c:v>
                </c:pt>
                <c:pt idx="82">
                  <c:v>4.8499358800515591E-3</c:v>
                </c:pt>
                <c:pt idx="83">
                  <c:v>-2.0938703691190108E-3</c:v>
                </c:pt>
                <c:pt idx="84">
                  <c:v>-6.0037973618685125E-3</c:v>
                </c:pt>
                <c:pt idx="85">
                  <c:v>-6.6282026461804699E-3</c:v>
                </c:pt>
                <c:pt idx="86">
                  <c:v>5.1236620939931754E-3</c:v>
                </c:pt>
                <c:pt idx="87">
                  <c:v>1.9930693267633526E-3</c:v>
                </c:pt>
                <c:pt idx="88">
                  <c:v>-5.7603947032780489E-4</c:v>
                </c:pt>
                <c:pt idx="89">
                  <c:v>2.8961487714074252E-3</c:v>
                </c:pt>
                <c:pt idx="90">
                  <c:v>-4.727653942204757E-5</c:v>
                </c:pt>
                <c:pt idx="91">
                  <c:v>1.1628339302610868E-2</c:v>
                </c:pt>
                <c:pt idx="92">
                  <c:v>-1.1254549650400625E-2</c:v>
                </c:pt>
                <c:pt idx="93">
                  <c:v>9.0851449423383634E-3</c:v>
                </c:pt>
                <c:pt idx="94">
                  <c:v>-2.6307678742185647E-3</c:v>
                </c:pt>
                <c:pt idx="95">
                  <c:v>3.9643319756172968E-3</c:v>
                </c:pt>
                <c:pt idx="96">
                  <c:v>7.6350327076715185E-3</c:v>
                </c:pt>
                <c:pt idx="97">
                  <c:v>5.7843556396970364E-3</c:v>
                </c:pt>
                <c:pt idx="98">
                  <c:v>2.8250123772028957E-3</c:v>
                </c:pt>
                <c:pt idx="99">
                  <c:v>1.2423384135833437E-3</c:v>
                </c:pt>
                <c:pt idx="100">
                  <c:v>6.7226485062625851E-3</c:v>
                </c:pt>
                <c:pt idx="101">
                  <c:v>3.8083355762430493E-4</c:v>
                </c:pt>
                <c:pt idx="102">
                  <c:v>1.0836391473245666E-3</c:v>
                </c:pt>
                <c:pt idx="103">
                  <c:v>-2.6656281638742785E-3</c:v>
                </c:pt>
                <c:pt idx="104">
                  <c:v>-3.0668953401518095E-3</c:v>
                </c:pt>
                <c:pt idx="105">
                  <c:v>-8.6089920736046599E-3</c:v>
                </c:pt>
                <c:pt idx="106">
                  <c:v>6.3302279395371919E-4</c:v>
                </c:pt>
                <c:pt idx="107">
                  <c:v>3.9072291968511585E-3</c:v>
                </c:pt>
                <c:pt idx="108">
                  <c:v>5.2001361482900688E-3</c:v>
                </c:pt>
                <c:pt idx="109">
                  <c:v>2.2629663879292217E-4</c:v>
                </c:pt>
                <c:pt idx="110">
                  <c:v>2.4067961248002145E-3</c:v>
                </c:pt>
                <c:pt idx="111">
                  <c:v>9.8613619767997651E-3</c:v>
                </c:pt>
                <c:pt idx="112">
                  <c:v>1.9480766049086995E-3</c:v>
                </c:pt>
                <c:pt idx="113">
                  <c:v>1.7795521021447769E-2</c:v>
                </c:pt>
                <c:pt idx="114">
                  <c:v>6.0119360457890902E-3</c:v>
                </c:pt>
                <c:pt idx="115">
                  <c:v>-6.9622398222768389E-4</c:v>
                </c:pt>
                <c:pt idx="116">
                  <c:v>2.2034832279047567E-3</c:v>
                </c:pt>
                <c:pt idx="117">
                  <c:v>-6.8740280582156865E-3</c:v>
                </c:pt>
                <c:pt idx="118">
                  <c:v>-4.9697163546114087E-3</c:v>
                </c:pt>
                <c:pt idx="119">
                  <c:v>2.4091394046423797E-3</c:v>
                </c:pt>
                <c:pt idx="120">
                  <c:v>7.7344806733421478E-3</c:v>
                </c:pt>
                <c:pt idx="121">
                  <c:v>-6.2243597591995492E-3</c:v>
                </c:pt>
                <c:pt idx="122">
                  <c:v>6.160509858273322E-3</c:v>
                </c:pt>
                <c:pt idx="123">
                  <c:v>1.3715361935091597E-3</c:v>
                </c:pt>
                <c:pt idx="124">
                  <c:v>-5.9462671884150664E-3</c:v>
                </c:pt>
                <c:pt idx="125">
                  <c:v>-5.7979475547259574E-3</c:v>
                </c:pt>
                <c:pt idx="126">
                  <c:v>-1.5173383401710594E-2</c:v>
                </c:pt>
                <c:pt idx="127">
                  <c:v>-1.122206564260475E-2</c:v>
                </c:pt>
                <c:pt idx="128">
                  <c:v>-8.9780803336111381E-3</c:v>
                </c:pt>
                <c:pt idx="129">
                  <c:v>2.0528203988876559E-3</c:v>
                </c:pt>
                <c:pt idx="130">
                  <c:v>6.9469512683464352E-3</c:v>
                </c:pt>
                <c:pt idx="131">
                  <c:v>1.5271259995230047E-2</c:v>
                </c:pt>
                <c:pt idx="132">
                  <c:v>-8.4450577232395574E-3</c:v>
                </c:pt>
                <c:pt idx="133">
                  <c:v>7.6143802156367624E-3</c:v>
                </c:pt>
                <c:pt idx="134">
                  <c:v>-5.5024300726870257E-3</c:v>
                </c:pt>
                <c:pt idx="135">
                  <c:v>-2.9527143597808392E-3</c:v>
                </c:pt>
                <c:pt idx="136">
                  <c:v>-2.3801375033973837E-3</c:v>
                </c:pt>
                <c:pt idx="137">
                  <c:v>-2.32956810764684E-3</c:v>
                </c:pt>
                <c:pt idx="138">
                  <c:v>-1.5290891853867783E-2</c:v>
                </c:pt>
                <c:pt idx="139">
                  <c:v>-3.1009264223647026E-4</c:v>
                </c:pt>
                <c:pt idx="140">
                  <c:v>-5.0986376475613548E-3</c:v>
                </c:pt>
                <c:pt idx="141">
                  <c:v>-5.1686649159460307E-3</c:v>
                </c:pt>
                <c:pt idx="142">
                  <c:v>7.2492753580633007E-4</c:v>
                </c:pt>
                <c:pt idx="143">
                  <c:v>3.9787155186452594E-3</c:v>
                </c:pt>
                <c:pt idx="144">
                  <c:v>9.9354909597326735E-3</c:v>
                </c:pt>
                <c:pt idx="145">
                  <c:v>-4.1339623978497997E-3</c:v>
                </c:pt>
                <c:pt idx="146">
                  <c:v>-2.0313711327558659E-3</c:v>
                </c:pt>
                <c:pt idx="147">
                  <c:v>2.3478585825251752E-3</c:v>
                </c:pt>
                <c:pt idx="148">
                  <c:v>6.2659614066540303E-3</c:v>
                </c:pt>
                <c:pt idx="149">
                  <c:v>-3.6501622129047062E-3</c:v>
                </c:pt>
                <c:pt idx="150">
                  <c:v>-5.5057470281982823E-3</c:v>
                </c:pt>
                <c:pt idx="151">
                  <c:v>1.5177807470570182E-2</c:v>
                </c:pt>
                <c:pt idx="152">
                  <c:v>3.754265754316588E-3</c:v>
                </c:pt>
                <c:pt idx="153">
                  <c:v>2.6562597082446793E-3</c:v>
                </c:pt>
                <c:pt idx="154">
                  <c:v>8.3175897443399371E-4</c:v>
                </c:pt>
                <c:pt idx="155">
                  <c:v>2.8570272825796383E-3</c:v>
                </c:pt>
                <c:pt idx="156">
                  <c:v>-1.4519709805122627E-2</c:v>
                </c:pt>
                <c:pt idx="157">
                  <c:v>-1.2687862575077369E-2</c:v>
                </c:pt>
                <c:pt idx="158">
                  <c:v>6.0845067094494887E-4</c:v>
                </c:pt>
                <c:pt idx="159">
                  <c:v>5.2769821798341887E-3</c:v>
                </c:pt>
                <c:pt idx="160">
                  <c:v>-3.8886970958667E-3</c:v>
                </c:pt>
                <c:pt idx="161">
                  <c:v>-3.0683549744829897E-3</c:v>
                </c:pt>
                <c:pt idx="162">
                  <c:v>6.4300613363421633E-3</c:v>
                </c:pt>
                <c:pt idx="163">
                  <c:v>9.3646561319902233E-3</c:v>
                </c:pt>
                <c:pt idx="164">
                  <c:v>-2.7913492566856712E-3</c:v>
                </c:pt>
                <c:pt idx="165">
                  <c:v>5.0560366976699633E-3</c:v>
                </c:pt>
                <c:pt idx="166">
                  <c:v>-2.4535192286895269E-3</c:v>
                </c:pt>
                <c:pt idx="167">
                  <c:v>-1.6601381208303234E-4</c:v>
                </c:pt>
                <c:pt idx="168">
                  <c:v>-1.0400954379708227E-2</c:v>
                </c:pt>
                <c:pt idx="169">
                  <c:v>1.4139144716468266E-2</c:v>
                </c:pt>
                <c:pt idx="170">
                  <c:v>-7.5041501479538031E-3</c:v>
                </c:pt>
                <c:pt idx="171">
                  <c:v>-5.0147178953285909E-3</c:v>
                </c:pt>
                <c:pt idx="172">
                  <c:v>-1.0388421743003362E-2</c:v>
                </c:pt>
                <c:pt idx="173">
                  <c:v>2.0666105478062136E-3</c:v>
                </c:pt>
                <c:pt idx="174">
                  <c:v>5.3755098968224502E-3</c:v>
                </c:pt>
                <c:pt idx="175">
                  <c:v>-4.7950498152579124E-3</c:v>
                </c:pt>
                <c:pt idx="176">
                  <c:v>3.6709731099577869E-3</c:v>
                </c:pt>
                <c:pt idx="177">
                  <c:v>-2.8148241276548802E-4</c:v>
                </c:pt>
                <c:pt idx="178">
                  <c:v>5.9605636258508454E-3</c:v>
                </c:pt>
                <c:pt idx="179">
                  <c:v>1.2049904010825285E-2</c:v>
                </c:pt>
                <c:pt idx="180">
                  <c:v>-1.6126762438961384E-2</c:v>
                </c:pt>
                <c:pt idx="181">
                  <c:v>-3.9467970060542701E-3</c:v>
                </c:pt>
                <c:pt idx="182">
                  <c:v>-1.0292162576137853E-2</c:v>
                </c:pt>
                <c:pt idx="183">
                  <c:v>-1.681061395306882E-3</c:v>
                </c:pt>
                <c:pt idx="184">
                  <c:v>7.6360730844482472E-3</c:v>
                </c:pt>
                <c:pt idx="185">
                  <c:v>-7.463223937333674E-3</c:v>
                </c:pt>
                <c:pt idx="186">
                  <c:v>-1.4022165065810333E-2</c:v>
                </c:pt>
                <c:pt idx="187">
                  <c:v>2.3125278851428011E-3</c:v>
                </c:pt>
                <c:pt idx="188">
                  <c:v>6.481994290411297E-3</c:v>
                </c:pt>
                <c:pt idx="189">
                  <c:v>-8.2178558407963731E-4</c:v>
                </c:pt>
                <c:pt idx="190">
                  <c:v>-6.2171291729609113E-3</c:v>
                </c:pt>
                <c:pt idx="191">
                  <c:v>2.5636637831858433E-3</c:v>
                </c:pt>
                <c:pt idx="192">
                  <c:v>-3.4439172259093098E-3</c:v>
                </c:pt>
                <c:pt idx="193">
                  <c:v>-3.3140976468378769E-3</c:v>
                </c:pt>
                <c:pt idx="194">
                  <c:v>-5.3922075443191275E-4</c:v>
                </c:pt>
                <c:pt idx="195">
                  <c:v>-6.5686232216924934E-3</c:v>
                </c:pt>
                <c:pt idx="196">
                  <c:v>2.9245804057549396E-3</c:v>
                </c:pt>
                <c:pt idx="197">
                  <c:v>6.6655669329427347E-3</c:v>
                </c:pt>
                <c:pt idx="198">
                  <c:v>2.8324224699542988E-3</c:v>
                </c:pt>
                <c:pt idx="199">
                  <c:v>3.3897521480523718E-3</c:v>
                </c:pt>
                <c:pt idx="200">
                  <c:v>3.3658419711501963E-4</c:v>
                </c:pt>
                <c:pt idx="201">
                  <c:v>1.238973848076208E-2</c:v>
                </c:pt>
                <c:pt idx="202">
                  <c:v>1.4917217745140654E-3</c:v>
                </c:pt>
                <c:pt idx="203">
                  <c:v>4.4831256406918651E-3</c:v>
                </c:pt>
                <c:pt idx="204">
                  <c:v>-8.4108130128238701E-3</c:v>
                </c:pt>
                <c:pt idx="205">
                  <c:v>-1.4108364938963946E-3</c:v>
                </c:pt>
                <c:pt idx="206">
                  <c:v>-3.7127674541374001E-3</c:v>
                </c:pt>
                <c:pt idx="207">
                  <c:v>1.7411474700026464E-3</c:v>
                </c:pt>
                <c:pt idx="208">
                  <c:v>4.0380272993623123E-3</c:v>
                </c:pt>
                <c:pt idx="209">
                  <c:v>-2.7654323065411379E-3</c:v>
                </c:pt>
                <c:pt idx="210">
                  <c:v>1.9489653329197942E-2</c:v>
                </c:pt>
                <c:pt idx="211">
                  <c:v>-6.8790034333576777E-3</c:v>
                </c:pt>
                <c:pt idx="212">
                  <c:v>-2.4777253957863898E-3</c:v>
                </c:pt>
                <c:pt idx="213">
                  <c:v>3.8521511603868408E-3</c:v>
                </c:pt>
                <c:pt idx="214">
                  <c:v>1.8730559544850589E-3</c:v>
                </c:pt>
                <c:pt idx="215">
                  <c:v>-1.1440563661202496E-3</c:v>
                </c:pt>
                <c:pt idx="216">
                  <c:v>-3.5218462942981921E-3</c:v>
                </c:pt>
                <c:pt idx="217">
                  <c:v>6.1692351784685684E-3</c:v>
                </c:pt>
                <c:pt idx="218">
                  <c:v>1.3121113545147223E-2</c:v>
                </c:pt>
                <c:pt idx="219">
                  <c:v>3.3972679947600337E-3</c:v>
                </c:pt>
                <c:pt idx="220">
                  <c:v>3.5751737035965014E-3</c:v>
                </c:pt>
                <c:pt idx="221">
                  <c:v>-4.8084910229801991E-3</c:v>
                </c:pt>
                <c:pt idx="222">
                  <c:v>8.8439589493003457E-3</c:v>
                </c:pt>
                <c:pt idx="223">
                  <c:v>1.7608934697455059E-3</c:v>
                </c:pt>
                <c:pt idx="224">
                  <c:v>1.6192615483834327E-3</c:v>
                </c:pt>
                <c:pt idx="225">
                  <c:v>2.4862365715410117E-3</c:v>
                </c:pt>
                <c:pt idx="226">
                  <c:v>9.4095322489025079E-3</c:v>
                </c:pt>
                <c:pt idx="227">
                  <c:v>8.4773869875969243E-3</c:v>
                </c:pt>
                <c:pt idx="228">
                  <c:v>1.1961842449410121E-2</c:v>
                </c:pt>
                <c:pt idx="229">
                  <c:v>-6.7778539202244525E-3</c:v>
                </c:pt>
                <c:pt idx="230">
                  <c:v>8.3746709381997686E-3</c:v>
                </c:pt>
                <c:pt idx="231">
                  <c:v>-1.4550333663211457E-2</c:v>
                </c:pt>
                <c:pt idx="232">
                  <c:v>-3.4400337232599609E-3</c:v>
                </c:pt>
                <c:pt idx="233">
                  <c:v>-5.291805001880201E-4</c:v>
                </c:pt>
                <c:pt idx="234">
                  <c:v>2.6974723531902889E-3</c:v>
                </c:pt>
                <c:pt idx="235">
                  <c:v>2.2480837333974879E-2</c:v>
                </c:pt>
                <c:pt idx="236">
                  <c:v>-1.1111687689327576E-2</c:v>
                </c:pt>
                <c:pt idx="237">
                  <c:v>1.8028022001788324E-2</c:v>
                </c:pt>
                <c:pt idx="238">
                  <c:v>-3.3273095931537489E-3</c:v>
                </c:pt>
                <c:pt idx="239">
                  <c:v>-8.9172144053882851E-3</c:v>
                </c:pt>
                <c:pt idx="240">
                  <c:v>-6.5972272046554981E-4</c:v>
                </c:pt>
                <c:pt idx="241">
                  <c:v>-1.6415107199927226E-2</c:v>
                </c:pt>
                <c:pt idx="242">
                  <c:v>-1.7266658231804954E-2</c:v>
                </c:pt>
                <c:pt idx="243">
                  <c:v>-5.6689918290226959E-3</c:v>
                </c:pt>
                <c:pt idx="244">
                  <c:v>-4.4032341734909775E-3</c:v>
                </c:pt>
                <c:pt idx="245">
                  <c:v>9.7818391670243532E-3</c:v>
                </c:pt>
                <c:pt idx="246">
                  <c:v>5.1059817517746797E-3</c:v>
                </c:pt>
              </c:numCache>
            </c:numRef>
          </c:xVal>
          <c:yVal>
            <c:numRef>
              <c:f>Beta!$E$4:$E$250</c:f>
              <c:numCache>
                <c:formatCode>0.00%</c:formatCode>
                <c:ptCount val="247"/>
                <c:pt idx="0">
                  <c:v>1.9033055700156121E-2</c:v>
                </c:pt>
                <c:pt idx="1">
                  <c:v>-1.335387776065744E-2</c:v>
                </c:pt>
                <c:pt idx="2">
                  <c:v>-1.5485746792238131E-2</c:v>
                </c:pt>
                <c:pt idx="3">
                  <c:v>9.1854308860113143E-3</c:v>
                </c:pt>
                <c:pt idx="4">
                  <c:v>1.0536062066983654E-3</c:v>
                </c:pt>
                <c:pt idx="5">
                  <c:v>-7.4156235144985372E-3</c:v>
                </c:pt>
                <c:pt idx="6">
                  <c:v>4.6163642152181605E-3</c:v>
                </c:pt>
                <c:pt idx="7">
                  <c:v>-3.5214618825544219E-3</c:v>
                </c:pt>
                <c:pt idx="8">
                  <c:v>-9.7078228086711071E-3</c:v>
                </c:pt>
                <c:pt idx="9">
                  <c:v>9.770953619694156E-3</c:v>
                </c:pt>
                <c:pt idx="10">
                  <c:v>-4.6103321965391686E-3</c:v>
                </c:pt>
                <c:pt idx="11">
                  <c:v>1.5325424815646027E-2</c:v>
                </c:pt>
                <c:pt idx="12">
                  <c:v>6.3562739973541671E-3</c:v>
                </c:pt>
                <c:pt idx="13">
                  <c:v>1.9473043649880006E-2</c:v>
                </c:pt>
                <c:pt idx="14">
                  <c:v>-1.4618177103591257E-2</c:v>
                </c:pt>
                <c:pt idx="15">
                  <c:v>2.2694115739985143E-4</c:v>
                </c:pt>
                <c:pt idx="16">
                  <c:v>-5.1925433787008979E-3</c:v>
                </c:pt>
                <c:pt idx="17">
                  <c:v>7.5388314811204449E-3</c:v>
                </c:pt>
                <c:pt idx="18">
                  <c:v>-8.7292639716539666E-3</c:v>
                </c:pt>
                <c:pt idx="19">
                  <c:v>-1.3065869786368256E-2</c:v>
                </c:pt>
                <c:pt idx="20">
                  <c:v>1.5601617473812723E-3</c:v>
                </c:pt>
                <c:pt idx="21">
                  <c:v>1.5454751204371231E-2</c:v>
                </c:pt>
                <c:pt idx="22">
                  <c:v>1.9403033340870124E-4</c:v>
                </c:pt>
                <c:pt idx="23">
                  <c:v>3.5584886128381399E-4</c:v>
                </c:pt>
                <c:pt idx="24">
                  <c:v>7.0039417532656856E-3</c:v>
                </c:pt>
                <c:pt idx="25">
                  <c:v>2.3540395451968843E-2</c:v>
                </c:pt>
                <c:pt idx="26">
                  <c:v>-1.7815621418044936E-2</c:v>
                </c:pt>
                <c:pt idx="27">
                  <c:v>4.2114603597146916E-2</c:v>
                </c:pt>
                <c:pt idx="28">
                  <c:v>-2.2474205741137565E-3</c:v>
                </c:pt>
                <c:pt idx="29">
                  <c:v>-1.1744514739534306E-2</c:v>
                </c:pt>
                <c:pt idx="30">
                  <c:v>-4.9891176963000605E-3</c:v>
                </c:pt>
                <c:pt idx="31">
                  <c:v>1.1721264270469822E-2</c:v>
                </c:pt>
                <c:pt idx="32">
                  <c:v>5.6895611883347463E-3</c:v>
                </c:pt>
                <c:pt idx="33">
                  <c:v>1.4341500501088511E-2</c:v>
                </c:pt>
                <c:pt idx="34">
                  <c:v>-6.3860761541198907E-2</c:v>
                </c:pt>
                <c:pt idx="35">
                  <c:v>-1.3216280925778201E-2</c:v>
                </c:pt>
                <c:pt idx="36">
                  <c:v>1.2443438914027105E-2</c:v>
                </c:pt>
                <c:pt idx="37">
                  <c:v>1.6058585924928703E-2</c:v>
                </c:pt>
                <c:pt idx="38">
                  <c:v>-1.433935391985508E-2</c:v>
                </c:pt>
                <c:pt idx="39">
                  <c:v>6.4779426054295541E-4</c:v>
                </c:pt>
                <c:pt idx="40">
                  <c:v>5.3075445280192923E-3</c:v>
                </c:pt>
                <c:pt idx="41">
                  <c:v>-4.5565500406841153E-4</c:v>
                </c:pt>
                <c:pt idx="42">
                  <c:v>-6.6278693824766144E-3</c:v>
                </c:pt>
                <c:pt idx="43">
                  <c:v>-1.2830333205668287E-2</c:v>
                </c:pt>
                <c:pt idx="44">
                  <c:v>-1.784121320249854E-3</c:v>
                </c:pt>
                <c:pt idx="45">
                  <c:v>0</c:v>
                </c:pt>
                <c:pt idx="46">
                  <c:v>1.2059070097375502E-2</c:v>
                </c:pt>
                <c:pt idx="47">
                  <c:v>-8.3770303107814081E-3</c:v>
                </c:pt>
                <c:pt idx="48">
                  <c:v>9.7501129979982171E-3</c:v>
                </c:pt>
                <c:pt idx="49">
                  <c:v>4.9717016301216832E-2</c:v>
                </c:pt>
                <c:pt idx="50">
                  <c:v>7.7527322404371546E-3</c:v>
                </c:pt>
                <c:pt idx="51">
                  <c:v>-2.9625089386045023E-3</c:v>
                </c:pt>
                <c:pt idx="52">
                  <c:v>1.0042992261392936E-2</c:v>
                </c:pt>
                <c:pt idx="53">
                  <c:v>4.1368194842406947E-2</c:v>
                </c:pt>
                <c:pt idx="54">
                  <c:v>-3.1775500731907602E-3</c:v>
                </c:pt>
                <c:pt idx="55">
                  <c:v>2.2902129182322817E-3</c:v>
                </c:pt>
                <c:pt idx="56">
                  <c:v>1.7624995448090042E-2</c:v>
                </c:pt>
                <c:pt idx="57">
                  <c:v>-4.6395302475624733E-3</c:v>
                </c:pt>
                <c:pt idx="58">
                  <c:v>4.0030568797990718E-3</c:v>
                </c:pt>
                <c:pt idx="59">
                  <c:v>-1.5865625671513395E-2</c:v>
                </c:pt>
                <c:pt idx="60">
                  <c:v>-5.1307632010262338E-3</c:v>
                </c:pt>
                <c:pt idx="61">
                  <c:v>-1.7811976773185467E-4</c:v>
                </c:pt>
                <c:pt idx="62">
                  <c:v>7.7544426494344787E-3</c:v>
                </c:pt>
                <c:pt idx="63">
                  <c:v>1.0080864488523078E-2</c:v>
                </c:pt>
                <c:pt idx="64">
                  <c:v>4.8462323276490249E-3</c:v>
                </c:pt>
                <c:pt idx="65">
                  <c:v>-6.4081676984901748E-3</c:v>
                </c:pt>
                <c:pt idx="66">
                  <c:v>8.6546888694127855E-3</c:v>
                </c:pt>
                <c:pt idx="67">
                  <c:v>-8.2213610517546387E-3</c:v>
                </c:pt>
                <c:pt idx="68">
                  <c:v>-1.7926373821803288E-2</c:v>
                </c:pt>
                <c:pt idx="69">
                  <c:v>-3.5088962926207445E-3</c:v>
                </c:pt>
                <c:pt idx="70">
                  <c:v>1.1399483796960208E-2</c:v>
                </c:pt>
                <c:pt idx="71">
                  <c:v>4.0080533909995886E-2</c:v>
                </c:pt>
                <c:pt idx="72">
                  <c:v>1.6832846798347179E-2</c:v>
                </c:pt>
                <c:pt idx="73">
                  <c:v>3.4132281553378441E-4</c:v>
                </c:pt>
                <c:pt idx="74">
                  <c:v>-7.3784068664357605E-3</c:v>
                </c:pt>
                <c:pt idx="75">
                  <c:v>-9.402384444695544E-4</c:v>
                </c:pt>
                <c:pt idx="76">
                  <c:v>3.7133830011311986E-2</c:v>
                </c:pt>
                <c:pt idx="77">
                  <c:v>3.365817384838099E-3</c:v>
                </c:pt>
                <c:pt idx="78">
                  <c:v>1.0970497198603546E-3</c:v>
                </c:pt>
                <c:pt idx="79">
                  <c:v>6.1893873689191636E-3</c:v>
                </c:pt>
                <c:pt idx="80">
                  <c:v>2.2917654496601436E-3</c:v>
                </c:pt>
                <c:pt idx="81">
                  <c:v>4.1263291541024927E-3</c:v>
                </c:pt>
                <c:pt idx="82">
                  <c:v>1.1964988356219397E-2</c:v>
                </c:pt>
                <c:pt idx="83">
                  <c:v>-1.4248397055331319E-2</c:v>
                </c:pt>
                <c:pt idx="84">
                  <c:v>6.3366336633663423E-4</c:v>
                </c:pt>
                <c:pt idx="85">
                  <c:v>-1.8159194307267534E-2</c:v>
                </c:pt>
                <c:pt idx="86">
                  <c:v>7.8379119802485242E-3</c:v>
                </c:pt>
                <c:pt idx="87">
                  <c:v>1.9090219257957397E-2</c:v>
                </c:pt>
                <c:pt idx="88">
                  <c:v>2.3618895116093164E-3</c:v>
                </c:pt>
                <c:pt idx="89">
                  <c:v>3.0114434852439587E-3</c:v>
                </c:pt>
                <c:pt idx="90">
                  <c:v>9.6075887789848213E-3</c:v>
                </c:pt>
                <c:pt idx="91">
                  <c:v>1.723711340206191E-2</c:v>
                </c:pt>
                <c:pt idx="92">
                  <c:v>-1.5468312289391384E-2</c:v>
                </c:pt>
                <c:pt idx="93">
                  <c:v>-3.1567445060505239E-3</c:v>
                </c:pt>
                <c:pt idx="94">
                  <c:v>-1.2933996200638065E-3</c:v>
                </c:pt>
                <c:pt idx="95">
                  <c:v>8.5194847546061769E-3</c:v>
                </c:pt>
                <c:pt idx="96">
                  <c:v>2.0832482333237312E-3</c:v>
                </c:pt>
                <c:pt idx="97">
                  <c:v>8.2368930439438159E-3</c:v>
                </c:pt>
                <c:pt idx="98">
                  <c:v>3.7203918812782621E-3</c:v>
                </c:pt>
                <c:pt idx="99">
                  <c:v>1.490374663630778E-3</c:v>
                </c:pt>
                <c:pt idx="100">
                  <c:v>-4.1639182058047508E-3</c:v>
                </c:pt>
                <c:pt idx="101">
                  <c:v>-4.7595601509928809E-3</c:v>
                </c:pt>
                <c:pt idx="102">
                  <c:v>2.261792161862175E-3</c:v>
                </c:pt>
                <c:pt idx="103">
                  <c:v>9.0460185069918264E-3</c:v>
                </c:pt>
                <c:pt idx="104">
                  <c:v>-6.5954903334844994E-3</c:v>
                </c:pt>
                <c:pt idx="105">
                  <c:v>6.8899680405096753E-3</c:v>
                </c:pt>
                <c:pt idx="106">
                  <c:v>-2.6080476900147698E-3</c:v>
                </c:pt>
                <c:pt idx="107">
                  <c:v>4.9507010026210718E-3</c:v>
                </c:pt>
                <c:pt idx="108">
                  <c:v>1.1360289477005958E-2</c:v>
                </c:pt>
                <c:pt idx="109">
                  <c:v>1.4599786552828009E-2</c:v>
                </c:pt>
                <c:pt idx="110">
                  <c:v>1.349889672478688E-2</c:v>
                </c:pt>
                <c:pt idx="111">
                  <c:v>-1.2391573729863659E-2</c:v>
                </c:pt>
                <c:pt idx="112">
                  <c:v>1.0012515644555853E-2</c:v>
                </c:pt>
                <c:pt idx="113">
                  <c:v>1.2055033850185692E-2</c:v>
                </c:pt>
                <c:pt idx="114">
                  <c:v>1.4759329846644853E-2</c:v>
                </c:pt>
                <c:pt idx="115">
                  <c:v>-8.6994727592267784E-3</c:v>
                </c:pt>
                <c:pt idx="116">
                  <c:v>-1.0606850982437854E-2</c:v>
                </c:pt>
                <c:pt idx="117">
                  <c:v>-1.2534340659340559E-2</c:v>
                </c:pt>
                <c:pt idx="118">
                  <c:v>3.4352456200603676E-4</c:v>
                </c:pt>
                <c:pt idx="119">
                  <c:v>3.6633193983537371E-3</c:v>
                </c:pt>
                <c:pt idx="120">
                  <c:v>-6.3380583272664159E-3</c:v>
                </c:pt>
                <c:pt idx="121">
                  <c:v>-3.6268987881891146E-3</c:v>
                </c:pt>
                <c:pt idx="122">
                  <c:v>3.2963739886124888E-3</c:v>
                </c:pt>
                <c:pt idx="123">
                  <c:v>6.896849002112182E-3</c:v>
                </c:pt>
                <c:pt idx="124">
                  <c:v>-2.5856496444731647E-4</c:v>
                </c:pt>
                <c:pt idx="125">
                  <c:v>-2.9201355478391866E-2</c:v>
                </c:pt>
                <c:pt idx="126">
                  <c:v>-2.5719409798646731E-2</c:v>
                </c:pt>
                <c:pt idx="127">
                  <c:v>-1.6712757003727208E-2</c:v>
                </c:pt>
                <c:pt idx="128">
                  <c:v>-3.3056890404588479E-2</c:v>
                </c:pt>
                <c:pt idx="129">
                  <c:v>1.6065522129469212E-2</c:v>
                </c:pt>
                <c:pt idx="130">
                  <c:v>1.3011079131015624E-3</c:v>
                </c:pt>
                <c:pt idx="131">
                  <c:v>1.2980269989615767E-2</c:v>
                </c:pt>
                <c:pt idx="132">
                  <c:v>-1.707690495819103E-2</c:v>
                </c:pt>
                <c:pt idx="133">
                  <c:v>3.0319735391401981E-3</c:v>
                </c:pt>
                <c:pt idx="134">
                  <c:v>9.8616192142515491E-3</c:v>
                </c:pt>
                <c:pt idx="135">
                  <c:v>-1.8078169536527189E-2</c:v>
                </c:pt>
                <c:pt idx="136">
                  <c:v>-2.5048536297537116E-2</c:v>
                </c:pt>
                <c:pt idx="137">
                  <c:v>-3.9434269897243857E-3</c:v>
                </c:pt>
                <c:pt idx="138">
                  <c:v>-2.4522858411007431E-2</c:v>
                </c:pt>
                <c:pt idx="139">
                  <c:v>4.3090638930163294E-3</c:v>
                </c:pt>
                <c:pt idx="140">
                  <c:v>3.4666567264323156E-3</c:v>
                </c:pt>
                <c:pt idx="141">
                  <c:v>-1.9373469313155645E-2</c:v>
                </c:pt>
                <c:pt idx="142">
                  <c:v>-8.1934524888519489E-3</c:v>
                </c:pt>
                <c:pt idx="143">
                  <c:v>1.1885982611247625E-2</c:v>
                </c:pt>
                <c:pt idx="144">
                  <c:v>7.6519296170338702E-3</c:v>
                </c:pt>
                <c:pt idx="145">
                  <c:v>-9.2294169352477029E-3</c:v>
                </c:pt>
                <c:pt idx="146">
                  <c:v>-5.3912283258049642E-3</c:v>
                </c:pt>
                <c:pt idx="147">
                  <c:v>-4.3693562481805781E-4</c:v>
                </c:pt>
                <c:pt idx="148">
                  <c:v>4.4619998537049899E-3</c:v>
                </c:pt>
                <c:pt idx="149">
                  <c:v>-6.0346081140033592E-3</c:v>
                </c:pt>
                <c:pt idx="150">
                  <c:v>-9.1135045567521944E-3</c:v>
                </c:pt>
                <c:pt idx="151">
                  <c:v>2.6132919346492089E-2</c:v>
                </c:pt>
                <c:pt idx="152">
                  <c:v>3.697677858305326E-4</c:v>
                </c:pt>
                <c:pt idx="153">
                  <c:v>-1.9149862179022148E-2</c:v>
                </c:pt>
                <c:pt idx="154">
                  <c:v>3.5257011977621655E-2</c:v>
                </c:pt>
                <c:pt idx="155">
                  <c:v>8.3674087535969832E-3</c:v>
                </c:pt>
                <c:pt idx="156">
                  <c:v>7.0921985815601829E-3</c:v>
                </c:pt>
                <c:pt idx="157">
                  <c:v>-9.1805508330500274E-3</c:v>
                </c:pt>
                <c:pt idx="158">
                  <c:v>-3.2385614761815118E-3</c:v>
                </c:pt>
                <c:pt idx="159">
                  <c:v>9.6574274742404764E-3</c:v>
                </c:pt>
                <c:pt idx="160">
                  <c:v>-3.5235280745624653E-3</c:v>
                </c:pt>
                <c:pt idx="161">
                  <c:v>-1.6265083027573457E-3</c:v>
                </c:pt>
                <c:pt idx="162">
                  <c:v>1.4015151515149871E-3</c:v>
                </c:pt>
                <c:pt idx="163">
                  <c:v>2.9251984956122357E-3</c:v>
                </c:pt>
                <c:pt idx="164">
                  <c:v>-8.8485578733338288E-3</c:v>
                </c:pt>
                <c:pt idx="165">
                  <c:v>6.1372935293226849E-3</c:v>
                </c:pt>
                <c:pt idx="166">
                  <c:v>5.4852963583726932E-3</c:v>
                </c:pt>
                <c:pt idx="167">
                  <c:v>-1.6732582902342363E-3</c:v>
                </c:pt>
                <c:pt idx="168">
                  <c:v>3.3577533577533458E-3</c:v>
                </c:pt>
                <c:pt idx="169">
                  <c:v>3.5930273923870493E-2</c:v>
                </c:pt>
                <c:pt idx="170">
                  <c:v>1.0625973714696535E-2</c:v>
                </c:pt>
                <c:pt idx="171">
                  <c:v>1.2661812297734665E-2</c:v>
                </c:pt>
                <c:pt idx="172">
                  <c:v>-1.00913022585295E-2</c:v>
                </c:pt>
                <c:pt idx="173">
                  <c:v>-1.1323145142133284E-2</c:v>
                </c:pt>
                <c:pt idx="174">
                  <c:v>1.0886096213879926E-2</c:v>
                </c:pt>
                <c:pt idx="175">
                  <c:v>-9.9064828023458507E-3</c:v>
                </c:pt>
                <c:pt idx="176">
                  <c:v>7.8677263468986958E-3</c:v>
                </c:pt>
                <c:pt idx="177">
                  <c:v>1.5698523446373569E-2</c:v>
                </c:pt>
                <c:pt idx="178">
                  <c:v>-3.3152745209025225E-3</c:v>
                </c:pt>
                <c:pt idx="179">
                  <c:v>8.7687099800155544E-3</c:v>
                </c:pt>
                <c:pt idx="180">
                  <c:v>-5.6371157433693364E-3</c:v>
                </c:pt>
                <c:pt idx="181">
                  <c:v>-2.6145339652448585E-2</c:v>
                </c:pt>
                <c:pt idx="182">
                  <c:v>-6.1234102684879499E-3</c:v>
                </c:pt>
                <c:pt idx="183">
                  <c:v>-1.2864228146311274E-2</c:v>
                </c:pt>
                <c:pt idx="184">
                  <c:v>3.1165095093495188E-2</c:v>
                </c:pt>
                <c:pt idx="185">
                  <c:v>-2.754788825426413E-2</c:v>
                </c:pt>
                <c:pt idx="186">
                  <c:v>5.4426000077745229E-4</c:v>
                </c:pt>
                <c:pt idx="187">
                  <c:v>1.908545610345147E-3</c:v>
                </c:pt>
                <c:pt idx="188">
                  <c:v>1.5866735251058417E-2</c:v>
                </c:pt>
                <c:pt idx="189">
                  <c:v>-1.4618727775581597E-3</c:v>
                </c:pt>
                <c:pt idx="190">
                  <c:v>-6.7498626481437007E-3</c:v>
                </c:pt>
                <c:pt idx="191">
                  <c:v>6.1199510403917579E-3</c:v>
                </c:pt>
                <c:pt idx="192">
                  <c:v>2.5730345974190882E-3</c:v>
                </c:pt>
                <c:pt idx="193">
                  <c:v>3.6551450139052921E-3</c:v>
                </c:pt>
                <c:pt idx="194">
                  <c:v>-4.6662448592218464E-3</c:v>
                </c:pt>
                <c:pt idx="195">
                  <c:v>-2.2383732168399728E-2</c:v>
                </c:pt>
                <c:pt idx="196">
                  <c:v>-1.0595165238678206E-2</c:v>
                </c:pt>
                <c:pt idx="197">
                  <c:v>3.9977723855364244E-2</c:v>
                </c:pt>
                <c:pt idx="198">
                  <c:v>4.9972015671224668E-3</c:v>
                </c:pt>
                <c:pt idx="199">
                  <c:v>-7.8534031413611816E-3</c:v>
                </c:pt>
                <c:pt idx="200">
                  <c:v>5.2230772297754413E-3</c:v>
                </c:pt>
                <c:pt idx="201">
                  <c:v>1.5342887215610057E-2</c:v>
                </c:pt>
                <c:pt idx="202">
                  <c:v>5.2087572230812285E-3</c:v>
                </c:pt>
                <c:pt idx="203">
                  <c:v>8.784893267651972E-3</c:v>
                </c:pt>
                <c:pt idx="204">
                  <c:v>-7.537176614381802E-3</c:v>
                </c:pt>
                <c:pt idx="205">
                  <c:v>-2.4637393204848035E-2</c:v>
                </c:pt>
                <c:pt idx="206">
                  <c:v>-2.1616577893549982E-2</c:v>
                </c:pt>
                <c:pt idx="207">
                  <c:v>-4.5282142580695961E-3</c:v>
                </c:pt>
                <c:pt idx="208">
                  <c:v>1.0915920028170101E-2</c:v>
                </c:pt>
                <c:pt idx="209">
                  <c:v>-7.1475740978130808E-3</c:v>
                </c:pt>
                <c:pt idx="210">
                  <c:v>-8.3208135906621683E-3</c:v>
                </c:pt>
                <c:pt idx="211">
                  <c:v>-2.9352378103499888E-2</c:v>
                </c:pt>
                <c:pt idx="212">
                  <c:v>-1.0324538356215163E-2</c:v>
                </c:pt>
                <c:pt idx="213">
                  <c:v>9.7149049060269999E-3</c:v>
                </c:pt>
                <c:pt idx="214">
                  <c:v>1.8342442165157902E-3</c:v>
                </c:pt>
                <c:pt idx="215">
                  <c:v>-1.2421441774491671E-2</c:v>
                </c:pt>
                <c:pt idx="216">
                  <c:v>-9.6026000886395568E-4</c:v>
                </c:pt>
                <c:pt idx="217">
                  <c:v>5.2348245776869806E-3</c:v>
                </c:pt>
                <c:pt idx="218">
                  <c:v>2.7034240829711065E-2</c:v>
                </c:pt>
                <c:pt idx="219">
                  <c:v>1.4035494722189901E-2</c:v>
                </c:pt>
                <c:pt idx="220">
                  <c:v>9.6818270544603013E-3</c:v>
                </c:pt>
                <c:pt idx="221">
                  <c:v>8.0280193616937279E-3</c:v>
                </c:pt>
                <c:pt idx="222">
                  <c:v>1.0900266539364267E-2</c:v>
                </c:pt>
                <c:pt idx="223">
                  <c:v>5.1583493282147952E-3</c:v>
                </c:pt>
                <c:pt idx="224">
                  <c:v>1.4416146083615633E-3</c:v>
                </c:pt>
                <c:pt idx="225">
                  <c:v>-3.3127120335263438E-3</c:v>
                </c:pt>
                <c:pt idx="226">
                  <c:v>1.7214079818115513E-2</c:v>
                </c:pt>
                <c:pt idx="227">
                  <c:v>1.0566957935378429E-3</c:v>
                </c:pt>
                <c:pt idx="228">
                  <c:v>-1.398573375010026E-2</c:v>
                </c:pt>
                <c:pt idx="229">
                  <c:v>-4.406168636089669E-4</c:v>
                </c:pt>
                <c:pt idx="230">
                  <c:v>1.599381409734657E-2</c:v>
                </c:pt>
                <c:pt idx="231">
                  <c:v>-1.1584875301689501E-2</c:v>
                </c:pt>
                <c:pt idx="232">
                  <c:v>3.0260238047206123E-3</c:v>
                </c:pt>
                <c:pt idx="233">
                  <c:v>-1.3689362887500556E-2</c:v>
                </c:pt>
                <c:pt idx="234">
                  <c:v>-2.6987339762668539E-3</c:v>
                </c:pt>
                <c:pt idx="235">
                  <c:v>6.6719936076706787E-3</c:v>
                </c:pt>
                <c:pt idx="236">
                  <c:v>-1.3557184519586984E-2</c:v>
                </c:pt>
                <c:pt idx="237">
                  <c:v>9.5889865913341144E-3</c:v>
                </c:pt>
                <c:pt idx="238">
                  <c:v>1.1266245523679164E-2</c:v>
                </c:pt>
                <c:pt idx="239">
                  <c:v>5.5836536516287172E-3</c:v>
                </c:pt>
                <c:pt idx="240">
                  <c:v>3.6428397960008851E-4</c:v>
                </c:pt>
                <c:pt idx="241">
                  <c:v>-2.831747030598597E-2</c:v>
                </c:pt>
                <c:pt idx="242">
                  <c:v>-3.0023270896120335E-2</c:v>
                </c:pt>
                <c:pt idx="243">
                  <c:v>2.869385568903482E-3</c:v>
                </c:pt>
                <c:pt idx="244">
                  <c:v>3.0700744493052934E-3</c:v>
                </c:pt>
                <c:pt idx="245">
                  <c:v>1.101885621168619E-2</c:v>
                </c:pt>
                <c:pt idx="246">
                  <c:v>3.0547780887644871E-2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F3-4919-BF90-E9238F59C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80672"/>
        <c:axId val="152757296"/>
      </c:scatterChart>
      <c:valAx>
        <c:axId val="56668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57296"/>
        <c:crosses val="autoZero"/>
        <c:crossBetween val="midCat"/>
      </c:valAx>
      <c:valAx>
        <c:axId val="15275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8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6436</xdr:colOff>
      <xdr:row>0</xdr:row>
      <xdr:rowOff>32178</xdr:rowOff>
    </xdr:from>
    <xdr:to>
      <xdr:col>2</xdr:col>
      <xdr:colOff>17345</xdr:colOff>
      <xdr:row>3</xdr:row>
      <xdr:rowOff>128716</xdr:rowOff>
    </xdr:to>
    <xdr:pic>
      <xdr:nvPicPr>
        <xdr:cNvPr id="2" name="Picture 1" descr="Mahindra Rise Logo Vector (1705x621), Png Downloa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6" y="32178"/>
          <a:ext cx="1755014" cy="6371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579428</xdr:colOff>
      <xdr:row>0</xdr:row>
      <xdr:rowOff>161924</xdr:rowOff>
    </xdr:from>
    <xdr:to>
      <xdr:col>11</xdr:col>
      <xdr:colOff>747713</xdr:colOff>
      <xdr:row>5</xdr:row>
      <xdr:rowOff>149790</xdr:rowOff>
    </xdr:to>
    <xdr:pic>
      <xdr:nvPicPr>
        <xdr:cNvPr id="2" name="Picture 1" descr="Mahindra Rise Logo Vector (1705x621), Png Download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16" y="161924"/>
          <a:ext cx="2459047" cy="892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579428</xdr:colOff>
      <xdr:row>0</xdr:row>
      <xdr:rowOff>161924</xdr:rowOff>
    </xdr:from>
    <xdr:to>
      <xdr:col>11</xdr:col>
      <xdr:colOff>581026</xdr:colOff>
      <xdr:row>5</xdr:row>
      <xdr:rowOff>149790</xdr:rowOff>
    </xdr:to>
    <xdr:pic>
      <xdr:nvPicPr>
        <xdr:cNvPr id="2" name="Picture 1" descr="Mahindra Rise Logo Vector (1705x621), Png Download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16" y="161924"/>
          <a:ext cx="2459047" cy="892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246053</xdr:colOff>
      <xdr:row>1</xdr:row>
      <xdr:rowOff>19049</xdr:rowOff>
    </xdr:from>
    <xdr:to>
      <xdr:col>11</xdr:col>
      <xdr:colOff>416961</xdr:colOff>
      <xdr:row>6</xdr:row>
      <xdr:rowOff>6915</xdr:rowOff>
    </xdr:to>
    <xdr:pic>
      <xdr:nvPicPr>
        <xdr:cNvPr id="2" name="Picture 1" descr="Mahindra Rise Logo Vector (1705x621), Png Download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0478" y="200024"/>
          <a:ext cx="2459047" cy="892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246053</xdr:colOff>
      <xdr:row>1</xdr:row>
      <xdr:rowOff>19049</xdr:rowOff>
    </xdr:from>
    <xdr:to>
      <xdr:col>11</xdr:col>
      <xdr:colOff>285751</xdr:colOff>
      <xdr:row>6</xdr:row>
      <xdr:rowOff>6915</xdr:rowOff>
    </xdr:to>
    <xdr:pic>
      <xdr:nvPicPr>
        <xdr:cNvPr id="2" name="Picture 1" descr="Mahindra Rise Logo Vector (1705x621), Png Download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4303" y="200024"/>
          <a:ext cx="2459047" cy="892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112698</xdr:colOff>
      <xdr:row>1</xdr:row>
      <xdr:rowOff>19049</xdr:rowOff>
    </xdr:from>
    <xdr:to>
      <xdr:col>11</xdr:col>
      <xdr:colOff>609595</xdr:colOff>
      <xdr:row>6</xdr:row>
      <xdr:rowOff>6915</xdr:rowOff>
    </xdr:to>
    <xdr:pic>
      <xdr:nvPicPr>
        <xdr:cNvPr id="2" name="Picture 1" descr="Mahindra Rise Logo Vector (1705x621), Png Download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5848" y="200024"/>
          <a:ext cx="2459047" cy="892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246053</xdr:colOff>
      <xdr:row>1</xdr:row>
      <xdr:rowOff>19049</xdr:rowOff>
    </xdr:from>
    <xdr:to>
      <xdr:col>11</xdr:col>
      <xdr:colOff>623624</xdr:colOff>
      <xdr:row>6</xdr:row>
      <xdr:rowOff>6915</xdr:rowOff>
    </xdr:to>
    <xdr:pic>
      <xdr:nvPicPr>
        <xdr:cNvPr id="2" name="Picture 1" descr="Mahindra Rise Logo Vector (1705x621), Png Download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4303" y="200024"/>
          <a:ext cx="2459047" cy="892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246053</xdr:colOff>
      <xdr:row>1</xdr:row>
      <xdr:rowOff>19049</xdr:rowOff>
    </xdr:from>
    <xdr:to>
      <xdr:col>11</xdr:col>
      <xdr:colOff>547687</xdr:colOff>
      <xdr:row>6</xdr:row>
      <xdr:rowOff>6915</xdr:rowOff>
    </xdr:to>
    <xdr:pic>
      <xdr:nvPicPr>
        <xdr:cNvPr id="6" name="Picture 5" descr="Mahindra Rise Logo Vector (1705x621), Png Download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191" y="200024"/>
          <a:ext cx="2459047" cy="892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107939</xdr:colOff>
      <xdr:row>0</xdr:row>
      <xdr:rowOff>161924</xdr:rowOff>
    </xdr:from>
    <xdr:to>
      <xdr:col>11</xdr:col>
      <xdr:colOff>309562</xdr:colOff>
      <xdr:row>5</xdr:row>
      <xdr:rowOff>149790</xdr:rowOff>
    </xdr:to>
    <xdr:pic>
      <xdr:nvPicPr>
        <xdr:cNvPr id="2" name="Picture 1" descr="Mahindra Rise Logo Vector (1705x621), Png Download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5052" y="161924"/>
          <a:ext cx="2459047" cy="892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141278</xdr:colOff>
      <xdr:row>1</xdr:row>
      <xdr:rowOff>19049</xdr:rowOff>
    </xdr:from>
    <xdr:to>
      <xdr:col>11</xdr:col>
      <xdr:colOff>327964</xdr:colOff>
      <xdr:row>6</xdr:row>
      <xdr:rowOff>6915</xdr:rowOff>
    </xdr:to>
    <xdr:pic>
      <xdr:nvPicPr>
        <xdr:cNvPr id="2" name="Picture 1" descr="Mahindra Rise Logo Vector (1705x621), Png Download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7428" y="200024"/>
          <a:ext cx="2459047" cy="892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122228</xdr:colOff>
      <xdr:row>1</xdr:row>
      <xdr:rowOff>19049</xdr:rowOff>
    </xdr:from>
    <xdr:to>
      <xdr:col>11</xdr:col>
      <xdr:colOff>638174</xdr:colOff>
      <xdr:row>6</xdr:row>
      <xdr:rowOff>6915</xdr:rowOff>
    </xdr:to>
    <xdr:pic>
      <xdr:nvPicPr>
        <xdr:cNvPr id="2" name="Picture 1" descr="Mahindra Rise Logo Vector (1705x621), Png Download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8378" y="200024"/>
          <a:ext cx="2459047" cy="892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246053</xdr:colOff>
      <xdr:row>1</xdr:row>
      <xdr:rowOff>19049</xdr:rowOff>
    </xdr:from>
    <xdr:to>
      <xdr:col>11</xdr:col>
      <xdr:colOff>661988</xdr:colOff>
      <xdr:row>6</xdr:row>
      <xdr:rowOff>6915</xdr:rowOff>
    </xdr:to>
    <xdr:pic>
      <xdr:nvPicPr>
        <xdr:cNvPr id="2" name="Picture 1" descr="Mahindra Rise Logo Vector (1705x621), Png Download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2203" y="200024"/>
          <a:ext cx="2459047" cy="892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246053</xdr:colOff>
      <xdr:row>1</xdr:row>
      <xdr:rowOff>19049</xdr:rowOff>
    </xdr:from>
    <xdr:to>
      <xdr:col>11</xdr:col>
      <xdr:colOff>595312</xdr:colOff>
      <xdr:row>6</xdr:row>
      <xdr:rowOff>6915</xdr:rowOff>
    </xdr:to>
    <xdr:pic>
      <xdr:nvPicPr>
        <xdr:cNvPr id="2" name="Picture 1" descr="Mahindra Rise Logo Vector (1705x621), Png Download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6903" y="200024"/>
          <a:ext cx="2459047" cy="892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243840</xdr:colOff>
      <xdr:row>225</xdr:row>
      <xdr:rowOff>68580</xdr:rowOff>
    </xdr:from>
    <xdr:to>
      <xdr:col>14</xdr:col>
      <xdr:colOff>502920</xdr:colOff>
      <xdr:row>240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F4F18B-F68D-AB20-0323-5770D150D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246053</xdr:colOff>
      <xdr:row>1</xdr:row>
      <xdr:rowOff>19049</xdr:rowOff>
    </xdr:from>
    <xdr:to>
      <xdr:col>12</xdr:col>
      <xdr:colOff>95250</xdr:colOff>
      <xdr:row>6</xdr:row>
      <xdr:rowOff>6915</xdr:rowOff>
    </xdr:to>
    <xdr:pic>
      <xdr:nvPicPr>
        <xdr:cNvPr id="2" name="Picture 1" descr="Mahindra Rise Logo Vector (1705x621), Png Download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6903" y="200024"/>
          <a:ext cx="2459047" cy="892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upam Dixit" id="{55ED6879-D789-44B2-8574-FE1C867A1FC2}" userId="936062a736072d8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3" dT="2023-08-27T06:26:35.45" personId="{55ED6879-D789-44B2-8574-FE1C867A1FC2}" id="{32702352-343A-4729-AADA-7CB386A5F55E}">
    <text>Average of Bullish &amp; Bearish Growth Rate</text>
  </threadedComment>
  <threadedComment ref="H63" dT="2023-08-27T06:21:43.22" personId="{55ED6879-D789-44B2-8574-FE1C867A1FC2}" id="{1A1018FC-ADD3-414E-821F-B67713CA33A9}">
    <text>Average of 5yr % Growth Rate</text>
  </threadedComment>
  <threadedComment ref="H73" dT="2023-08-27T06:26:05.27" personId="{55ED6879-D789-44B2-8574-FE1C867A1FC2}" id="{1276995B-C84E-4DC5-9BC3-B12902C312DF}">
    <text>6 yr CAGR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3" dT="2023-08-27T08:59:21.53" personId="{55ED6879-D789-44B2-8574-FE1C867A1FC2}" id="{D604C688-B954-4CEB-881E-C1EFDD6B5DE4}">
    <text>Average of %</text>
  </threadedComment>
  <threadedComment ref="H16" dT="2023-08-27T08:59:21.53" personId="{55ED6879-D789-44B2-8574-FE1C867A1FC2}" id="{82CB49A3-6663-4DCE-821A-7037D39695FB}">
    <text>Average of %</text>
  </threadedComment>
  <threadedComment ref="H32" dT="2023-08-27T08:59:21.53" personId="{55ED6879-D789-44B2-8574-FE1C867A1FC2}" id="{BB48D44F-2555-4B7E-AE9A-DA91F8B73818}">
    <text>Average of %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33" dT="2023-09-03T07:22:41.16" personId="{55ED6879-D789-44B2-8574-FE1C867A1FC2}" id="{00CB377B-B467-47DF-A01E-8DDF88309C00}">
    <text>Adjustment for Non current Items</text>
  </threadedComment>
  <threadedComment ref="I33" dT="2023-09-03T07:22:41.16" personId="{55ED6879-D789-44B2-8574-FE1C867A1FC2}" id="{A290657B-7CE0-4E52-8C9F-F3C03C2DEF55}">
    <text>Adjustment for Non current Items</text>
  </threadedComment>
  <threadedComment ref="J33" dT="2023-09-03T07:22:41.16" personId="{55ED6879-D789-44B2-8574-FE1C867A1FC2}" id="{051A3AC6-44D6-4F0F-AECD-28A13FF0F94A}">
    <text>Adjustment for Non current Items</text>
  </threadedComment>
  <threadedComment ref="K33" dT="2023-09-03T07:22:41.16" personId="{55ED6879-D789-44B2-8574-FE1C867A1FC2}" id="{3624AC68-B3FF-472C-995E-9F81E3BBF144}">
    <text>Adjustment for Non current Items</text>
  </threadedComment>
  <threadedComment ref="L33" dT="2023-09-03T07:22:41.16" personId="{55ED6879-D789-44B2-8574-FE1C867A1FC2}" id="{9C7E7616-2BE0-4EE8-88E9-1D5457C15818}">
    <text>Adjustment for Non current Items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vesting.com/indices/sensex-historical-data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vesting.com/indices/sensex-historical-data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B0B0-C782-446C-9233-9ED43909916C}">
  <dimension ref="A2:N80"/>
  <sheetViews>
    <sheetView topLeftCell="A57" zoomScale="90" zoomScaleNormal="90" workbookViewId="0">
      <selection activeCell="A43" sqref="A43"/>
    </sheetView>
  </sheetViews>
  <sheetFormatPr defaultRowHeight="14.5" x14ac:dyDescent="0.35"/>
  <cols>
    <col min="1" max="1" width="14.54296875" bestFit="1" customWidth="1"/>
    <col min="2" max="2" width="9.81640625" bestFit="1" customWidth="1"/>
    <col min="3" max="3" width="10.90625" bestFit="1" customWidth="1"/>
    <col min="4" max="6" width="9.81640625" bestFit="1" customWidth="1"/>
    <col min="7" max="8" width="10.90625" bestFit="1" customWidth="1"/>
    <col min="9" max="11" width="9.81640625" bestFit="1" customWidth="1"/>
    <col min="12" max="12" width="10.90625" bestFit="1" customWidth="1"/>
  </cols>
  <sheetData>
    <row r="2" spans="1:12" x14ac:dyDescent="0.35">
      <c r="C2" s="2"/>
      <c r="D2" s="2"/>
      <c r="E2" s="2"/>
      <c r="G2" s="2"/>
      <c r="H2" s="2"/>
      <c r="I2" s="2"/>
      <c r="K2" s="2"/>
    </row>
    <row r="3" spans="1:12" x14ac:dyDescent="0.35">
      <c r="C3" s="2"/>
      <c r="D3" s="2"/>
      <c r="E3" s="2"/>
      <c r="G3" s="2"/>
      <c r="H3" s="2"/>
      <c r="I3" s="2"/>
      <c r="K3" s="2"/>
    </row>
    <row r="6" spans="1:12" x14ac:dyDescent="0.35">
      <c r="A6" s="1"/>
      <c r="G6" s="1" t="s">
        <v>7</v>
      </c>
      <c r="H6" t="s">
        <v>177</v>
      </c>
    </row>
    <row r="7" spans="1:12" x14ac:dyDescent="0.35">
      <c r="A7" s="14" t="s">
        <v>0</v>
      </c>
      <c r="B7" s="14">
        <v>2018</v>
      </c>
      <c r="C7" s="14">
        <v>2019</v>
      </c>
      <c r="D7" s="14">
        <v>2020</v>
      </c>
      <c r="E7" s="14">
        <v>2021</v>
      </c>
      <c r="F7" s="14">
        <v>2022</v>
      </c>
      <c r="G7" s="14">
        <v>2023</v>
      </c>
      <c r="H7" s="81">
        <v>2024</v>
      </c>
      <c r="I7" s="81">
        <f>H7+1</f>
        <v>2025</v>
      </c>
      <c r="J7" s="81">
        <f t="shared" ref="J7:L7" si="0">I7+1</f>
        <v>2026</v>
      </c>
      <c r="K7" s="81">
        <f t="shared" si="0"/>
        <v>2027</v>
      </c>
      <c r="L7" s="81">
        <f t="shared" si="0"/>
        <v>2028</v>
      </c>
    </row>
    <row r="8" spans="1:12" x14ac:dyDescent="0.35">
      <c r="A8" t="s">
        <v>1</v>
      </c>
      <c r="B8" s="320">
        <v>52707.66</v>
      </c>
      <c r="C8" s="320">
        <v>59051.11</v>
      </c>
      <c r="D8" s="320">
        <v>28672.41</v>
      </c>
      <c r="E8" s="320">
        <v>25827.17</v>
      </c>
      <c r="F8" s="320">
        <v>36705.85</v>
      </c>
      <c r="G8" s="320">
        <v>59502.69</v>
      </c>
      <c r="H8" s="3">
        <f>G8*(1+H53)</f>
        <v>63499.446547223393</v>
      </c>
      <c r="I8" s="3">
        <f t="shared" ref="I8:L8" si="1">H8*(1+I53)</f>
        <v>67764.662602710581</v>
      </c>
      <c r="J8" s="3">
        <f t="shared" si="1"/>
        <v>72316.370415042562</v>
      </c>
      <c r="K8" s="3">
        <f t="shared" si="1"/>
        <v>77173.813447076129</v>
      </c>
      <c r="L8" s="3">
        <f t="shared" si="1"/>
        <v>82357.52773241009</v>
      </c>
    </row>
    <row r="9" spans="1:12" x14ac:dyDescent="0.35">
      <c r="A9" t="s">
        <v>6</v>
      </c>
      <c r="B9" s="320">
        <v>21633.9</v>
      </c>
      <c r="C9" s="320">
        <v>22078.19</v>
      </c>
      <c r="D9" s="320">
        <v>20861.98</v>
      </c>
      <c r="E9" s="320">
        <v>24600.29</v>
      </c>
      <c r="F9" s="320">
        <v>26828.22</v>
      </c>
      <c r="G9" s="320">
        <v>31690.61</v>
      </c>
      <c r="H9" s="3">
        <f t="shared" ref="H9:L9" si="2">G9*(1+H54)</f>
        <v>34205.012621945199</v>
      </c>
      <c r="I9" s="3">
        <f t="shared" si="2"/>
        <v>36918.913472079912</v>
      </c>
      <c r="J9" s="3">
        <f t="shared" si="2"/>
        <v>39848.141178128033</v>
      </c>
      <c r="K9" s="3">
        <f t="shared" si="2"/>
        <v>43009.780245912705</v>
      </c>
      <c r="L9" s="3">
        <f t="shared" si="2"/>
        <v>46422.270703483882</v>
      </c>
    </row>
    <row r="10" spans="1:12" x14ac:dyDescent="0.35">
      <c r="A10" t="s">
        <v>8</v>
      </c>
      <c r="B10" s="320">
        <v>8599.23</v>
      </c>
      <c r="C10" s="320">
        <v>10313.75</v>
      </c>
      <c r="D10" s="320">
        <v>11803.4</v>
      </c>
      <c r="E10" s="320">
        <v>11972.05</v>
      </c>
      <c r="F10" s="320">
        <v>11209.23</v>
      </c>
      <c r="G10" s="320">
        <v>12554.28</v>
      </c>
      <c r="H10" s="3">
        <f t="shared" ref="H10:L10" si="3">G10*(1+H55)</f>
        <v>13541.234519688915</v>
      </c>
      <c r="I10" s="3">
        <f t="shared" si="3"/>
        <v>14605.778453022767</v>
      </c>
      <c r="J10" s="3">
        <f t="shared" si="3"/>
        <v>15754.011490503672</v>
      </c>
      <c r="K10" s="3">
        <f t="shared" si="3"/>
        <v>16992.512849704173</v>
      </c>
      <c r="L10" s="3">
        <f t="shared" si="3"/>
        <v>18328.378973280156</v>
      </c>
    </row>
    <row r="11" spans="1:12" x14ac:dyDescent="0.35">
      <c r="A11" t="s">
        <v>5</v>
      </c>
      <c r="B11" s="320">
        <v>570.66999999999996</v>
      </c>
      <c r="C11" s="320">
        <v>605.1</v>
      </c>
      <c r="D11" s="320">
        <v>627.89</v>
      </c>
      <c r="E11" s="320">
        <v>177.45</v>
      </c>
      <c r="F11" s="320">
        <v>393.3</v>
      </c>
      <c r="G11" s="320">
        <v>614.27</v>
      </c>
      <c r="H11" s="3">
        <f t="shared" ref="H11:L11" si="4">G11*(1+H56)</f>
        <v>644.98350000000005</v>
      </c>
      <c r="I11" s="3">
        <f t="shared" si="4"/>
        <v>677.23267500000009</v>
      </c>
      <c r="J11" s="3">
        <f t="shared" si="4"/>
        <v>711.0943087500001</v>
      </c>
      <c r="K11" s="3">
        <f t="shared" si="4"/>
        <v>746.64902418750012</v>
      </c>
      <c r="L11" s="3">
        <f t="shared" si="4"/>
        <v>783.98147539687511</v>
      </c>
    </row>
    <row r="12" spans="1:12" x14ac:dyDescent="0.35">
      <c r="A12" t="s">
        <v>3</v>
      </c>
      <c r="B12" s="320">
        <v>2316.63</v>
      </c>
      <c r="C12" s="320">
        <v>2237.83</v>
      </c>
      <c r="D12" s="320">
        <v>2373.37</v>
      </c>
      <c r="E12" s="320">
        <v>1746.25</v>
      </c>
      <c r="F12" s="320">
        <v>2058.69</v>
      </c>
      <c r="G12" s="320">
        <v>2524.84</v>
      </c>
      <c r="H12" s="3">
        <f t="shared" ref="H12:L12" si="5">G12*(1+H57)</f>
        <v>2651.0820000000003</v>
      </c>
      <c r="I12" s="3">
        <f t="shared" si="5"/>
        <v>2783.6361000000006</v>
      </c>
      <c r="J12" s="3">
        <f t="shared" si="5"/>
        <v>2922.8179050000008</v>
      </c>
      <c r="K12" s="3">
        <f t="shared" si="5"/>
        <v>3068.9588002500009</v>
      </c>
      <c r="L12" s="3">
        <f t="shared" si="5"/>
        <v>3222.406740262501</v>
      </c>
    </row>
    <row r="13" spans="1:12" x14ac:dyDescent="0.35">
      <c r="A13" t="s">
        <v>4</v>
      </c>
      <c r="B13" s="320">
        <v>7436.68</v>
      </c>
      <c r="C13" s="320">
        <v>10434.700000000001</v>
      </c>
      <c r="D13" s="320">
        <v>11042.88</v>
      </c>
      <c r="E13" s="320">
        <v>9954.57</v>
      </c>
      <c r="F13" s="320">
        <v>12975.28</v>
      </c>
      <c r="G13" s="320">
        <v>14381.86</v>
      </c>
      <c r="H13" s="3">
        <f t="shared" ref="H13:L13" si="6">G13*(1+H58)</f>
        <v>15820.046000000002</v>
      </c>
      <c r="I13" s="3">
        <f t="shared" si="6"/>
        <v>17402.050600000002</v>
      </c>
      <c r="J13" s="3">
        <f t="shared" si="6"/>
        <v>19142.255660000003</v>
      </c>
      <c r="K13" s="3">
        <f t="shared" si="6"/>
        <v>21056.481226000004</v>
      </c>
      <c r="L13" s="3">
        <f t="shared" si="6"/>
        <v>23162.129348600007</v>
      </c>
    </row>
    <row r="14" spans="1:12" x14ac:dyDescent="0.35">
      <c r="A14" s="9" t="s">
        <v>2</v>
      </c>
      <c r="B14" s="10">
        <f>SUM(B8:B13)</f>
        <v>93264.76999999999</v>
      </c>
      <c r="C14" s="10">
        <f t="shared" ref="C14:G14" si="7">SUM(C8:C13)</f>
        <v>104720.68000000001</v>
      </c>
      <c r="D14" s="10">
        <f t="shared" si="7"/>
        <v>75381.930000000008</v>
      </c>
      <c r="E14" s="10">
        <f t="shared" si="7"/>
        <v>74277.78</v>
      </c>
      <c r="F14" s="10">
        <f t="shared" si="7"/>
        <v>90170.57</v>
      </c>
      <c r="G14" s="10">
        <f t="shared" si="7"/>
        <v>121268.55</v>
      </c>
      <c r="H14" s="10">
        <f>SUM(H8:H13)</f>
        <v>130361.80518885751</v>
      </c>
      <c r="I14" s="10">
        <f t="shared" ref="I14:L14" si="8">SUM(I8:I13)</f>
        <v>140152.27390281326</v>
      </c>
      <c r="J14" s="10">
        <f t="shared" si="8"/>
        <v>150694.69095742426</v>
      </c>
      <c r="K14" s="10">
        <f t="shared" si="8"/>
        <v>162048.19559313048</v>
      </c>
      <c r="L14" s="10">
        <f t="shared" si="8"/>
        <v>174276.69497343351</v>
      </c>
    </row>
    <row r="16" spans="1:12" x14ac:dyDescent="0.35">
      <c r="B16" s="4"/>
      <c r="C16" s="4"/>
      <c r="D16" s="4"/>
      <c r="E16" s="4"/>
      <c r="F16" s="4"/>
      <c r="G16" s="4"/>
    </row>
    <row r="17" spans="1:12" x14ac:dyDescent="0.35">
      <c r="A17" s="1"/>
      <c r="G17" s="1" t="s">
        <v>7</v>
      </c>
      <c r="H17" t="s">
        <v>178</v>
      </c>
    </row>
    <row r="18" spans="1:12" x14ac:dyDescent="0.35">
      <c r="A18" s="14" t="s">
        <v>0</v>
      </c>
      <c r="B18" s="14">
        <v>2018</v>
      </c>
      <c r="C18" s="14">
        <v>2019</v>
      </c>
      <c r="D18" s="14">
        <v>2020</v>
      </c>
      <c r="E18" s="14">
        <v>2021</v>
      </c>
      <c r="F18" s="14">
        <v>2022</v>
      </c>
      <c r="G18" s="14">
        <v>2023</v>
      </c>
      <c r="H18" s="81">
        <v>2024</v>
      </c>
      <c r="I18" s="81">
        <f>H18+1</f>
        <v>2025</v>
      </c>
      <c r="J18" s="81">
        <f t="shared" ref="J18" si="9">I18+1</f>
        <v>2026</v>
      </c>
      <c r="K18" s="81">
        <f t="shared" ref="K18" si="10">J18+1</f>
        <v>2027</v>
      </c>
      <c r="L18" s="81">
        <f t="shared" ref="L18" si="11">K18+1</f>
        <v>2028</v>
      </c>
    </row>
    <row r="19" spans="1:12" x14ac:dyDescent="0.35">
      <c r="A19" t="s">
        <v>1</v>
      </c>
      <c r="B19" s="320">
        <v>52707.66</v>
      </c>
      <c r="C19" s="320">
        <v>59051.11</v>
      </c>
      <c r="D19" s="320">
        <v>28672.41</v>
      </c>
      <c r="E19" s="320">
        <v>25827.17</v>
      </c>
      <c r="F19" s="320">
        <v>36705.85</v>
      </c>
      <c r="G19" s="320">
        <v>59502.69</v>
      </c>
      <c r="H19" s="3">
        <f>G19*(1+H63)</f>
        <v>66035.494153416133</v>
      </c>
      <c r="I19" s="3">
        <f t="shared" ref="I19:L19" si="12">H19*(1+I63)</f>
        <v>73285.535294048997</v>
      </c>
      <c r="J19" s="3">
        <f t="shared" si="12"/>
        <v>81331.558916750553</v>
      </c>
      <c r="K19" s="3">
        <f t="shared" si="12"/>
        <v>90260.955989305701</v>
      </c>
      <c r="L19" s="3">
        <f t="shared" si="12"/>
        <v>100170.71213946037</v>
      </c>
    </row>
    <row r="20" spans="1:12" x14ac:dyDescent="0.35">
      <c r="A20" t="s">
        <v>6</v>
      </c>
      <c r="B20" s="320">
        <v>21633.9</v>
      </c>
      <c r="C20" s="320">
        <v>22078.19</v>
      </c>
      <c r="D20" s="320">
        <v>20861.98</v>
      </c>
      <c r="E20" s="320">
        <v>24600.29</v>
      </c>
      <c r="F20" s="320">
        <v>26828.22</v>
      </c>
      <c r="G20" s="320">
        <v>31690.61</v>
      </c>
      <c r="H20" s="3">
        <f t="shared" ref="H20:L20" si="13">G20*(1+H64)</f>
        <v>34838.8248219452</v>
      </c>
      <c r="I20" s="3">
        <f t="shared" si="13"/>
        <v>38299.790220957722</v>
      </c>
      <c r="J20" s="3">
        <f t="shared" si="13"/>
        <v>42104.575526479166</v>
      </c>
      <c r="K20" s="3">
        <f t="shared" si="13"/>
        <v>46287.336563397446</v>
      </c>
      <c r="L20" s="3">
        <f t="shared" si="13"/>
        <v>50885.622271285487</v>
      </c>
    </row>
    <row r="21" spans="1:12" x14ac:dyDescent="0.35">
      <c r="A21" t="s">
        <v>8</v>
      </c>
      <c r="B21" s="320">
        <v>8599.23</v>
      </c>
      <c r="C21" s="320">
        <v>10313.75</v>
      </c>
      <c r="D21" s="320">
        <v>11803.4</v>
      </c>
      <c r="E21" s="320">
        <v>11972.05</v>
      </c>
      <c r="F21" s="320">
        <v>11209.23</v>
      </c>
      <c r="G21" s="320">
        <v>12554.28</v>
      </c>
      <c r="H21" s="3">
        <f t="shared" ref="H21:L21" si="14">G21*(1+H65)</f>
        <v>13792.320119688915</v>
      </c>
      <c r="I21" s="3">
        <f t="shared" si="14"/>
        <v>15152.449545810323</v>
      </c>
      <c r="J21" s="3">
        <f t="shared" si="14"/>
        <v>16646.708113348664</v>
      </c>
      <c r="K21" s="3">
        <f t="shared" si="14"/>
        <v>18288.322965421154</v>
      </c>
      <c r="L21" s="3">
        <f t="shared" si="14"/>
        <v>20091.825639650142</v>
      </c>
    </row>
    <row r="22" spans="1:12" x14ac:dyDescent="0.35">
      <c r="A22" t="s">
        <v>5</v>
      </c>
      <c r="B22" s="320">
        <v>570.66999999999996</v>
      </c>
      <c r="C22" s="320">
        <v>605.1</v>
      </c>
      <c r="D22" s="320">
        <v>627.89</v>
      </c>
      <c r="E22" s="320">
        <v>177.45</v>
      </c>
      <c r="F22" s="320">
        <v>393.3</v>
      </c>
      <c r="G22" s="320">
        <v>614.27</v>
      </c>
      <c r="H22" s="3">
        <f t="shared" ref="H22:L22" si="15">G22*(1+H66)</f>
        <v>675.697</v>
      </c>
      <c r="I22" s="3">
        <f t="shared" si="15"/>
        <v>743.26670000000001</v>
      </c>
      <c r="J22" s="3">
        <f t="shared" si="15"/>
        <v>817.59337000000005</v>
      </c>
      <c r="K22" s="3">
        <f t="shared" si="15"/>
        <v>899.35270700000012</v>
      </c>
      <c r="L22" s="3">
        <f t="shared" si="15"/>
        <v>989.28797770000017</v>
      </c>
    </row>
    <row r="23" spans="1:12" x14ac:dyDescent="0.35">
      <c r="A23" t="s">
        <v>3</v>
      </c>
      <c r="B23" s="320">
        <v>2316.63</v>
      </c>
      <c r="C23" s="320">
        <v>2237.83</v>
      </c>
      <c r="D23" s="320">
        <v>2373.37</v>
      </c>
      <c r="E23" s="320">
        <v>1746.25</v>
      </c>
      <c r="F23" s="320">
        <v>2058.69</v>
      </c>
      <c r="G23" s="320">
        <v>2524.84</v>
      </c>
      <c r="H23" s="3">
        <f t="shared" ref="H23:L23" si="16">G23*(1+H67)</f>
        <v>2701.5788000000002</v>
      </c>
      <c r="I23" s="3">
        <f t="shared" si="16"/>
        <v>2890.6893160000004</v>
      </c>
      <c r="J23" s="3">
        <f t="shared" si="16"/>
        <v>3093.0375681200007</v>
      </c>
      <c r="K23" s="3">
        <f t="shared" si="16"/>
        <v>3309.5501978884008</v>
      </c>
      <c r="L23" s="3">
        <f t="shared" si="16"/>
        <v>3541.2187117405892</v>
      </c>
    </row>
    <row r="24" spans="1:12" x14ac:dyDescent="0.35">
      <c r="A24" t="s">
        <v>4</v>
      </c>
      <c r="B24" s="320">
        <v>7436.68</v>
      </c>
      <c r="C24" s="320">
        <v>10434.700000000001</v>
      </c>
      <c r="D24" s="320">
        <v>11042.88</v>
      </c>
      <c r="E24" s="320">
        <v>9954.57</v>
      </c>
      <c r="F24" s="320">
        <v>12975.28</v>
      </c>
      <c r="G24" s="320">
        <v>14381.86</v>
      </c>
      <c r="H24" s="3">
        <f t="shared" ref="H24:L24" si="17">G24*(1+H68)</f>
        <v>16107.683200000001</v>
      </c>
      <c r="I24" s="3">
        <f t="shared" si="17"/>
        <v>18040.605184000004</v>
      </c>
      <c r="J24" s="3">
        <f t="shared" si="17"/>
        <v>20205.477806080005</v>
      </c>
      <c r="K24" s="3">
        <f t="shared" si="17"/>
        <v>22630.13514280961</v>
      </c>
      <c r="L24" s="3">
        <f t="shared" si="17"/>
        <v>25345.751359946764</v>
      </c>
    </row>
    <row r="25" spans="1:12" x14ac:dyDescent="0.35">
      <c r="A25" s="9" t="s">
        <v>2</v>
      </c>
      <c r="B25" s="10">
        <f>SUM(B19:B24)</f>
        <v>93264.76999999999</v>
      </c>
      <c r="C25" s="10">
        <f t="shared" ref="C25:L25" si="18">SUM(C19:C24)</f>
        <v>104720.68000000001</v>
      </c>
      <c r="D25" s="10">
        <f t="shared" si="18"/>
        <v>75381.930000000008</v>
      </c>
      <c r="E25" s="10">
        <f t="shared" si="18"/>
        <v>74277.78</v>
      </c>
      <c r="F25" s="10">
        <f t="shared" si="18"/>
        <v>90170.57</v>
      </c>
      <c r="G25" s="10">
        <f t="shared" si="18"/>
        <v>121268.55</v>
      </c>
      <c r="H25" s="10">
        <f t="shared" si="18"/>
        <v>134151.59809505026</v>
      </c>
      <c r="I25" s="10">
        <f t="shared" si="18"/>
        <v>148412.33626081704</v>
      </c>
      <c r="J25" s="10">
        <f t="shared" si="18"/>
        <v>164198.9513007784</v>
      </c>
      <c r="K25" s="10">
        <f t="shared" si="18"/>
        <v>181675.65356582234</v>
      </c>
      <c r="L25" s="10">
        <f t="shared" si="18"/>
        <v>201024.41809978336</v>
      </c>
    </row>
    <row r="28" spans="1:12" x14ac:dyDescent="0.35">
      <c r="A28" s="1"/>
      <c r="G28" s="1" t="s">
        <v>7</v>
      </c>
      <c r="H28" t="s">
        <v>179</v>
      </c>
    </row>
    <row r="29" spans="1:12" x14ac:dyDescent="0.35">
      <c r="A29" s="14" t="s">
        <v>0</v>
      </c>
      <c r="B29" s="14">
        <v>2018</v>
      </c>
      <c r="C29" s="14">
        <v>2019</v>
      </c>
      <c r="D29" s="14">
        <v>2020</v>
      </c>
      <c r="E29" s="14">
        <v>2021</v>
      </c>
      <c r="F29" s="14">
        <v>2022</v>
      </c>
      <c r="G29" s="14">
        <v>2023</v>
      </c>
      <c r="H29" s="81">
        <v>2024</v>
      </c>
      <c r="I29" s="81">
        <f>H29+1</f>
        <v>2025</v>
      </c>
      <c r="J29" s="81">
        <f t="shared" ref="J29" si="19">I29+1</f>
        <v>2026</v>
      </c>
      <c r="K29" s="81">
        <f t="shared" ref="K29" si="20">J29+1</f>
        <v>2027</v>
      </c>
      <c r="L29" s="81">
        <f t="shared" ref="L29" si="21">K29+1</f>
        <v>2028</v>
      </c>
    </row>
    <row r="30" spans="1:12" x14ac:dyDescent="0.35">
      <c r="A30" t="s">
        <v>1</v>
      </c>
      <c r="B30" s="320">
        <v>52707.66</v>
      </c>
      <c r="C30" s="320">
        <v>59051.11</v>
      </c>
      <c r="D30" s="320">
        <v>28672.41</v>
      </c>
      <c r="E30" s="320">
        <v>25827.17</v>
      </c>
      <c r="F30" s="320">
        <v>36705.85</v>
      </c>
      <c r="G30" s="320">
        <v>59502.69</v>
      </c>
      <c r="H30" s="3">
        <f>G30*(1+H73)</f>
        <v>60963.398941030646</v>
      </c>
      <c r="I30" s="3">
        <f t="shared" ref="I30:L30" si="22">H30*(1+I73)</f>
        <v>62459.966271159443</v>
      </c>
      <c r="J30" s="3">
        <f t="shared" si="22"/>
        <v>63993.272264363361</v>
      </c>
      <c r="K30" s="3">
        <f t="shared" si="22"/>
        <v>65564.218804130956</v>
      </c>
      <c r="L30" s="3">
        <f t="shared" si="22"/>
        <v>67173.729913946052</v>
      </c>
    </row>
    <row r="31" spans="1:12" x14ac:dyDescent="0.35">
      <c r="A31" t="s">
        <v>6</v>
      </c>
      <c r="B31" s="320">
        <v>21633.9</v>
      </c>
      <c r="C31" s="320">
        <v>22078.19</v>
      </c>
      <c r="D31" s="320">
        <v>20861.98</v>
      </c>
      <c r="E31" s="320">
        <v>24600.29</v>
      </c>
      <c r="F31" s="320">
        <v>26828.22</v>
      </c>
      <c r="G31" s="320">
        <v>31690.61</v>
      </c>
      <c r="H31" s="3">
        <f t="shared" ref="H31:L31" si="23">G31*(1+H74)</f>
        <v>33571.200421945206</v>
      </c>
      <c r="I31" s="3">
        <f t="shared" si="23"/>
        <v>35563.38921120212</v>
      </c>
      <c r="J31" s="3">
        <f t="shared" si="23"/>
        <v>37673.798860069597</v>
      </c>
      <c r="K31" s="3">
        <f t="shared" si="23"/>
        <v>39909.444854089183</v>
      </c>
      <c r="L31" s="3">
        <f t="shared" si="23"/>
        <v>42277.758993127543</v>
      </c>
    </row>
    <row r="32" spans="1:12" x14ac:dyDescent="0.35">
      <c r="A32" t="s">
        <v>8</v>
      </c>
      <c r="B32" s="320">
        <v>8599.23</v>
      </c>
      <c r="C32" s="320">
        <v>10313.75</v>
      </c>
      <c r="D32" s="320">
        <v>11803.4</v>
      </c>
      <c r="E32" s="320">
        <v>11972.05</v>
      </c>
      <c r="F32" s="320">
        <v>11209.23</v>
      </c>
      <c r="G32" s="320">
        <v>12554.28</v>
      </c>
      <c r="H32" s="3">
        <f t="shared" ref="H32:L32" si="24">G32*(1+H75)</f>
        <v>13290.148919688914</v>
      </c>
      <c r="I32" s="3">
        <f t="shared" si="24"/>
        <v>14069.150784235209</v>
      </c>
      <c r="J32" s="3">
        <f t="shared" si="24"/>
        <v>14893.813830505931</v>
      </c>
      <c r="K32" s="3">
        <f t="shared" si="24"/>
        <v>15766.814487931302</v>
      </c>
      <c r="L32" s="3">
        <f t="shared" si="24"/>
        <v>16690.986064809429</v>
      </c>
    </row>
    <row r="33" spans="1:12" x14ac:dyDescent="0.35">
      <c r="A33" t="s">
        <v>5</v>
      </c>
      <c r="B33" s="320">
        <v>570.66999999999996</v>
      </c>
      <c r="C33" s="320">
        <v>605.1</v>
      </c>
      <c r="D33" s="320">
        <v>627.89</v>
      </c>
      <c r="E33" s="320">
        <v>177.45</v>
      </c>
      <c r="F33" s="320">
        <v>393.3</v>
      </c>
      <c r="G33" s="320">
        <v>614.27</v>
      </c>
      <c r="H33" s="3">
        <f t="shared" ref="H33:L33" si="25">G33*(1+H76)</f>
        <v>632.69809999999995</v>
      </c>
      <c r="I33" s="3">
        <f t="shared" si="25"/>
        <v>651.67904299999998</v>
      </c>
      <c r="J33" s="3">
        <f t="shared" si="25"/>
        <v>671.22941429000002</v>
      </c>
      <c r="K33" s="3">
        <f t="shared" si="25"/>
        <v>691.36629671870003</v>
      </c>
      <c r="L33" s="3">
        <f t="shared" si="25"/>
        <v>712.107285620261</v>
      </c>
    </row>
    <row r="34" spans="1:12" x14ac:dyDescent="0.35">
      <c r="A34" t="s">
        <v>3</v>
      </c>
      <c r="B34" s="320">
        <v>2316.63</v>
      </c>
      <c r="C34" s="320">
        <v>2237.83</v>
      </c>
      <c r="D34" s="320">
        <v>2373.37</v>
      </c>
      <c r="E34" s="320">
        <v>1746.25</v>
      </c>
      <c r="F34" s="320">
        <v>2058.69</v>
      </c>
      <c r="G34" s="320">
        <v>2524.84</v>
      </c>
      <c r="H34" s="3">
        <f t="shared" ref="H34:L34" si="26">G34*(1+H77)</f>
        <v>2600.5852000000004</v>
      </c>
      <c r="I34" s="3">
        <f t="shared" si="26"/>
        <v>2678.6027560000007</v>
      </c>
      <c r="J34" s="3">
        <f t="shared" si="26"/>
        <v>2758.960838680001</v>
      </c>
      <c r="K34" s="3">
        <f t="shared" si="26"/>
        <v>2841.7296638404009</v>
      </c>
      <c r="L34" s="3">
        <f t="shared" si="26"/>
        <v>2926.9815537556128</v>
      </c>
    </row>
    <row r="35" spans="1:12" x14ac:dyDescent="0.35">
      <c r="A35" t="s">
        <v>4</v>
      </c>
      <c r="B35" s="320">
        <v>7436.68</v>
      </c>
      <c r="C35" s="320">
        <v>10434.700000000001</v>
      </c>
      <c r="D35" s="320">
        <v>11042.88</v>
      </c>
      <c r="E35" s="320">
        <v>9954.57</v>
      </c>
      <c r="F35" s="320">
        <v>12975.28</v>
      </c>
      <c r="G35" s="320">
        <v>14381.86</v>
      </c>
      <c r="H35" s="3">
        <f t="shared" ref="H35:L35" si="27">G35*(1+H78)</f>
        <v>15532.408800000001</v>
      </c>
      <c r="I35" s="3">
        <f t="shared" si="27"/>
        <v>16775.001504000003</v>
      </c>
      <c r="J35" s="3">
        <f t="shared" si="27"/>
        <v>18117.001624320004</v>
      </c>
      <c r="K35" s="3">
        <f t="shared" si="27"/>
        <v>19566.361754265607</v>
      </c>
      <c r="L35" s="3">
        <f t="shared" si="27"/>
        <v>21131.670694606855</v>
      </c>
    </row>
    <row r="36" spans="1:12" x14ac:dyDescent="0.35">
      <c r="A36" s="9" t="s">
        <v>2</v>
      </c>
      <c r="B36" s="10">
        <f>SUM(B30:B35)</f>
        <v>93264.76999999999</v>
      </c>
      <c r="C36" s="10">
        <f t="shared" ref="C36:L36" si="28">SUM(C30:C35)</f>
        <v>104720.68000000001</v>
      </c>
      <c r="D36" s="10">
        <f t="shared" si="28"/>
        <v>75381.930000000008</v>
      </c>
      <c r="E36" s="10">
        <f t="shared" si="28"/>
        <v>74277.78</v>
      </c>
      <c r="F36" s="10">
        <f t="shared" si="28"/>
        <v>90170.57</v>
      </c>
      <c r="G36" s="10">
        <f t="shared" si="28"/>
        <v>121268.55</v>
      </c>
      <c r="H36" s="10">
        <f t="shared" si="28"/>
        <v>126590.44038266478</v>
      </c>
      <c r="I36" s="10">
        <f t="shared" si="28"/>
        <v>132197.78956959679</v>
      </c>
      <c r="J36" s="10">
        <f t="shared" si="28"/>
        <v>138108.07683222889</v>
      </c>
      <c r="K36" s="10">
        <f t="shared" si="28"/>
        <v>144339.93586097617</v>
      </c>
      <c r="L36" s="10">
        <f t="shared" si="28"/>
        <v>150913.23450586575</v>
      </c>
    </row>
    <row r="38" spans="1:12" x14ac:dyDescent="0.35">
      <c r="A38" s="366"/>
      <c r="B38" s="366"/>
      <c r="C38" s="366"/>
      <c r="D38" s="366"/>
      <c r="E38" s="366"/>
      <c r="F38" s="366"/>
      <c r="G38" s="366"/>
      <c r="H38" s="366"/>
      <c r="I38" s="366"/>
      <c r="J38" s="366"/>
      <c r="K38" s="366"/>
      <c r="L38" s="366"/>
    </row>
    <row r="39" spans="1:12" x14ac:dyDescent="0.35">
      <c r="A39" s="14"/>
      <c r="B39" s="14">
        <v>2018</v>
      </c>
      <c r="C39" s="14">
        <v>2019</v>
      </c>
      <c r="D39" s="14">
        <v>2020</v>
      </c>
      <c r="E39" s="14">
        <v>2021</v>
      </c>
      <c r="F39" s="14">
        <v>2022</v>
      </c>
      <c r="G39" s="14">
        <v>2023</v>
      </c>
      <c r="H39" s="81">
        <v>2024</v>
      </c>
      <c r="I39" s="81">
        <f>H39+1</f>
        <v>2025</v>
      </c>
      <c r="J39" s="81">
        <f t="shared" ref="J39" si="29">I39+1</f>
        <v>2026</v>
      </c>
      <c r="K39" s="81">
        <f t="shared" ref="K39" si="30">J39+1</f>
        <v>2027</v>
      </c>
      <c r="L39" s="81">
        <f t="shared" ref="L39" si="31">K39+1</f>
        <v>2028</v>
      </c>
    </row>
    <row r="40" spans="1:12" x14ac:dyDescent="0.35">
      <c r="A40" t="s">
        <v>178</v>
      </c>
      <c r="H40" s="4">
        <f>H25</f>
        <v>134151.59809505026</v>
      </c>
      <c r="I40" s="4">
        <f t="shared" ref="I40:L40" si="32">I25</f>
        <v>148412.33626081704</v>
      </c>
      <c r="J40" s="4">
        <f t="shared" si="32"/>
        <v>164198.9513007784</v>
      </c>
      <c r="K40" s="4">
        <f t="shared" si="32"/>
        <v>181675.65356582234</v>
      </c>
      <c r="L40" s="4">
        <f t="shared" si="32"/>
        <v>201024.41809978336</v>
      </c>
    </row>
    <row r="41" spans="1:12" x14ac:dyDescent="0.35">
      <c r="A41" t="s">
        <v>177</v>
      </c>
      <c r="H41" s="4">
        <f>H14</f>
        <v>130361.80518885751</v>
      </c>
      <c r="I41" s="4">
        <f t="shared" ref="I41:L41" si="33">I14</f>
        <v>140152.27390281326</v>
      </c>
      <c r="J41" s="4">
        <f t="shared" si="33"/>
        <v>150694.69095742426</v>
      </c>
      <c r="K41" s="4">
        <f t="shared" si="33"/>
        <v>162048.19559313048</v>
      </c>
      <c r="L41" s="4">
        <f t="shared" si="33"/>
        <v>174276.69497343351</v>
      </c>
    </row>
    <row r="42" spans="1:12" x14ac:dyDescent="0.35">
      <c r="A42" t="s">
        <v>179</v>
      </c>
      <c r="H42" s="4">
        <f>H36</f>
        <v>126590.44038266478</v>
      </c>
      <c r="I42" s="4">
        <f t="shared" ref="I42:L42" si="34">I36</f>
        <v>132197.78956959679</v>
      </c>
      <c r="J42" s="4">
        <f t="shared" si="34"/>
        <v>138108.07683222889</v>
      </c>
      <c r="K42" s="4">
        <f t="shared" si="34"/>
        <v>144339.93586097617</v>
      </c>
      <c r="L42" s="4">
        <f t="shared" si="34"/>
        <v>150913.23450586575</v>
      </c>
    </row>
    <row r="43" spans="1:12" x14ac:dyDescent="0.35">
      <c r="A43" s="369" t="s">
        <v>177</v>
      </c>
      <c r="B43" s="367"/>
      <c r="C43" s="367"/>
      <c r="D43" s="367"/>
      <c r="E43" s="367"/>
      <c r="F43" s="367"/>
      <c r="G43" s="367"/>
      <c r="H43" s="368">
        <f>IF($A43=$A40,H40,IF($A43=$A41,H41,H42))</f>
        <v>130361.80518885751</v>
      </c>
      <c r="I43" s="368">
        <f t="shared" ref="I43:L43" si="35">IF($A43=$A40,I40,IF($A43=$A41,I41,I42))</f>
        <v>140152.27390281326</v>
      </c>
      <c r="J43" s="368">
        <f t="shared" si="35"/>
        <v>150694.69095742426</v>
      </c>
      <c r="K43" s="368">
        <f t="shared" si="35"/>
        <v>162048.19559313048</v>
      </c>
      <c r="L43" s="368">
        <f t="shared" si="35"/>
        <v>174276.69497343351</v>
      </c>
    </row>
    <row r="48" spans="1:12" x14ac:dyDescent="0.35">
      <c r="A48" s="9" t="s">
        <v>402</v>
      </c>
    </row>
    <row r="51" spans="1:14" x14ac:dyDescent="0.35">
      <c r="A51" s="1"/>
      <c r="G51" s="1" t="s">
        <v>7</v>
      </c>
      <c r="H51" t="s">
        <v>177</v>
      </c>
    </row>
    <row r="52" spans="1:14" x14ac:dyDescent="0.35">
      <c r="A52" s="14" t="s">
        <v>0</v>
      </c>
      <c r="B52" s="14">
        <v>2018</v>
      </c>
      <c r="C52" s="14">
        <v>2019</v>
      </c>
      <c r="D52" s="14">
        <v>2020</v>
      </c>
      <c r="E52" s="14">
        <v>2021</v>
      </c>
      <c r="F52" s="14">
        <v>2022</v>
      </c>
      <c r="G52" s="14">
        <v>2023</v>
      </c>
      <c r="H52" s="81">
        <v>2024</v>
      </c>
      <c r="I52" s="81">
        <f>H52+1</f>
        <v>2025</v>
      </c>
      <c r="J52" s="81">
        <f t="shared" ref="J52" si="36">I52+1</f>
        <v>2026</v>
      </c>
      <c r="K52" s="81">
        <f t="shared" ref="K52" si="37">J52+1</f>
        <v>2027</v>
      </c>
      <c r="L52" s="81">
        <f t="shared" ref="L52" si="38">K52+1</f>
        <v>2028</v>
      </c>
      <c r="N52" s="316" t="s">
        <v>403</v>
      </c>
    </row>
    <row r="53" spans="1:14" x14ac:dyDescent="0.35">
      <c r="A53" t="s">
        <v>1</v>
      </c>
      <c r="B53" s="320"/>
      <c r="C53" s="308">
        <f>C8/B8-1</f>
        <v>0.1203515769814103</v>
      </c>
      <c r="D53" s="308">
        <f t="shared" ref="D53:G53" si="39">D8/C8-1</f>
        <v>-0.5144475692328222</v>
      </c>
      <c r="E53" s="308">
        <f t="shared" si="39"/>
        <v>-9.9232676988087243E-2</v>
      </c>
      <c r="F53" s="308">
        <f t="shared" si="39"/>
        <v>0.42121068626566527</v>
      </c>
      <c r="G53" s="308">
        <f t="shared" si="39"/>
        <v>0.62106830382622946</v>
      </c>
      <c r="H53" s="296">
        <f>AVERAGE(H63,H73)</f>
        <v>6.7169342213324934E-2</v>
      </c>
      <c r="I53" s="296">
        <f>H53</f>
        <v>6.7169342213324934E-2</v>
      </c>
      <c r="J53" s="296">
        <f t="shared" ref="J53:L53" si="40">I53</f>
        <v>6.7169342213324934E-2</v>
      </c>
      <c r="K53" s="296">
        <f t="shared" si="40"/>
        <v>6.7169342213324934E-2</v>
      </c>
      <c r="L53" s="296">
        <f t="shared" si="40"/>
        <v>6.7169342213324934E-2</v>
      </c>
      <c r="N53" s="165">
        <f>RATE(5,0,-B8,G8,1)</f>
        <v>2.4548620256170741E-2</v>
      </c>
    </row>
    <row r="54" spans="1:14" x14ac:dyDescent="0.35">
      <c r="A54" t="s">
        <v>6</v>
      </c>
      <c r="B54" s="320"/>
      <c r="C54" s="308">
        <f t="shared" ref="C54:G54" si="41">C9/B9-1</f>
        <v>2.0536750192984066E-2</v>
      </c>
      <c r="D54" s="308">
        <f t="shared" si="41"/>
        <v>-5.5086490332767246E-2</v>
      </c>
      <c r="E54" s="308">
        <f t="shared" si="41"/>
        <v>0.17919248316794478</v>
      </c>
      <c r="F54" s="308">
        <f t="shared" si="41"/>
        <v>9.0565192524153071E-2</v>
      </c>
      <c r="G54" s="308">
        <f t="shared" si="41"/>
        <v>0.18124161796794569</v>
      </c>
      <c r="H54" s="296">
        <f>N54</f>
        <v>7.9342197008678603E-2</v>
      </c>
      <c r="I54" s="296">
        <f>H54</f>
        <v>7.9342197008678603E-2</v>
      </c>
      <c r="J54" s="296">
        <f t="shared" ref="J54:L54" si="42">I54</f>
        <v>7.9342197008678603E-2</v>
      </c>
      <c r="K54" s="296">
        <f t="shared" si="42"/>
        <v>7.9342197008678603E-2</v>
      </c>
      <c r="L54" s="296">
        <f t="shared" si="42"/>
        <v>7.9342197008678603E-2</v>
      </c>
      <c r="N54" s="165">
        <f t="shared" ref="N54:N58" si="43">RATE(5,0,-B9,G9,1)</f>
        <v>7.9342197008678603E-2</v>
      </c>
    </row>
    <row r="55" spans="1:14" x14ac:dyDescent="0.35">
      <c r="A55" t="s">
        <v>8</v>
      </c>
      <c r="B55" s="320"/>
      <c r="C55" s="308">
        <f t="shared" ref="C55:G55" si="44">C10/B10-1</f>
        <v>0.19938064222029195</v>
      </c>
      <c r="D55" s="308">
        <f t="shared" si="44"/>
        <v>0.14443340201187738</v>
      </c>
      <c r="E55" s="308">
        <f t="shared" si="44"/>
        <v>1.4288255926258486E-2</v>
      </c>
      <c r="F55" s="308">
        <f t="shared" si="44"/>
        <v>-6.3716740240810865E-2</v>
      </c>
      <c r="G55" s="308">
        <f t="shared" si="44"/>
        <v>0.11999486137763271</v>
      </c>
      <c r="H55" s="296">
        <f>N55</f>
        <v>7.8614983869159688E-2</v>
      </c>
      <c r="I55" s="296">
        <f>H55</f>
        <v>7.8614983869159688E-2</v>
      </c>
      <c r="J55" s="296">
        <f t="shared" ref="J55:L55" si="45">I55</f>
        <v>7.8614983869159688E-2</v>
      </c>
      <c r="K55" s="296">
        <f t="shared" si="45"/>
        <v>7.8614983869159688E-2</v>
      </c>
      <c r="L55" s="296">
        <f t="shared" si="45"/>
        <v>7.8614983869159688E-2</v>
      </c>
      <c r="N55" s="165">
        <f t="shared" si="43"/>
        <v>7.8614983869159688E-2</v>
      </c>
    </row>
    <row r="56" spans="1:14" x14ac:dyDescent="0.35">
      <c r="A56" t="s">
        <v>5</v>
      </c>
      <c r="B56" s="320"/>
      <c r="C56" s="308">
        <f t="shared" ref="C56:G56" si="46">C11/B11-1</f>
        <v>6.0332591515236622E-2</v>
      </c>
      <c r="D56" s="308">
        <f t="shared" si="46"/>
        <v>3.7663196165922841E-2</v>
      </c>
      <c r="E56" s="308">
        <f t="shared" si="46"/>
        <v>-0.71738680342098138</v>
      </c>
      <c r="F56" s="308">
        <f t="shared" si="46"/>
        <v>1.216398985629755</v>
      </c>
      <c r="G56" s="308">
        <f t="shared" si="46"/>
        <v>0.5618357487922705</v>
      </c>
      <c r="H56" s="365">
        <v>0.05</v>
      </c>
      <c r="I56" s="296">
        <f t="shared" ref="I56:L56" si="47">H56</f>
        <v>0.05</v>
      </c>
      <c r="J56" s="296">
        <f t="shared" si="47"/>
        <v>0.05</v>
      </c>
      <c r="K56" s="296">
        <f t="shared" si="47"/>
        <v>0.05</v>
      </c>
      <c r="L56" s="296">
        <f t="shared" si="47"/>
        <v>0.05</v>
      </c>
      <c r="N56" s="165">
        <f t="shared" si="43"/>
        <v>1.4833634692978949E-2</v>
      </c>
    </row>
    <row r="57" spans="1:14" x14ac:dyDescent="0.35">
      <c r="A57" t="s">
        <v>3</v>
      </c>
      <c r="B57" s="320"/>
      <c r="C57" s="308">
        <f t="shared" ref="C57:G57" si="48">C12/B12-1</f>
        <v>-3.4014926854957439E-2</v>
      </c>
      <c r="D57" s="308">
        <f t="shared" si="48"/>
        <v>6.0567603437258422E-2</v>
      </c>
      <c r="E57" s="308">
        <f t="shared" si="48"/>
        <v>-0.26423187282218952</v>
      </c>
      <c r="F57" s="308">
        <f t="shared" si="48"/>
        <v>0.17892054402290625</v>
      </c>
      <c r="G57" s="308">
        <f t="shared" si="48"/>
        <v>0.22643039991450875</v>
      </c>
      <c r="H57" s="365">
        <v>0.05</v>
      </c>
      <c r="I57" s="296">
        <f t="shared" ref="I57:L57" si="49">H57</f>
        <v>0.05</v>
      </c>
      <c r="J57" s="296">
        <f t="shared" si="49"/>
        <v>0.05</v>
      </c>
      <c r="K57" s="296">
        <f t="shared" si="49"/>
        <v>0.05</v>
      </c>
      <c r="L57" s="296">
        <f t="shared" si="49"/>
        <v>0.05</v>
      </c>
      <c r="N57" s="165">
        <f t="shared" si="43"/>
        <v>1.736182459324891E-2</v>
      </c>
    </row>
    <row r="58" spans="1:14" x14ac:dyDescent="0.35">
      <c r="A58" t="s">
        <v>4</v>
      </c>
      <c r="B58" s="320"/>
      <c r="C58" s="308">
        <f t="shared" ref="C58:G58" si="50">C13/B13-1</f>
        <v>0.40313957303527914</v>
      </c>
      <c r="D58" s="308">
        <f t="shared" si="50"/>
        <v>5.8284378084659583E-2</v>
      </c>
      <c r="E58" s="308">
        <f t="shared" si="50"/>
        <v>-9.8553094844822997E-2</v>
      </c>
      <c r="F58" s="308">
        <f t="shared" si="50"/>
        <v>0.30344957140288331</v>
      </c>
      <c r="G58" s="308">
        <f t="shared" si="50"/>
        <v>0.10840459704915806</v>
      </c>
      <c r="H58" s="365">
        <v>0.1</v>
      </c>
      <c r="I58" s="296">
        <f t="shared" ref="I58:L58" si="51">H58</f>
        <v>0.1</v>
      </c>
      <c r="J58" s="296">
        <f t="shared" si="51"/>
        <v>0.1</v>
      </c>
      <c r="K58" s="296">
        <f t="shared" si="51"/>
        <v>0.1</v>
      </c>
      <c r="L58" s="296">
        <f t="shared" si="51"/>
        <v>0.1</v>
      </c>
      <c r="N58" s="165">
        <f t="shared" si="43"/>
        <v>0.14100406725015105</v>
      </c>
    </row>
    <row r="59" spans="1:14" x14ac:dyDescent="0.35">
      <c r="A59" s="9" t="s">
        <v>2</v>
      </c>
      <c r="B59" s="10"/>
      <c r="C59" s="10"/>
      <c r="D59" s="10"/>
      <c r="E59" s="10"/>
      <c r="F59" s="10"/>
      <c r="G59" s="10"/>
      <c r="H59" s="305"/>
      <c r="I59" s="305"/>
      <c r="J59" s="305"/>
      <c r="K59" s="305"/>
      <c r="L59" s="305"/>
    </row>
    <row r="61" spans="1:14" x14ac:dyDescent="0.35">
      <c r="H61" t="s">
        <v>178</v>
      </c>
    </row>
    <row r="62" spans="1:14" x14ac:dyDescent="0.35">
      <c r="A62" s="14" t="s">
        <v>0</v>
      </c>
      <c r="B62" s="14">
        <v>2018</v>
      </c>
      <c r="C62" s="14">
        <v>2019</v>
      </c>
      <c r="D62" s="14">
        <v>2020</v>
      </c>
      <c r="E62" s="14">
        <v>2021</v>
      </c>
      <c r="F62" s="14">
        <v>2022</v>
      </c>
      <c r="G62" s="14">
        <v>2023</v>
      </c>
      <c r="H62" s="81">
        <v>2024</v>
      </c>
      <c r="I62" s="81">
        <f>H62+1</f>
        <v>2025</v>
      </c>
      <c r="J62" s="81">
        <f t="shared" ref="J62" si="52">I62+1</f>
        <v>2026</v>
      </c>
      <c r="K62" s="81">
        <f t="shared" ref="K62" si="53">J62+1</f>
        <v>2027</v>
      </c>
      <c r="L62" s="81">
        <f t="shared" ref="L62" si="54">K62+1</f>
        <v>2028</v>
      </c>
    </row>
    <row r="63" spans="1:14" x14ac:dyDescent="0.35">
      <c r="A63" t="s">
        <v>1</v>
      </c>
      <c r="B63" s="320"/>
      <c r="C63" s="308"/>
      <c r="D63" s="308"/>
      <c r="E63" s="308"/>
      <c r="F63" s="308"/>
      <c r="G63" s="308"/>
      <c r="H63" s="296">
        <f>AVERAGE(C53:G53)</f>
        <v>0.10979006417047912</v>
      </c>
      <c r="I63" s="324">
        <f>H63</f>
        <v>0.10979006417047912</v>
      </c>
      <c r="J63" s="324">
        <f t="shared" ref="J63:L63" si="55">I63</f>
        <v>0.10979006417047912</v>
      </c>
      <c r="K63" s="324">
        <f t="shared" si="55"/>
        <v>0.10979006417047912</v>
      </c>
      <c r="L63" s="324">
        <f t="shared" si="55"/>
        <v>0.10979006417047912</v>
      </c>
    </row>
    <row r="64" spans="1:14" x14ac:dyDescent="0.35">
      <c r="A64" t="s">
        <v>6</v>
      </c>
      <c r="B64" s="320"/>
      <c r="C64" s="308"/>
      <c r="D64" s="308"/>
      <c r="E64" s="308"/>
      <c r="F64" s="308"/>
      <c r="G64" s="308"/>
      <c r="H64" s="296">
        <f>H54+2%</f>
        <v>9.9342197008678607E-2</v>
      </c>
      <c r="I64" s="296">
        <f>H64</f>
        <v>9.9342197008678607E-2</v>
      </c>
      <c r="J64" s="296">
        <f t="shared" ref="J64:L64" si="56">I64</f>
        <v>9.9342197008678607E-2</v>
      </c>
      <c r="K64" s="296">
        <f t="shared" si="56"/>
        <v>9.9342197008678607E-2</v>
      </c>
      <c r="L64" s="296">
        <f t="shared" si="56"/>
        <v>9.9342197008678607E-2</v>
      </c>
    </row>
    <row r="65" spans="1:12" x14ac:dyDescent="0.35">
      <c r="A65" t="s">
        <v>8</v>
      </c>
      <c r="B65" s="320"/>
      <c r="C65" s="308"/>
      <c r="D65" s="308"/>
      <c r="E65" s="308"/>
      <c r="F65" s="308"/>
      <c r="G65" s="308"/>
      <c r="H65" s="296">
        <f>H55+2%</f>
        <v>9.8614983869159692E-2</v>
      </c>
      <c r="I65" s="296">
        <f t="shared" ref="I65:L65" si="57">I55+2%</f>
        <v>9.8614983869159692E-2</v>
      </c>
      <c r="J65" s="296">
        <f t="shared" si="57"/>
        <v>9.8614983869159692E-2</v>
      </c>
      <c r="K65" s="296">
        <f t="shared" si="57"/>
        <v>9.8614983869159692E-2</v>
      </c>
      <c r="L65" s="296">
        <f t="shared" si="57"/>
        <v>9.8614983869159692E-2</v>
      </c>
    </row>
    <row r="66" spans="1:12" x14ac:dyDescent="0.35">
      <c r="A66" t="s">
        <v>5</v>
      </c>
      <c r="B66" s="320"/>
      <c r="C66" s="308"/>
      <c r="D66" s="308"/>
      <c r="E66" s="308"/>
      <c r="F66" s="308"/>
      <c r="G66" s="308"/>
      <c r="H66" s="296">
        <v>0.1</v>
      </c>
      <c r="I66" s="296">
        <f>H66</f>
        <v>0.1</v>
      </c>
      <c r="J66" s="296">
        <f t="shared" ref="J66:L66" si="58">I66</f>
        <v>0.1</v>
      </c>
      <c r="K66" s="296">
        <f t="shared" si="58"/>
        <v>0.1</v>
      </c>
      <c r="L66" s="296">
        <f t="shared" si="58"/>
        <v>0.1</v>
      </c>
    </row>
    <row r="67" spans="1:12" x14ac:dyDescent="0.35">
      <c r="A67" t="s">
        <v>3</v>
      </c>
      <c r="B67" s="320"/>
      <c r="C67" s="308"/>
      <c r="D67" s="308"/>
      <c r="E67" s="308"/>
      <c r="F67" s="308"/>
      <c r="G67" s="308"/>
      <c r="H67" s="296">
        <f t="shared" ref="H67:L67" si="59">H57+2%</f>
        <v>7.0000000000000007E-2</v>
      </c>
      <c r="I67" s="296">
        <f t="shared" si="59"/>
        <v>7.0000000000000007E-2</v>
      </c>
      <c r="J67" s="296">
        <f t="shared" si="59"/>
        <v>7.0000000000000007E-2</v>
      </c>
      <c r="K67" s="296">
        <f t="shared" si="59"/>
        <v>7.0000000000000007E-2</v>
      </c>
      <c r="L67" s="296">
        <f t="shared" si="59"/>
        <v>7.0000000000000007E-2</v>
      </c>
    </row>
    <row r="68" spans="1:12" x14ac:dyDescent="0.35">
      <c r="A68" t="s">
        <v>4</v>
      </c>
      <c r="B68" s="320"/>
      <c r="C68" s="308"/>
      <c r="D68" s="308"/>
      <c r="E68" s="308"/>
      <c r="F68" s="308"/>
      <c r="G68" s="308"/>
      <c r="H68" s="296">
        <f t="shared" ref="H68:L68" si="60">H58+2%</f>
        <v>0.12000000000000001</v>
      </c>
      <c r="I68" s="296">
        <f t="shared" si="60"/>
        <v>0.12000000000000001</v>
      </c>
      <c r="J68" s="296">
        <f t="shared" si="60"/>
        <v>0.12000000000000001</v>
      </c>
      <c r="K68" s="296">
        <f t="shared" si="60"/>
        <v>0.12000000000000001</v>
      </c>
      <c r="L68" s="296">
        <f t="shared" si="60"/>
        <v>0.12000000000000001</v>
      </c>
    </row>
    <row r="69" spans="1:12" x14ac:dyDescent="0.35">
      <c r="A69" s="9" t="s">
        <v>2</v>
      </c>
      <c r="B69" s="10"/>
      <c r="C69" s="10"/>
      <c r="D69" s="10"/>
      <c r="E69" s="10"/>
      <c r="F69" s="10"/>
      <c r="G69" s="10"/>
      <c r="H69" s="296"/>
      <c r="I69" s="296"/>
      <c r="J69" s="296"/>
      <c r="K69" s="296"/>
      <c r="L69" s="296"/>
    </row>
    <row r="71" spans="1:12" x14ac:dyDescent="0.35">
      <c r="H71" t="s">
        <v>179</v>
      </c>
    </row>
    <row r="72" spans="1:12" x14ac:dyDescent="0.35">
      <c r="A72" s="14" t="s">
        <v>0</v>
      </c>
      <c r="B72" s="14">
        <v>2018</v>
      </c>
      <c r="C72" s="14">
        <v>2019</v>
      </c>
      <c r="D72" s="14">
        <v>2020</v>
      </c>
      <c r="E72" s="14">
        <v>2021</v>
      </c>
      <c r="F72" s="14">
        <v>2022</v>
      </c>
      <c r="G72" s="14">
        <v>2023</v>
      </c>
      <c r="H72" s="81">
        <v>2024</v>
      </c>
      <c r="I72" s="81">
        <f>H72+1</f>
        <v>2025</v>
      </c>
      <c r="J72" s="81">
        <f t="shared" ref="J72" si="61">I72+1</f>
        <v>2026</v>
      </c>
      <c r="K72" s="81">
        <f t="shared" ref="K72" si="62">J72+1</f>
        <v>2027</v>
      </c>
      <c r="L72" s="81">
        <f t="shared" ref="L72" si="63">K72+1</f>
        <v>2028</v>
      </c>
    </row>
    <row r="73" spans="1:12" x14ac:dyDescent="0.35">
      <c r="A73" t="s">
        <v>1</v>
      </c>
      <c r="B73" s="320"/>
      <c r="C73" s="308"/>
      <c r="D73" s="308"/>
      <c r="E73" s="308"/>
      <c r="F73" s="308"/>
      <c r="G73" s="308"/>
      <c r="H73" s="296">
        <f>N53</f>
        <v>2.4548620256170741E-2</v>
      </c>
      <c r="I73" s="296">
        <f>H73</f>
        <v>2.4548620256170741E-2</v>
      </c>
      <c r="J73" s="296">
        <f t="shared" ref="J73:L73" si="64">I73</f>
        <v>2.4548620256170741E-2</v>
      </c>
      <c r="K73" s="296">
        <f t="shared" si="64"/>
        <v>2.4548620256170741E-2</v>
      </c>
      <c r="L73" s="296">
        <f t="shared" si="64"/>
        <v>2.4548620256170741E-2</v>
      </c>
    </row>
    <row r="74" spans="1:12" x14ac:dyDescent="0.35">
      <c r="A74" t="s">
        <v>6</v>
      </c>
      <c r="B74" s="320"/>
      <c r="C74" s="308"/>
      <c r="D74" s="308"/>
      <c r="E74" s="308"/>
      <c r="F74" s="308"/>
      <c r="G74" s="308"/>
      <c r="H74" s="296">
        <f>H54-2%</f>
        <v>5.9342197008678599E-2</v>
      </c>
      <c r="I74" s="296">
        <f>H74</f>
        <v>5.9342197008678599E-2</v>
      </c>
      <c r="J74" s="296">
        <f t="shared" ref="J74:L74" si="65">I74</f>
        <v>5.9342197008678599E-2</v>
      </c>
      <c r="K74" s="296">
        <f t="shared" si="65"/>
        <v>5.9342197008678599E-2</v>
      </c>
      <c r="L74" s="296">
        <f t="shared" si="65"/>
        <v>5.9342197008678599E-2</v>
      </c>
    </row>
    <row r="75" spans="1:12" x14ac:dyDescent="0.35">
      <c r="A75" t="s">
        <v>8</v>
      </c>
      <c r="B75" s="320"/>
      <c r="C75" s="308"/>
      <c r="D75" s="308"/>
      <c r="E75" s="308"/>
      <c r="F75" s="308"/>
      <c r="G75" s="308"/>
      <c r="H75" s="296">
        <f t="shared" ref="H75:H78" si="66">H55-2%</f>
        <v>5.8614983869159684E-2</v>
      </c>
      <c r="I75" s="296">
        <f t="shared" ref="I75:L75" si="67">H75</f>
        <v>5.8614983869159684E-2</v>
      </c>
      <c r="J75" s="296">
        <f t="shared" si="67"/>
        <v>5.8614983869159684E-2</v>
      </c>
      <c r="K75" s="296">
        <f t="shared" si="67"/>
        <v>5.8614983869159684E-2</v>
      </c>
      <c r="L75" s="296">
        <f t="shared" si="67"/>
        <v>5.8614983869159684E-2</v>
      </c>
    </row>
    <row r="76" spans="1:12" x14ac:dyDescent="0.35">
      <c r="A76" t="s">
        <v>5</v>
      </c>
      <c r="B76" s="320"/>
      <c r="C76" s="308"/>
      <c r="D76" s="308"/>
      <c r="E76" s="308"/>
      <c r="F76" s="308"/>
      <c r="G76" s="308"/>
      <c r="H76" s="296">
        <f t="shared" si="66"/>
        <v>3.0000000000000002E-2</v>
      </c>
      <c r="I76" s="296">
        <f t="shared" ref="I76:L76" si="68">H76</f>
        <v>3.0000000000000002E-2</v>
      </c>
      <c r="J76" s="296">
        <f t="shared" si="68"/>
        <v>3.0000000000000002E-2</v>
      </c>
      <c r="K76" s="296">
        <f t="shared" si="68"/>
        <v>3.0000000000000002E-2</v>
      </c>
      <c r="L76" s="296">
        <f t="shared" si="68"/>
        <v>3.0000000000000002E-2</v>
      </c>
    </row>
    <row r="77" spans="1:12" x14ac:dyDescent="0.35">
      <c r="A77" t="s">
        <v>3</v>
      </c>
      <c r="B77" s="320"/>
      <c r="C77" s="308"/>
      <c r="D77" s="308"/>
      <c r="E77" s="308"/>
      <c r="F77" s="308"/>
      <c r="G77" s="308"/>
      <c r="H77" s="296">
        <f t="shared" si="66"/>
        <v>3.0000000000000002E-2</v>
      </c>
      <c r="I77" s="296">
        <f t="shared" ref="I77:L78" si="69">H77</f>
        <v>3.0000000000000002E-2</v>
      </c>
      <c r="J77" s="296">
        <f t="shared" si="69"/>
        <v>3.0000000000000002E-2</v>
      </c>
      <c r="K77" s="296">
        <f t="shared" si="69"/>
        <v>3.0000000000000002E-2</v>
      </c>
      <c r="L77" s="296">
        <f t="shared" si="69"/>
        <v>3.0000000000000002E-2</v>
      </c>
    </row>
    <row r="78" spans="1:12" x14ac:dyDescent="0.35">
      <c r="A78" t="s">
        <v>4</v>
      </c>
      <c r="B78" s="320"/>
      <c r="C78" s="308"/>
      <c r="D78" s="308"/>
      <c r="E78" s="308"/>
      <c r="F78" s="308"/>
      <c r="G78" s="308"/>
      <c r="H78" s="296">
        <f t="shared" si="66"/>
        <v>0.08</v>
      </c>
      <c r="I78" s="296">
        <f t="shared" si="69"/>
        <v>0.08</v>
      </c>
      <c r="J78" s="296">
        <f t="shared" si="69"/>
        <v>0.08</v>
      </c>
      <c r="K78" s="296">
        <f t="shared" si="69"/>
        <v>0.08</v>
      </c>
      <c r="L78" s="296">
        <f t="shared" si="69"/>
        <v>0.08</v>
      </c>
    </row>
    <row r="79" spans="1:12" x14ac:dyDescent="0.35">
      <c r="A79" s="9" t="s">
        <v>2</v>
      </c>
      <c r="B79" s="10"/>
      <c r="C79" s="10"/>
      <c r="D79" s="10"/>
      <c r="E79" s="10"/>
      <c r="F79" s="10"/>
      <c r="G79" s="10"/>
      <c r="H79" s="305"/>
      <c r="I79" s="305"/>
      <c r="J79" s="305"/>
      <c r="K79" s="305"/>
      <c r="L79" s="305"/>
    </row>
    <row r="80" spans="1:12" x14ac:dyDescent="0.35">
      <c r="H80" s="296"/>
      <c r="I80" s="296"/>
      <c r="J80" s="296"/>
      <c r="K80" s="296"/>
      <c r="L80" s="296"/>
    </row>
  </sheetData>
  <dataValidations count="1">
    <dataValidation type="list" allowBlank="1" showInputMessage="1" showErrorMessage="1" sqref="A43" xr:uid="{593A0308-D889-4203-A8BE-8E2FE0C69DD5}">
      <formula1>$A$40:$A$42</formula1>
    </dataValidation>
  </dataValidation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89BE-1DA4-49B0-9CC2-5DEA1A83A278}">
  <dimension ref="A5:M65"/>
  <sheetViews>
    <sheetView zoomScale="90" zoomScaleNormal="90" workbookViewId="0">
      <pane xSplit="2" ySplit="5" topLeftCell="C52" activePane="bottomRight" state="frozen"/>
      <selection pane="topRight" activeCell="C1" sqref="C1"/>
      <selection pane="bottomLeft" activeCell="A6" sqref="A6"/>
      <selection pane="bottomRight" activeCell="C8" sqref="C8"/>
    </sheetView>
  </sheetViews>
  <sheetFormatPr defaultRowHeight="14.5" x14ac:dyDescent="0.35"/>
  <cols>
    <col min="1" max="1" width="31.90625" customWidth="1"/>
    <col min="2" max="2" width="6.453125" customWidth="1"/>
    <col min="3" max="3" width="11.36328125" bestFit="1" customWidth="1"/>
    <col min="4" max="7" width="10.90625" bestFit="1" customWidth="1"/>
  </cols>
  <sheetData>
    <row r="5" spans="1:13" x14ac:dyDescent="0.35">
      <c r="C5" s="9">
        <v>2019</v>
      </c>
      <c r="D5" s="9">
        <v>2020</v>
      </c>
      <c r="E5" s="9">
        <v>2021</v>
      </c>
      <c r="F5" s="9">
        <v>2022</v>
      </c>
      <c r="G5" s="9">
        <v>2023</v>
      </c>
      <c r="M5">
        <v>2019</v>
      </c>
    </row>
    <row r="6" spans="1:13" x14ac:dyDescent="0.35">
      <c r="A6" t="s">
        <v>16</v>
      </c>
    </row>
    <row r="7" spans="1:13" x14ac:dyDescent="0.35">
      <c r="A7" s="339" t="s">
        <v>17</v>
      </c>
    </row>
    <row r="8" spans="1:13" x14ac:dyDescent="0.35">
      <c r="A8" s="474" t="s">
        <v>18</v>
      </c>
      <c r="B8">
        <v>4</v>
      </c>
      <c r="C8" s="13">
        <v>22227.17</v>
      </c>
      <c r="D8" s="3">
        <v>24417.18</v>
      </c>
      <c r="E8" s="3">
        <v>17611.650000000001</v>
      </c>
      <c r="F8" s="3">
        <v>21902.26</v>
      </c>
      <c r="G8" s="3">
        <v>20351.330000000002</v>
      </c>
    </row>
    <row r="9" spans="1:13" x14ac:dyDescent="0.35">
      <c r="A9" s="474" t="s">
        <v>19</v>
      </c>
      <c r="B9">
        <v>5</v>
      </c>
      <c r="C9" s="13">
        <v>2454.34</v>
      </c>
      <c r="D9" s="3">
        <v>2551.75</v>
      </c>
      <c r="E9" s="3">
        <v>4477.6400000000003</v>
      </c>
      <c r="F9" s="3">
        <v>3036.1</v>
      </c>
      <c r="G9" s="3">
        <v>1222.6600000000001</v>
      </c>
    </row>
    <row r="10" spans="1:13" x14ac:dyDescent="0.35">
      <c r="A10" s="474" t="s">
        <v>14</v>
      </c>
      <c r="B10">
        <v>6</v>
      </c>
      <c r="C10" s="13">
        <v>2073.6</v>
      </c>
      <c r="D10" s="3">
        <v>1512.31</v>
      </c>
      <c r="E10" s="3">
        <v>1304.9000000000001</v>
      </c>
      <c r="F10" s="3">
        <v>1340.4</v>
      </c>
      <c r="G10" s="3">
        <v>2548.9</v>
      </c>
    </row>
    <row r="11" spans="1:13" x14ac:dyDescent="0.35">
      <c r="A11" s="474" t="s">
        <v>20</v>
      </c>
      <c r="B11">
        <v>7</v>
      </c>
      <c r="C11" s="13">
        <v>4681.97</v>
      </c>
      <c r="D11" s="3">
        <v>3759.78</v>
      </c>
      <c r="E11" s="3">
        <v>2463.13</v>
      </c>
      <c r="F11" s="3">
        <v>2775.83</v>
      </c>
      <c r="G11" s="3">
        <v>4239.75</v>
      </c>
    </row>
    <row r="12" spans="1:13" ht="29" x14ac:dyDescent="0.35">
      <c r="A12" s="474" t="s">
        <v>21</v>
      </c>
      <c r="B12">
        <v>8</v>
      </c>
      <c r="C12" s="13">
        <v>2305.5</v>
      </c>
      <c r="D12" s="3">
        <v>4304.7299999999996</v>
      </c>
      <c r="E12" s="3">
        <v>3394.97</v>
      </c>
      <c r="F12" s="3">
        <v>3666.71</v>
      </c>
      <c r="G12" s="3">
        <v>2745.92</v>
      </c>
    </row>
    <row r="13" spans="1:13" ht="29" x14ac:dyDescent="0.35">
      <c r="A13" s="474" t="s">
        <v>22</v>
      </c>
      <c r="B13">
        <v>9</v>
      </c>
      <c r="C13" s="13">
        <v>10790.94</v>
      </c>
      <c r="D13" s="3">
        <v>11229.4</v>
      </c>
      <c r="E13" s="3">
        <v>12256.22</v>
      </c>
      <c r="F13" s="3">
        <v>13149.7</v>
      </c>
      <c r="G13" s="3">
        <v>14380.57</v>
      </c>
    </row>
    <row r="14" spans="1:13" x14ac:dyDescent="0.35">
      <c r="A14" s="7" t="s">
        <v>23</v>
      </c>
      <c r="C14" s="13"/>
      <c r="D14" s="3"/>
      <c r="E14" s="3"/>
      <c r="F14" s="3"/>
      <c r="G14" s="3"/>
    </row>
    <row r="15" spans="1:13" x14ac:dyDescent="0.35">
      <c r="A15" s="475" t="s">
        <v>24</v>
      </c>
      <c r="B15">
        <v>9</v>
      </c>
      <c r="C15" s="13">
        <v>1369.94</v>
      </c>
      <c r="D15" s="3">
        <v>1685.38</v>
      </c>
      <c r="E15" s="3">
        <v>6489.62</v>
      </c>
      <c r="F15" s="3">
        <v>6060.85</v>
      </c>
      <c r="G15" s="3">
        <v>6625.93</v>
      </c>
    </row>
    <row r="16" spans="1:13" x14ac:dyDescent="0.35">
      <c r="A16" s="475" t="s">
        <v>25</v>
      </c>
      <c r="B16">
        <v>10</v>
      </c>
      <c r="C16" s="13">
        <v>614.52</v>
      </c>
      <c r="D16" s="3">
        <v>556.19000000000005</v>
      </c>
      <c r="E16" s="3">
        <v>366.16</v>
      </c>
      <c r="F16" s="3">
        <v>309.43</v>
      </c>
      <c r="G16" s="3">
        <v>282.60000000000002</v>
      </c>
    </row>
    <row r="17" spans="1:7" x14ac:dyDescent="0.35">
      <c r="A17" s="475" t="s">
        <v>26</v>
      </c>
      <c r="B17">
        <v>11</v>
      </c>
      <c r="C17" s="13">
        <v>40515</v>
      </c>
      <c r="D17" s="3">
        <v>45945.23</v>
      </c>
      <c r="E17" s="3">
        <v>38525.68</v>
      </c>
      <c r="F17" s="3">
        <v>38849.4</v>
      </c>
      <c r="G17" s="3">
        <v>52772.75</v>
      </c>
    </row>
    <row r="18" spans="1:7" x14ac:dyDescent="0.35">
      <c r="A18" s="475" t="s">
        <v>27</v>
      </c>
      <c r="B18">
        <v>12</v>
      </c>
      <c r="C18" s="13">
        <v>828.97</v>
      </c>
      <c r="D18" s="3">
        <v>1187.72</v>
      </c>
      <c r="E18" s="3">
        <v>1497.38</v>
      </c>
      <c r="F18" s="3">
        <v>2206.65</v>
      </c>
      <c r="G18" s="3">
        <v>3353.97</v>
      </c>
    </row>
    <row r="19" spans="1:7" x14ac:dyDescent="0.35">
      <c r="A19" s="474" t="s">
        <v>28</v>
      </c>
      <c r="B19">
        <v>13</v>
      </c>
      <c r="C19" s="13">
        <v>1502.91</v>
      </c>
      <c r="D19" s="3">
        <v>1290.53</v>
      </c>
      <c r="E19" s="3">
        <v>1717.32</v>
      </c>
      <c r="F19" s="3">
        <v>1724.31</v>
      </c>
      <c r="G19" s="3">
        <v>1615.46</v>
      </c>
    </row>
    <row r="20" spans="1:7" x14ac:dyDescent="0.35">
      <c r="A20" s="474" t="s">
        <v>29</v>
      </c>
      <c r="C20" s="13">
        <v>1797.02</v>
      </c>
      <c r="D20" s="3">
        <v>1897.98</v>
      </c>
      <c r="E20" s="3">
        <v>1887.47</v>
      </c>
      <c r="F20" s="3">
        <v>1604.24</v>
      </c>
      <c r="G20" s="3">
        <v>1802.88</v>
      </c>
    </row>
    <row r="21" spans="1:7" x14ac:dyDescent="0.35">
      <c r="A21" s="474" t="s">
        <v>30</v>
      </c>
      <c r="B21">
        <v>14</v>
      </c>
      <c r="C21" s="13">
        <v>2823.65</v>
      </c>
      <c r="D21" s="3">
        <v>2623.05</v>
      </c>
      <c r="E21" s="3">
        <v>2332.44</v>
      </c>
      <c r="F21" s="3">
        <v>2338.92</v>
      </c>
      <c r="G21" s="3">
        <v>2623.61</v>
      </c>
    </row>
    <row r="22" spans="1:7" x14ac:dyDescent="0.35">
      <c r="A22" s="5" t="s">
        <v>31</v>
      </c>
      <c r="C22" s="12">
        <f>SUM(C8:C21)</f>
        <v>93985.530000000013</v>
      </c>
      <c r="D22" s="3">
        <v>102961.23</v>
      </c>
      <c r="E22" s="3">
        <v>94324.58</v>
      </c>
      <c r="F22" s="3">
        <v>98964.800000000003</v>
      </c>
      <c r="G22" s="3">
        <v>114566.33</v>
      </c>
    </row>
    <row r="23" spans="1:7" x14ac:dyDescent="0.35">
      <c r="A23" s="6" t="s">
        <v>32</v>
      </c>
      <c r="C23" s="3"/>
      <c r="D23" s="3"/>
      <c r="E23" s="3"/>
      <c r="F23" s="3"/>
      <c r="G23" s="3"/>
    </row>
    <row r="24" spans="1:7" x14ac:dyDescent="0.35">
      <c r="A24" s="474" t="s">
        <v>11</v>
      </c>
      <c r="B24">
        <v>15</v>
      </c>
      <c r="C24" s="3">
        <v>12200.16</v>
      </c>
      <c r="D24" s="3">
        <v>11111.86</v>
      </c>
      <c r="E24" s="3">
        <v>9615.41</v>
      </c>
      <c r="F24" s="3">
        <v>11595.82</v>
      </c>
      <c r="G24" s="3">
        <v>16854.97</v>
      </c>
    </row>
    <row r="25" spans="1:7" x14ac:dyDescent="0.35">
      <c r="A25" s="7" t="s">
        <v>23</v>
      </c>
      <c r="C25" s="3"/>
      <c r="D25" s="3"/>
      <c r="E25" s="3"/>
      <c r="F25" s="3"/>
      <c r="G25" s="3"/>
    </row>
    <row r="26" spans="1:7" x14ac:dyDescent="0.35">
      <c r="A26" s="475" t="s">
        <v>24</v>
      </c>
      <c r="B26">
        <v>9</v>
      </c>
      <c r="C26" s="3">
        <v>6107.22</v>
      </c>
      <c r="D26" s="3">
        <v>6295.56</v>
      </c>
      <c r="E26" s="3">
        <v>10031.82</v>
      </c>
      <c r="F26" s="3">
        <v>10849.88</v>
      </c>
      <c r="G26" s="3">
        <v>14265.92</v>
      </c>
    </row>
    <row r="27" spans="1:7" x14ac:dyDescent="0.35">
      <c r="A27" s="475" t="s">
        <v>25</v>
      </c>
      <c r="B27">
        <v>10</v>
      </c>
      <c r="C27" s="3">
        <v>9290.51</v>
      </c>
      <c r="D27" s="3">
        <v>6928.28</v>
      </c>
      <c r="E27" s="3">
        <v>6007.76</v>
      </c>
      <c r="F27" s="3">
        <v>6373.95</v>
      </c>
      <c r="G27" s="3">
        <v>7028.02</v>
      </c>
    </row>
    <row r="28" spans="1:7" x14ac:dyDescent="0.35">
      <c r="A28" s="475" t="s">
        <v>33</v>
      </c>
      <c r="B28">
        <v>16</v>
      </c>
      <c r="C28" s="3">
        <v>6139</v>
      </c>
      <c r="D28" s="3">
        <v>4745.03</v>
      </c>
      <c r="E28" s="3">
        <v>3374.59</v>
      </c>
      <c r="F28" s="3">
        <v>3487.59</v>
      </c>
      <c r="G28" s="3">
        <v>3493.41</v>
      </c>
    </row>
    <row r="29" spans="1:7" ht="29" x14ac:dyDescent="0.35">
      <c r="A29" s="475" t="s">
        <v>34</v>
      </c>
      <c r="B29">
        <v>16</v>
      </c>
      <c r="C29" s="3">
        <v>2595.91</v>
      </c>
      <c r="D29" s="3">
        <v>3165.87</v>
      </c>
      <c r="E29" s="3">
        <v>9477.4</v>
      </c>
      <c r="F29" s="3">
        <v>7630.02</v>
      </c>
      <c r="G29" s="3">
        <v>7780.02</v>
      </c>
    </row>
    <row r="30" spans="1:7" x14ac:dyDescent="0.35">
      <c r="A30" s="475" t="s">
        <v>35</v>
      </c>
      <c r="B30">
        <v>11</v>
      </c>
      <c r="C30" s="3">
        <v>28622.06</v>
      </c>
      <c r="D30" s="3">
        <v>27963.68</v>
      </c>
      <c r="E30" s="3">
        <v>29119.55</v>
      </c>
      <c r="F30" s="3">
        <v>29242.26</v>
      </c>
      <c r="G30" s="3">
        <v>34684.81</v>
      </c>
    </row>
    <row r="31" spans="1:7" x14ac:dyDescent="0.35">
      <c r="A31" s="473" t="s">
        <v>36</v>
      </c>
      <c r="B31">
        <v>12</v>
      </c>
      <c r="C31" s="3">
        <v>891.44</v>
      </c>
      <c r="D31" s="3">
        <v>1177.3599999999999</v>
      </c>
      <c r="E31" s="3">
        <v>1431.4</v>
      </c>
      <c r="F31" s="3">
        <v>1998.95</v>
      </c>
      <c r="G31" s="3">
        <v>1951.7</v>
      </c>
    </row>
    <row r="32" spans="1:7" x14ac:dyDescent="0.35">
      <c r="A32" s="7" t="s">
        <v>37</v>
      </c>
      <c r="B32">
        <v>14</v>
      </c>
      <c r="C32" s="3">
        <v>3559.74</v>
      </c>
      <c r="D32" s="3">
        <v>2561.29</v>
      </c>
      <c r="E32" s="3">
        <v>3079.98</v>
      </c>
      <c r="F32" s="3">
        <v>3969.53</v>
      </c>
      <c r="G32" s="3">
        <v>5209.99</v>
      </c>
    </row>
    <row r="33" spans="1:7" x14ac:dyDescent="0.35">
      <c r="A33" s="7" t="s">
        <v>38</v>
      </c>
      <c r="C33" s="3"/>
      <c r="D33" s="3">
        <v>96.5</v>
      </c>
      <c r="E33" s="3">
        <v>0</v>
      </c>
      <c r="F33" s="3">
        <v>0</v>
      </c>
      <c r="G33" s="3">
        <v>56.6</v>
      </c>
    </row>
    <row r="34" spans="1:7" x14ac:dyDescent="0.35">
      <c r="A34" s="5" t="s">
        <v>31</v>
      </c>
      <c r="C34" s="3">
        <f>SUM(C24:C33)</f>
        <v>69406.040000000008</v>
      </c>
      <c r="D34" s="3">
        <f>SUM(D24:D33)</f>
        <v>64045.43</v>
      </c>
      <c r="E34" s="3">
        <f>SUM(E24:E33)</f>
        <v>72137.909999999989</v>
      </c>
      <c r="F34" s="3">
        <v>75148</v>
      </c>
      <c r="G34" s="3">
        <v>91325.440000000002</v>
      </c>
    </row>
    <row r="35" spans="1:7" x14ac:dyDescent="0.35">
      <c r="A35" s="8" t="s">
        <v>39</v>
      </c>
      <c r="B35" s="9"/>
      <c r="C35" s="10">
        <f>C22+C34</f>
        <v>163391.57</v>
      </c>
      <c r="D35" s="10">
        <f>D22+D34</f>
        <v>167006.66</v>
      </c>
      <c r="E35" s="10">
        <f>E22+E34</f>
        <v>166462.49</v>
      </c>
      <c r="F35" s="10">
        <v>174112.8</v>
      </c>
      <c r="G35" s="10">
        <v>205891.77</v>
      </c>
    </row>
    <row r="36" spans="1:7" x14ac:dyDescent="0.35">
      <c r="A36" s="8" t="s">
        <v>40</v>
      </c>
      <c r="C36" s="3"/>
      <c r="D36" s="3"/>
      <c r="E36" s="3"/>
      <c r="F36" s="3"/>
      <c r="G36" s="3"/>
    </row>
    <row r="37" spans="1:7" x14ac:dyDescent="0.35">
      <c r="A37" s="6" t="s">
        <v>9</v>
      </c>
      <c r="C37" s="3"/>
      <c r="D37" s="3"/>
      <c r="E37" s="3"/>
      <c r="F37" s="3"/>
      <c r="G37" s="3"/>
    </row>
    <row r="38" spans="1:7" x14ac:dyDescent="0.35">
      <c r="A38" s="474" t="s">
        <v>41</v>
      </c>
      <c r="B38">
        <v>17</v>
      </c>
      <c r="C38" s="3">
        <v>543.96</v>
      </c>
      <c r="D38" s="3">
        <v>554.28</v>
      </c>
      <c r="E38" s="3">
        <v>555.15</v>
      </c>
      <c r="F38" s="3">
        <v>556.05999999999995</v>
      </c>
      <c r="G38" s="3">
        <v>556.82000000000005</v>
      </c>
    </row>
    <row r="39" spans="1:7" x14ac:dyDescent="0.35">
      <c r="A39" s="474" t="s">
        <v>42</v>
      </c>
      <c r="C39" s="3">
        <v>39439.449999999997</v>
      </c>
      <c r="D39" s="3">
        <v>39415.03</v>
      </c>
      <c r="E39" s="3">
        <v>41026.769999999997</v>
      </c>
      <c r="F39" s="3">
        <v>46566.58</v>
      </c>
      <c r="G39" s="3">
        <v>55808.97</v>
      </c>
    </row>
    <row r="40" spans="1:7" ht="29" x14ac:dyDescent="0.35">
      <c r="A40" s="474" t="s">
        <v>43</v>
      </c>
      <c r="C40" s="3">
        <f>C38+C39</f>
        <v>39983.409999999996</v>
      </c>
      <c r="D40" s="3">
        <v>39969.31</v>
      </c>
      <c r="E40" s="3">
        <v>41581.919999999998</v>
      </c>
      <c r="F40" s="3">
        <v>47122.64</v>
      </c>
      <c r="G40" s="3">
        <v>56365.79</v>
      </c>
    </row>
    <row r="41" spans="1:7" x14ac:dyDescent="0.35">
      <c r="A41" s="474" t="s">
        <v>44</v>
      </c>
      <c r="C41" s="3">
        <v>8360.57</v>
      </c>
      <c r="D41" s="3">
        <v>7691.74</v>
      </c>
      <c r="E41" s="3">
        <v>9070.31</v>
      </c>
      <c r="F41" s="3">
        <v>9702.6200000000008</v>
      </c>
      <c r="G41" s="3">
        <v>10716.32</v>
      </c>
    </row>
    <row r="42" spans="1:7" x14ac:dyDescent="0.35">
      <c r="A42" s="6" t="s">
        <v>31</v>
      </c>
      <c r="C42" s="3">
        <f>SUM(C40:C41)</f>
        <v>48343.979999999996</v>
      </c>
      <c r="D42" s="3">
        <v>47661.05</v>
      </c>
      <c r="E42" s="3">
        <v>50652.23</v>
      </c>
      <c r="F42" s="3">
        <v>56825.26</v>
      </c>
      <c r="G42" s="3">
        <v>67082.11</v>
      </c>
    </row>
    <row r="43" spans="1:7" x14ac:dyDescent="0.35">
      <c r="A43" s="11" t="s">
        <v>10</v>
      </c>
      <c r="C43" s="3"/>
      <c r="D43" s="3"/>
      <c r="E43" s="3"/>
      <c r="F43" s="3"/>
      <c r="G43" s="3"/>
    </row>
    <row r="44" spans="1:7" x14ac:dyDescent="0.35">
      <c r="A44" s="6" t="s">
        <v>45</v>
      </c>
      <c r="C44" s="3"/>
      <c r="D44" s="3"/>
      <c r="E44" s="3"/>
      <c r="F44" s="3"/>
      <c r="G44" s="3"/>
    </row>
    <row r="45" spans="1:7" x14ac:dyDescent="0.35">
      <c r="A45" s="7" t="s">
        <v>46</v>
      </c>
      <c r="C45" s="3"/>
      <c r="D45" s="3"/>
      <c r="E45" s="3"/>
      <c r="F45" s="3"/>
      <c r="G45" s="3"/>
    </row>
    <row r="46" spans="1:7" x14ac:dyDescent="0.35">
      <c r="A46" s="475" t="s">
        <v>47</v>
      </c>
      <c r="B46">
        <v>19</v>
      </c>
      <c r="C46" s="3">
        <v>43526.17</v>
      </c>
      <c r="D46" s="3">
        <v>52298.05</v>
      </c>
      <c r="E46" s="3">
        <v>54906.559999999998</v>
      </c>
      <c r="F46" s="3">
        <v>48625.06</v>
      </c>
      <c r="G46" s="3">
        <v>55027.39</v>
      </c>
    </row>
    <row r="47" spans="1:7" x14ac:dyDescent="0.35">
      <c r="A47" s="475" t="s">
        <v>48</v>
      </c>
      <c r="C47" s="3"/>
      <c r="D47" s="3"/>
      <c r="E47" s="3"/>
      <c r="F47" s="3">
        <v>2432.5500000000002</v>
      </c>
      <c r="G47" s="3">
        <v>2882.5</v>
      </c>
    </row>
    <row r="48" spans="1:7" x14ac:dyDescent="0.35">
      <c r="A48" s="475" t="s">
        <v>49</v>
      </c>
      <c r="C48" s="3">
        <v>7.93</v>
      </c>
      <c r="D48" s="3">
        <v>10.25</v>
      </c>
      <c r="E48" s="3">
        <v>1.44</v>
      </c>
      <c r="F48" s="3">
        <v>1.55</v>
      </c>
      <c r="G48" s="3">
        <v>0.04</v>
      </c>
    </row>
    <row r="49" spans="1:7" x14ac:dyDescent="0.35">
      <c r="A49" s="475" t="s">
        <v>50</v>
      </c>
      <c r="B49">
        <v>21</v>
      </c>
      <c r="C49" s="3">
        <v>1455.32</v>
      </c>
      <c r="D49" s="3">
        <v>1781.4</v>
      </c>
      <c r="E49" s="3">
        <v>1595.21</v>
      </c>
      <c r="F49" s="3">
        <v>1406.04</v>
      </c>
      <c r="G49" s="3">
        <v>1370.45</v>
      </c>
    </row>
    <row r="50" spans="1:7" x14ac:dyDescent="0.35">
      <c r="A50" s="474" t="s">
        <v>15</v>
      </c>
      <c r="B50">
        <v>22</v>
      </c>
      <c r="C50" s="3">
        <v>4100.6400000000003</v>
      </c>
      <c r="D50" s="3">
        <v>4384.13</v>
      </c>
      <c r="E50" s="3">
        <v>1600.88</v>
      </c>
      <c r="F50" s="3">
        <v>1497.99</v>
      </c>
      <c r="G50" s="3">
        <v>1815.95</v>
      </c>
    </row>
    <row r="51" spans="1:7" x14ac:dyDescent="0.35">
      <c r="A51" s="474" t="s">
        <v>51</v>
      </c>
      <c r="B51">
        <v>13</v>
      </c>
      <c r="C51" s="3">
        <v>2171.31</v>
      </c>
      <c r="D51" s="3">
        <v>1511.89</v>
      </c>
      <c r="E51" s="3">
        <v>1494.16</v>
      </c>
      <c r="F51" s="3">
        <v>1786.1</v>
      </c>
      <c r="G51" s="3">
        <v>1608.64</v>
      </c>
    </row>
    <row r="52" spans="1:7" x14ac:dyDescent="0.35">
      <c r="A52" s="474" t="s">
        <v>52</v>
      </c>
      <c r="B52">
        <v>23</v>
      </c>
      <c r="C52" s="3">
        <v>5042.8900000000003</v>
      </c>
      <c r="D52" s="3">
        <v>5350.37</v>
      </c>
      <c r="E52" s="3">
        <v>4766</v>
      </c>
      <c r="F52" s="3">
        <v>5249.92</v>
      </c>
      <c r="G52" s="3">
        <v>5525.28</v>
      </c>
    </row>
    <row r="53" spans="1:7" x14ac:dyDescent="0.35">
      <c r="A53" s="6" t="s">
        <v>31</v>
      </c>
      <c r="C53" s="3">
        <f>SUM(C46:C52)</f>
        <v>56304.259999999995</v>
      </c>
      <c r="D53" s="3">
        <f t="shared" ref="D53" si="0">SUM(D46:D52)</f>
        <v>65336.090000000004</v>
      </c>
      <c r="E53" s="3">
        <f>SUM(E46:E52)</f>
        <v>64364.25</v>
      </c>
      <c r="F53" s="3">
        <f>SUM(F46:F52)</f>
        <v>60999.21</v>
      </c>
      <c r="G53" s="3">
        <v>68230.25</v>
      </c>
    </row>
    <row r="54" spans="1:7" x14ac:dyDescent="0.35">
      <c r="A54" s="6" t="s">
        <v>53</v>
      </c>
      <c r="C54" s="3"/>
      <c r="D54" s="3"/>
      <c r="E54" s="3"/>
      <c r="F54" s="3"/>
      <c r="G54" s="3"/>
    </row>
    <row r="55" spans="1:7" x14ac:dyDescent="0.35">
      <c r="A55" s="7" t="s">
        <v>46</v>
      </c>
      <c r="C55" s="3"/>
      <c r="D55" s="3"/>
      <c r="E55" s="3"/>
      <c r="F55" s="3"/>
      <c r="G55" s="3"/>
    </row>
    <row r="56" spans="1:7" x14ac:dyDescent="0.35">
      <c r="A56" s="475" t="s">
        <v>47</v>
      </c>
      <c r="B56">
        <v>19</v>
      </c>
      <c r="C56" s="3">
        <v>10541.01</v>
      </c>
      <c r="D56" s="3">
        <v>10217.530000000001</v>
      </c>
      <c r="E56" s="3">
        <v>4646.59</v>
      </c>
      <c r="F56" s="3">
        <v>26042.12</v>
      </c>
      <c r="G56" s="3">
        <v>33739.620000000003</v>
      </c>
    </row>
    <row r="57" spans="1:7" x14ac:dyDescent="0.35">
      <c r="A57" s="475" t="s">
        <v>48</v>
      </c>
      <c r="C57" s="3"/>
      <c r="D57" s="3"/>
      <c r="E57" s="3"/>
      <c r="F57" s="3">
        <v>505.48</v>
      </c>
      <c r="G57" s="3">
        <v>597.34</v>
      </c>
    </row>
    <row r="58" spans="1:7" x14ac:dyDescent="0.35">
      <c r="A58" s="475" t="s">
        <v>49</v>
      </c>
      <c r="B58">
        <v>20</v>
      </c>
      <c r="C58" s="3">
        <f>166.98+20825.19</f>
        <v>20992.17</v>
      </c>
      <c r="D58" s="3">
        <v>14985.35</v>
      </c>
      <c r="E58" s="3">
        <v>15505.789999999999</v>
      </c>
      <c r="F58" s="3">
        <v>19036.55</v>
      </c>
      <c r="G58" s="3">
        <v>23835.66</v>
      </c>
    </row>
    <row r="59" spans="1:7" x14ac:dyDescent="0.35">
      <c r="A59" s="475" t="s">
        <v>50</v>
      </c>
      <c r="B59">
        <v>21</v>
      </c>
      <c r="C59" s="3">
        <v>21178.94</v>
      </c>
      <c r="D59" s="3">
        <v>23852.06</v>
      </c>
      <c r="E59" s="3">
        <v>25913.4</v>
      </c>
      <c r="F59" s="3">
        <v>4422.25</v>
      </c>
      <c r="G59" s="3">
        <v>4424.9399999999996</v>
      </c>
    </row>
    <row r="60" spans="1:7" x14ac:dyDescent="0.35">
      <c r="A60" s="474" t="s">
        <v>54</v>
      </c>
      <c r="B60">
        <v>23</v>
      </c>
      <c r="C60" s="3">
        <v>4141.09</v>
      </c>
      <c r="D60" s="3">
        <v>2902.05</v>
      </c>
      <c r="E60" s="3">
        <v>3867.07</v>
      </c>
      <c r="F60" s="3">
        <v>4921.72</v>
      </c>
      <c r="G60" s="3">
        <v>6176.38</v>
      </c>
    </row>
    <row r="61" spans="1:7" x14ac:dyDescent="0.35">
      <c r="A61" s="474" t="s">
        <v>15</v>
      </c>
      <c r="B61">
        <v>22</v>
      </c>
      <c r="C61" s="3">
        <v>1616.45</v>
      </c>
      <c r="D61" s="3">
        <v>1751.54</v>
      </c>
      <c r="E61" s="3">
        <v>1074.3399999999999</v>
      </c>
      <c r="F61" s="3">
        <v>968.19</v>
      </c>
      <c r="G61" s="3">
        <v>1189.48</v>
      </c>
    </row>
    <row r="62" spans="1:7" x14ac:dyDescent="0.35">
      <c r="A62" s="474" t="s">
        <v>55</v>
      </c>
      <c r="C62" s="3">
        <v>273.67</v>
      </c>
      <c r="D62" s="3">
        <v>300.99</v>
      </c>
      <c r="E62" s="3">
        <v>438.82</v>
      </c>
      <c r="F62" s="3">
        <v>392.02</v>
      </c>
      <c r="G62" s="3">
        <v>615.99</v>
      </c>
    </row>
    <row r="63" spans="1:7" x14ac:dyDescent="0.35">
      <c r="A63" t="s">
        <v>31</v>
      </c>
      <c r="C63" s="3"/>
      <c r="D63" s="3">
        <f>SUM(D56:D62)</f>
        <v>54009.520000000004</v>
      </c>
      <c r="E63" s="3">
        <v>51446.01</v>
      </c>
      <c r="F63" s="3">
        <v>56288.33</v>
      </c>
      <c r="G63" s="3">
        <v>70579.41</v>
      </c>
    </row>
    <row r="64" spans="1:7" x14ac:dyDescent="0.35">
      <c r="A64" s="9" t="s">
        <v>56</v>
      </c>
      <c r="B64" s="9"/>
      <c r="C64" s="10">
        <v>163391.57</v>
      </c>
      <c r="D64" s="3" t="s">
        <v>13</v>
      </c>
      <c r="E64" s="3" t="s">
        <v>12</v>
      </c>
      <c r="F64" s="10">
        <v>174112.8</v>
      </c>
      <c r="G64" s="322">
        <v>205891.77</v>
      </c>
    </row>
    <row r="65" spans="6:7" x14ac:dyDescent="0.35">
      <c r="F65" s="3"/>
      <c r="G6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7E55-C924-415F-AC4A-2A2A34B587F8}">
  <dimension ref="A5:Z44"/>
  <sheetViews>
    <sheetView topLeftCell="A14" workbookViewId="0">
      <selection activeCell="D26" sqref="D26"/>
    </sheetView>
  </sheetViews>
  <sheetFormatPr defaultRowHeight="14.5" x14ac:dyDescent="0.35"/>
  <cols>
    <col min="2" max="2" width="36.453125" customWidth="1"/>
    <col min="3" max="3" width="4.453125" customWidth="1"/>
    <col min="4" max="4" width="10.90625" bestFit="1" customWidth="1"/>
    <col min="5" max="6" width="9.81640625" bestFit="1" customWidth="1"/>
    <col min="7" max="7" width="10" bestFit="1" customWidth="1"/>
    <col min="8" max="8" width="10.90625" bestFit="1" customWidth="1"/>
  </cols>
  <sheetData>
    <row r="5" spans="1:15" x14ac:dyDescent="0.35">
      <c r="D5">
        <v>2019</v>
      </c>
      <c r="E5">
        <v>2020</v>
      </c>
      <c r="F5">
        <v>2021</v>
      </c>
      <c r="G5">
        <v>2022</v>
      </c>
      <c r="H5">
        <v>2023</v>
      </c>
    </row>
    <row r="6" spans="1:15" x14ac:dyDescent="0.35">
      <c r="B6" t="s">
        <v>57</v>
      </c>
      <c r="O6" s="2"/>
    </row>
    <row r="7" spans="1:15" x14ac:dyDescent="0.35">
      <c r="A7" s="321"/>
      <c r="B7" s="7" t="s">
        <v>60</v>
      </c>
      <c r="C7">
        <v>24</v>
      </c>
      <c r="D7" s="3">
        <v>104720.68</v>
      </c>
      <c r="E7" s="3">
        <v>75381.929999999993</v>
      </c>
      <c r="F7" s="3">
        <v>74277.78</v>
      </c>
      <c r="G7" s="3">
        <v>90170.57</v>
      </c>
      <c r="H7" s="3">
        <v>121268.55</v>
      </c>
    </row>
    <row r="8" spans="1:15" x14ac:dyDescent="0.35">
      <c r="A8" s="321"/>
      <c r="B8" s="7" t="s">
        <v>61</v>
      </c>
      <c r="C8">
        <v>25</v>
      </c>
      <c r="D8" s="3">
        <v>1085.6099999999999</v>
      </c>
      <c r="E8" s="3">
        <v>1028.69</v>
      </c>
      <c r="F8" s="3">
        <v>1033.1099999999999</v>
      </c>
      <c r="G8" s="3">
        <v>934.51</v>
      </c>
      <c r="H8" s="3">
        <v>1206.49</v>
      </c>
    </row>
    <row r="9" spans="1:15" x14ac:dyDescent="0.35">
      <c r="B9" s="6" t="s">
        <v>62</v>
      </c>
      <c r="D9" s="3">
        <v>105806.29</v>
      </c>
      <c r="E9" s="3">
        <v>76410.62</v>
      </c>
      <c r="F9" s="3">
        <v>75310.89</v>
      </c>
      <c r="G9" s="3">
        <v>91105.08</v>
      </c>
      <c r="H9" s="3">
        <v>122475.04</v>
      </c>
    </row>
    <row r="10" spans="1:15" x14ac:dyDescent="0.35">
      <c r="B10" s="5" t="s">
        <v>58</v>
      </c>
      <c r="D10" s="3"/>
      <c r="E10" s="3"/>
      <c r="F10" s="3"/>
      <c r="G10" s="3"/>
      <c r="H10" s="3"/>
    </row>
    <row r="11" spans="1:15" x14ac:dyDescent="0.35">
      <c r="A11" s="321"/>
      <c r="B11" s="7" t="s">
        <v>63</v>
      </c>
      <c r="C11">
        <v>26</v>
      </c>
      <c r="D11" s="3">
        <v>56120.2</v>
      </c>
      <c r="E11" s="3">
        <v>32321.8</v>
      </c>
      <c r="F11" s="3">
        <v>32797.56</v>
      </c>
      <c r="G11" s="3">
        <v>46265.48</v>
      </c>
      <c r="H11" s="3">
        <v>68477.97</v>
      </c>
    </row>
    <row r="12" spans="1:15" x14ac:dyDescent="0.35">
      <c r="A12" s="321"/>
      <c r="B12" s="7" t="s">
        <v>64</v>
      </c>
      <c r="D12" s="3">
        <v>5961.9</v>
      </c>
      <c r="E12" s="3">
        <v>5273.5</v>
      </c>
      <c r="F12" s="3">
        <v>5473.64</v>
      </c>
      <c r="G12" s="3">
        <v>6399.37</v>
      </c>
      <c r="H12" s="3">
        <v>7541.9</v>
      </c>
    </row>
    <row r="13" spans="1:15" ht="43.5" x14ac:dyDescent="0.35">
      <c r="A13" s="321"/>
      <c r="B13" s="7" t="s">
        <v>65</v>
      </c>
      <c r="C13">
        <v>27</v>
      </c>
      <c r="D13" s="3">
        <v>-1730.48</v>
      </c>
      <c r="E13" s="3">
        <v>826.62</v>
      </c>
      <c r="F13" s="3">
        <v>135.59</v>
      </c>
      <c r="G13" s="3">
        <v>-861.66</v>
      </c>
      <c r="H13" s="3">
        <v>-2032.31</v>
      </c>
    </row>
    <row r="14" spans="1:15" x14ac:dyDescent="0.35">
      <c r="A14" s="321"/>
      <c r="B14" s="7" t="s">
        <v>66</v>
      </c>
      <c r="C14">
        <v>28</v>
      </c>
      <c r="D14" s="3">
        <v>11563.89</v>
      </c>
      <c r="E14" s="3">
        <v>8214.82</v>
      </c>
      <c r="F14" s="3">
        <v>7813.26</v>
      </c>
      <c r="G14" s="3">
        <v>8386.74</v>
      </c>
      <c r="H14" s="3">
        <v>9677.9500000000007</v>
      </c>
    </row>
    <row r="15" spans="1:15" x14ac:dyDescent="0.35">
      <c r="A15" s="321"/>
      <c r="B15" s="7" t="s">
        <v>67</v>
      </c>
      <c r="C15">
        <v>29</v>
      </c>
      <c r="D15" s="3">
        <v>5021.3500000000004</v>
      </c>
      <c r="E15" s="3">
        <v>6021.15</v>
      </c>
      <c r="F15" s="3">
        <v>6102.22</v>
      </c>
      <c r="G15" s="3">
        <v>5018.05</v>
      </c>
      <c r="H15" s="3">
        <v>5829.7</v>
      </c>
    </row>
    <row r="16" spans="1:15" ht="29" x14ac:dyDescent="0.35">
      <c r="A16" s="321"/>
      <c r="B16" s="7" t="s">
        <v>68</v>
      </c>
      <c r="C16">
        <v>30</v>
      </c>
      <c r="D16" s="3">
        <v>3990.77</v>
      </c>
      <c r="E16" s="3">
        <v>3366.68</v>
      </c>
      <c r="F16" s="3">
        <v>3378.11</v>
      </c>
      <c r="G16" s="3">
        <v>3507.5</v>
      </c>
      <c r="H16" s="3">
        <v>4356.8100000000004</v>
      </c>
    </row>
    <row r="17" spans="1:26" x14ac:dyDescent="0.35">
      <c r="A17" s="321"/>
      <c r="B17" s="7" t="s">
        <v>69</v>
      </c>
      <c r="C17">
        <v>31</v>
      </c>
      <c r="D17" s="3">
        <f>19052.43-1453.77</f>
        <v>17598.66</v>
      </c>
      <c r="E17" s="3">
        <f>15871.2-317.58</f>
        <v>15553.62</v>
      </c>
      <c r="F17" s="3">
        <f>14541.92-160.74</f>
        <v>14381.18</v>
      </c>
      <c r="G17" s="3">
        <v>15297.79</v>
      </c>
      <c r="H17" s="3">
        <v>17317.75</v>
      </c>
    </row>
    <row r="18" spans="1:26" x14ac:dyDescent="0.35">
      <c r="B18" s="6" t="s">
        <v>70</v>
      </c>
      <c r="D18" s="3">
        <f>SUM(D11:D17)</f>
        <v>98526.290000000008</v>
      </c>
      <c r="E18" s="3">
        <f>SUM(E11:E17)</f>
        <v>71578.19</v>
      </c>
      <c r="F18" s="3">
        <f>SUM(F11:F17)</f>
        <v>70081.56</v>
      </c>
      <c r="G18" s="3">
        <v>84013.27</v>
      </c>
      <c r="H18" s="3" t="s">
        <v>59</v>
      </c>
    </row>
    <row r="19" spans="1:26" ht="43.5" x14ac:dyDescent="0.35">
      <c r="B19" s="11" t="s">
        <v>71</v>
      </c>
      <c r="C19" s="9"/>
      <c r="D19" s="10">
        <f>D9-D18</f>
        <v>7279.9999999999854</v>
      </c>
      <c r="E19" s="10">
        <f t="shared" ref="E19" si="0">E9-E18</f>
        <v>4832.429999999993</v>
      </c>
      <c r="F19" s="10">
        <f>F9-F18</f>
        <v>5229.3300000000017</v>
      </c>
      <c r="G19" s="10">
        <v>7091.81</v>
      </c>
      <c r="H19" s="10">
        <v>11305.27</v>
      </c>
    </row>
    <row r="20" spans="1:26" x14ac:dyDescent="0.35">
      <c r="B20" s="7" t="s">
        <v>72</v>
      </c>
      <c r="C20">
        <v>32</v>
      </c>
      <c r="D20" s="3">
        <v>224.32</v>
      </c>
      <c r="E20" s="3">
        <v>-1171.28</v>
      </c>
      <c r="F20" s="3">
        <v>-1158.26</v>
      </c>
      <c r="G20" s="3">
        <v>414.17</v>
      </c>
      <c r="H20" s="3">
        <v>1249.52</v>
      </c>
      <c r="M20" s="2"/>
      <c r="N20" s="2"/>
    </row>
    <row r="21" spans="1:26" ht="29" x14ac:dyDescent="0.35">
      <c r="B21" s="7" t="s">
        <v>73</v>
      </c>
      <c r="D21" s="3">
        <v>1366.52</v>
      </c>
      <c r="E21" s="3">
        <v>1027.28</v>
      </c>
      <c r="F21" s="3">
        <v>1276.6600000000001</v>
      </c>
      <c r="G21" s="3">
        <v>1855.79</v>
      </c>
      <c r="H21" s="3">
        <v>1505.44</v>
      </c>
      <c r="Y21" s="2"/>
      <c r="Z21" s="2"/>
    </row>
    <row r="22" spans="1:26" x14ac:dyDescent="0.35">
      <c r="B22" s="6" t="s">
        <v>74</v>
      </c>
      <c r="D22" s="3">
        <f>D19+D20+D21</f>
        <v>8870.8399999999856</v>
      </c>
      <c r="E22" s="3">
        <f t="shared" ref="E22" si="1">E19+E20+E21</f>
        <v>4688.429999999993</v>
      </c>
      <c r="F22" s="3">
        <f>F19+F20+F21</f>
        <v>5347.7300000000014</v>
      </c>
      <c r="G22" s="3">
        <v>9361.77</v>
      </c>
      <c r="H22" s="3">
        <v>14060.23</v>
      </c>
      <c r="N22" s="2"/>
      <c r="O22" s="2"/>
    </row>
    <row r="23" spans="1:26" x14ac:dyDescent="0.35">
      <c r="B23" s="6" t="s">
        <v>75</v>
      </c>
      <c r="D23" s="3"/>
      <c r="E23" s="3"/>
      <c r="F23" s="3"/>
      <c r="G23" s="3"/>
      <c r="H23" s="3"/>
      <c r="S23" s="2"/>
      <c r="T23" s="2"/>
    </row>
    <row r="24" spans="1:26" x14ac:dyDescent="0.35">
      <c r="B24" s="7" t="s">
        <v>76</v>
      </c>
      <c r="D24" s="3">
        <v>2350.46</v>
      </c>
      <c r="E24" s="3">
        <v>2314.16</v>
      </c>
      <c r="F24" s="3">
        <v>2014.89</v>
      </c>
      <c r="G24" s="3">
        <v>1868.1</v>
      </c>
      <c r="H24" s="3">
        <v>2742.04</v>
      </c>
      <c r="N24" s="2"/>
      <c r="O24" s="2"/>
    </row>
    <row r="25" spans="1:26" x14ac:dyDescent="0.35">
      <c r="B25" s="7" t="s">
        <v>77</v>
      </c>
      <c r="D25" s="3">
        <v>503.53</v>
      </c>
      <c r="E25" s="3">
        <v>-338.55</v>
      </c>
      <c r="F25" s="3">
        <v>-369.08</v>
      </c>
      <c r="G25" s="3">
        <v>240.66</v>
      </c>
      <c r="H25" s="3">
        <v>-56.29</v>
      </c>
    </row>
    <row r="26" spans="1:26" x14ac:dyDescent="0.35">
      <c r="B26" s="5" t="s">
        <v>78</v>
      </c>
      <c r="D26" s="3">
        <f>D22-D24-D25</f>
        <v>6016.8499999999858</v>
      </c>
      <c r="E26" s="3">
        <f t="shared" ref="E26" si="2">E22-E24-E25</f>
        <v>2712.8199999999933</v>
      </c>
      <c r="F26" s="3">
        <f>F22-F24-F25</f>
        <v>3701.920000000001</v>
      </c>
      <c r="G26" s="3">
        <v>7253.01</v>
      </c>
      <c r="H26" s="3">
        <v>11374.48</v>
      </c>
      <c r="M26" s="2"/>
      <c r="N26" s="2"/>
    </row>
    <row r="27" spans="1:26" x14ac:dyDescent="0.35">
      <c r="D27" s="3"/>
      <c r="E27" s="3"/>
      <c r="F27" s="3"/>
      <c r="G27" s="3"/>
      <c r="H27" s="3"/>
    </row>
    <row r="28" spans="1:26" x14ac:dyDescent="0.35">
      <c r="D28" s="3"/>
      <c r="E28" s="3"/>
      <c r="F28" s="3"/>
      <c r="G28" s="3"/>
      <c r="H28" s="3"/>
      <c r="R28" s="2"/>
      <c r="S28" s="2"/>
    </row>
    <row r="29" spans="1:26" x14ac:dyDescent="0.35">
      <c r="D29" s="3">
        <f t="shared" ref="D29:F29" si="3">D22-D24-D25</f>
        <v>6016.8499999999858</v>
      </c>
      <c r="E29" s="3">
        <f t="shared" si="3"/>
        <v>2712.8199999999933</v>
      </c>
      <c r="F29" s="3">
        <f t="shared" si="3"/>
        <v>3701.920000000001</v>
      </c>
      <c r="G29" s="3">
        <f>G22-G24-G25</f>
        <v>7253.01</v>
      </c>
      <c r="H29" s="3">
        <f>H22-H24-H25</f>
        <v>11374.48</v>
      </c>
      <c r="Q29" s="2"/>
      <c r="R29" s="2"/>
    </row>
    <row r="30" spans="1:26" x14ac:dyDescent="0.35">
      <c r="D30" s="3"/>
      <c r="E30" s="3"/>
      <c r="F30" s="3"/>
      <c r="G30" s="3"/>
      <c r="H30" s="3"/>
    </row>
    <row r="31" spans="1:26" x14ac:dyDescent="0.35">
      <c r="D31" s="3"/>
      <c r="E31" s="3"/>
      <c r="F31" s="3"/>
      <c r="G31" s="3"/>
      <c r="H31" s="3"/>
      <c r="R31" s="2"/>
      <c r="S31" s="2"/>
    </row>
    <row r="32" spans="1:26" x14ac:dyDescent="0.35">
      <c r="D32" s="3"/>
      <c r="E32" s="3"/>
      <c r="F32" s="3"/>
      <c r="G32" s="3"/>
      <c r="H32" s="3"/>
    </row>
    <row r="33" spans="4:8" x14ac:dyDescent="0.35">
      <c r="D33" s="3"/>
      <c r="E33" s="3"/>
      <c r="F33" s="3"/>
      <c r="G33" s="3"/>
      <c r="H33" s="3"/>
    </row>
    <row r="34" spans="4:8" x14ac:dyDescent="0.35">
      <c r="D34" s="3"/>
      <c r="E34" s="3"/>
      <c r="F34" s="3"/>
      <c r="G34" s="3"/>
      <c r="H34" s="3"/>
    </row>
    <row r="35" spans="4:8" x14ac:dyDescent="0.35">
      <c r="D35" s="3"/>
      <c r="E35" s="3"/>
      <c r="F35" s="3"/>
      <c r="G35" s="3"/>
      <c r="H35" s="3"/>
    </row>
    <row r="36" spans="4:8" x14ac:dyDescent="0.35">
      <c r="D36" s="3"/>
      <c r="E36" s="3"/>
      <c r="F36" s="3"/>
      <c r="G36" s="3"/>
      <c r="H36" s="3"/>
    </row>
    <row r="37" spans="4:8" x14ac:dyDescent="0.35">
      <c r="D37" s="3"/>
      <c r="E37" s="3"/>
      <c r="F37" s="3"/>
      <c r="G37" s="3"/>
      <c r="H37" s="3"/>
    </row>
    <row r="38" spans="4:8" x14ac:dyDescent="0.35">
      <c r="D38" s="3"/>
      <c r="E38" s="3"/>
      <c r="F38" s="3"/>
      <c r="G38" s="3"/>
      <c r="H38" s="3"/>
    </row>
    <row r="39" spans="4:8" x14ac:dyDescent="0.35">
      <c r="D39" s="3"/>
      <c r="E39" s="3"/>
      <c r="F39" s="3"/>
      <c r="G39" s="3"/>
      <c r="H39" s="3"/>
    </row>
    <row r="40" spans="4:8" x14ac:dyDescent="0.35">
      <c r="D40" s="3"/>
      <c r="E40" s="3"/>
      <c r="F40" s="3"/>
      <c r="G40" s="3"/>
      <c r="H40" s="3"/>
    </row>
    <row r="41" spans="4:8" x14ac:dyDescent="0.35">
      <c r="D41" s="3"/>
      <c r="E41" s="3"/>
      <c r="F41" s="3"/>
      <c r="G41" s="3"/>
      <c r="H41" s="3"/>
    </row>
    <row r="42" spans="4:8" x14ac:dyDescent="0.35">
      <c r="D42" s="3"/>
      <c r="E42" s="3"/>
      <c r="F42" s="3"/>
      <c r="G42" s="3"/>
      <c r="H42" s="3"/>
    </row>
    <row r="43" spans="4:8" x14ac:dyDescent="0.35">
      <c r="D43" s="3"/>
      <c r="E43" s="3"/>
      <c r="F43" s="3"/>
      <c r="G43" s="3"/>
      <c r="H43" s="3"/>
    </row>
    <row r="44" spans="4:8" x14ac:dyDescent="0.35">
      <c r="D44" s="3"/>
      <c r="E44" s="3"/>
      <c r="F44" s="3"/>
      <c r="G44" s="3"/>
      <c r="H4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52BD-6904-4EBD-9658-58399E39DD4F}">
  <dimension ref="A1:L197"/>
  <sheetViews>
    <sheetView topLeftCell="A3" zoomScale="93" zoomScaleNormal="93" workbookViewId="0">
      <pane xSplit="2" ySplit="5" topLeftCell="C23" activePane="bottomRight" state="frozen"/>
      <selection activeCell="A3" sqref="A3"/>
      <selection pane="topRight" activeCell="C3" sqref="C3"/>
      <selection pane="bottomLeft" activeCell="A8" sqref="A8"/>
      <selection pane="bottomRight" activeCell="C21" sqref="C21"/>
    </sheetView>
  </sheetViews>
  <sheetFormatPr defaultColWidth="9.08984375" defaultRowHeight="14.5" x14ac:dyDescent="0.35"/>
  <cols>
    <col min="1" max="1" width="3.90625" style="20" customWidth="1"/>
    <col min="2" max="2" width="38.90625" style="20" customWidth="1"/>
    <col min="3" max="3" width="11.54296875" style="29" bestFit="1" customWidth="1"/>
    <col min="4" max="5" width="12.36328125" style="29" bestFit="1" customWidth="1"/>
    <col min="6" max="6" width="10.6328125" style="29" customWidth="1"/>
    <col min="7" max="7" width="12.36328125" style="29" bestFit="1" customWidth="1"/>
    <col min="8" max="8" width="11.36328125" style="29" customWidth="1"/>
    <col min="9" max="9" width="10.453125" style="29" customWidth="1"/>
    <col min="10" max="10" width="11.6328125" style="29" bestFit="1" customWidth="1"/>
    <col min="11" max="11" width="9.81640625" style="29" customWidth="1"/>
    <col min="12" max="12" width="11.6328125" style="29" bestFit="1" customWidth="1"/>
    <col min="13" max="16384" width="9.08984375" style="20"/>
  </cols>
  <sheetData>
    <row r="1" spans="1:12" s="17" customFormat="1" x14ac:dyDescent="0.35">
      <c r="A1" s="82"/>
      <c r="B1" s="83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2" x14ac:dyDescent="0.35">
      <c r="A2" s="85" t="s">
        <v>80</v>
      </c>
      <c r="B2" s="86"/>
      <c r="C2" s="87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35">
      <c r="A3" s="1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x14ac:dyDescent="0.35">
      <c r="A4" s="21" t="s">
        <v>81</v>
      </c>
      <c r="B4" s="18"/>
      <c r="C4" s="19"/>
      <c r="D4" s="22"/>
      <c r="E4" s="19"/>
      <c r="F4" s="19"/>
      <c r="G4" s="19"/>
      <c r="H4" s="19"/>
      <c r="I4" s="19"/>
      <c r="J4" s="19"/>
      <c r="K4" s="19"/>
      <c r="L4" s="19"/>
    </row>
    <row r="5" spans="1:12" x14ac:dyDescent="0.35">
      <c r="A5" s="18" t="s">
        <v>82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x14ac:dyDescent="0.35">
      <c r="A6" s="18" t="s">
        <v>83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s="17" customFormat="1" x14ac:dyDescent="0.35">
      <c r="A7" s="78" t="s">
        <v>84</v>
      </c>
      <c r="B7" s="79"/>
      <c r="C7" s="80">
        <v>2019</v>
      </c>
      <c r="D7" s="80">
        <f>C7+1</f>
        <v>2020</v>
      </c>
      <c r="E7" s="80">
        <f t="shared" ref="E7:G7" si="0">D7+1</f>
        <v>2021</v>
      </c>
      <c r="F7" s="80">
        <f t="shared" si="0"/>
        <v>2022</v>
      </c>
      <c r="G7" s="80">
        <f t="shared" si="0"/>
        <v>2023</v>
      </c>
      <c r="H7" s="81">
        <v>2024</v>
      </c>
      <c r="I7" s="81">
        <f>H7+1</f>
        <v>2025</v>
      </c>
      <c r="J7" s="81">
        <f t="shared" ref="J7:L7" si="1">I7+1</f>
        <v>2026</v>
      </c>
      <c r="K7" s="81">
        <f t="shared" si="1"/>
        <v>2027</v>
      </c>
      <c r="L7" s="81">
        <f t="shared" si="1"/>
        <v>2028</v>
      </c>
    </row>
    <row r="8" spans="1:12" x14ac:dyDescent="0.35">
      <c r="A8" s="23" t="s">
        <v>85</v>
      </c>
      <c r="B8" s="24" t="s">
        <v>86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s="25" customFormat="1" x14ac:dyDescent="0.35">
      <c r="A9" s="23"/>
      <c r="B9" s="8" t="s">
        <v>87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29" x14ac:dyDescent="0.35">
      <c r="A10" s="23"/>
      <c r="B10" s="6" t="s">
        <v>88</v>
      </c>
      <c r="C10" s="30">
        <f>PL!D7</f>
        <v>104720.68</v>
      </c>
      <c r="D10" s="30">
        <f>PL!E7</f>
        <v>75381.929999999993</v>
      </c>
      <c r="E10" s="30">
        <f>PL!F7</f>
        <v>74277.78</v>
      </c>
      <c r="F10" s="30">
        <f>PL!G7</f>
        <v>90170.57</v>
      </c>
      <c r="G10" s="30">
        <f>PL!H7</f>
        <v>121268.55</v>
      </c>
      <c r="H10" s="30">
        <f>'Rev Buildup'!H43</f>
        <v>130361.80518885751</v>
      </c>
      <c r="I10" s="30">
        <f>'Rev Buildup'!I43</f>
        <v>140152.27390281326</v>
      </c>
      <c r="J10" s="30">
        <f>'Rev Buildup'!J43</f>
        <v>150694.69095742426</v>
      </c>
      <c r="K10" s="30">
        <f>'Rev Buildup'!K43</f>
        <v>162048.19559313048</v>
      </c>
      <c r="L10" s="30">
        <f>'Rev Buildup'!L43</f>
        <v>174276.69497343351</v>
      </c>
    </row>
    <row r="11" spans="1:12" x14ac:dyDescent="0.35">
      <c r="A11" s="23"/>
      <c r="B11" s="6" t="s">
        <v>89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</row>
    <row r="12" spans="1:12" s="29" customFormat="1" ht="29" x14ac:dyDescent="0.35">
      <c r="A12" s="27"/>
      <c r="B12" s="8" t="s">
        <v>90</v>
      </c>
      <c r="C12" s="28">
        <f>C10-C11</f>
        <v>104720.68</v>
      </c>
      <c r="D12" s="28">
        <f t="shared" ref="D12:G12" si="2">D10-D11</f>
        <v>75381.929999999993</v>
      </c>
      <c r="E12" s="28">
        <f t="shared" si="2"/>
        <v>74277.78</v>
      </c>
      <c r="F12" s="28">
        <f t="shared" si="2"/>
        <v>90170.57</v>
      </c>
      <c r="G12" s="28">
        <f t="shared" si="2"/>
        <v>121268.55</v>
      </c>
      <c r="H12" s="28">
        <f t="shared" ref="H12" si="3">H10-H11</f>
        <v>130361.80518885751</v>
      </c>
      <c r="I12" s="28">
        <f t="shared" ref="I12" si="4">I10-I11</f>
        <v>140152.27390281326</v>
      </c>
      <c r="J12" s="28">
        <f t="shared" ref="J12" si="5">J10-J11</f>
        <v>150694.69095742426</v>
      </c>
      <c r="K12" s="28">
        <f t="shared" ref="K12" si="6">K10-K11</f>
        <v>162048.19559313048</v>
      </c>
      <c r="L12" s="28">
        <f t="shared" ref="L12" si="7">L10-L11</f>
        <v>174276.69497343351</v>
      </c>
    </row>
    <row r="13" spans="1:12" x14ac:dyDescent="0.35">
      <c r="A13" s="23"/>
      <c r="B13" s="6" t="s">
        <v>91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</row>
    <row r="14" spans="1:12" x14ac:dyDescent="0.35">
      <c r="A14" s="23"/>
      <c r="B14" s="8" t="s">
        <v>92</v>
      </c>
      <c r="C14" s="28">
        <f>C12+C13</f>
        <v>104720.68</v>
      </c>
      <c r="D14" s="28">
        <f t="shared" ref="D14:G14" si="8">D12+D13</f>
        <v>75381.929999999993</v>
      </c>
      <c r="E14" s="28">
        <f t="shared" si="8"/>
        <v>74277.78</v>
      </c>
      <c r="F14" s="28">
        <f t="shared" si="8"/>
        <v>90170.57</v>
      </c>
      <c r="G14" s="28">
        <f t="shared" si="8"/>
        <v>121268.55</v>
      </c>
      <c r="H14" s="28">
        <f t="shared" ref="H14:L14" si="9">H12+H13</f>
        <v>130361.80518885751</v>
      </c>
      <c r="I14" s="28">
        <f t="shared" si="9"/>
        <v>140152.27390281326</v>
      </c>
      <c r="J14" s="28">
        <f t="shared" si="9"/>
        <v>150694.69095742426</v>
      </c>
      <c r="K14" s="28">
        <f t="shared" si="9"/>
        <v>162048.19559313048</v>
      </c>
      <c r="L14" s="28">
        <f t="shared" si="9"/>
        <v>174276.69497343351</v>
      </c>
    </row>
    <row r="15" spans="1:12" x14ac:dyDescent="0.35">
      <c r="A15" s="23"/>
      <c r="B15" s="5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2" x14ac:dyDescent="0.35">
      <c r="A16" s="23"/>
      <c r="B16" s="5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x14ac:dyDescent="0.35">
      <c r="A17" s="23" t="s">
        <v>93</v>
      </c>
      <c r="B17" s="24" t="s">
        <v>94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x14ac:dyDescent="0.35">
      <c r="A18" s="23"/>
      <c r="B18" s="5" t="s">
        <v>95</v>
      </c>
      <c r="C18" s="30">
        <f>-PL!D11</f>
        <v>-56120.2</v>
      </c>
      <c r="D18" s="30">
        <f>-PL!E11</f>
        <v>-32321.8</v>
      </c>
      <c r="E18" s="30">
        <f>-PL!F11</f>
        <v>-32797.56</v>
      </c>
      <c r="F18" s="30">
        <f>-PL!G11</f>
        <v>-46265.48</v>
      </c>
      <c r="G18" s="30">
        <f>-PL!H11</f>
        <v>-68477.97</v>
      </c>
      <c r="H18" s="30">
        <f>'Cost Sheet'!H12</f>
        <v>-64763.723125782075</v>
      </c>
      <c r="I18" s="30">
        <f>'Cost Sheet'!I12</f>
        <v>-69627.626353753469</v>
      </c>
      <c r="J18" s="30">
        <f>'Cost Sheet'!J12</f>
        <v>-74865.097392239113</v>
      </c>
      <c r="K18" s="30">
        <f>'Cost Sheet'!K12</f>
        <v>-80505.516606048914</v>
      </c>
      <c r="L18" s="30">
        <f>'Cost Sheet'!L12</f>
        <v>-86580.633063376357</v>
      </c>
    </row>
    <row r="19" spans="1:12" x14ac:dyDescent="0.35">
      <c r="A19" s="23"/>
      <c r="B19" s="5" t="s">
        <v>96</v>
      </c>
      <c r="C19" s="30">
        <f>-PL!D12</f>
        <v>-5961.9</v>
      </c>
      <c r="D19" s="30">
        <f>-PL!E12</f>
        <v>-5273.5</v>
      </c>
      <c r="E19" s="30">
        <f>-PL!F12</f>
        <v>-5473.64</v>
      </c>
      <c r="F19" s="30">
        <f>-PL!G12</f>
        <v>-6399.37</v>
      </c>
      <c r="G19" s="30">
        <f>-PL!H12</f>
        <v>-7541.9</v>
      </c>
      <c r="H19" s="30">
        <f>'Cost Sheet'!H15</f>
        <v>-8701.4249426075457</v>
      </c>
      <c r="I19" s="30">
        <f>'Cost Sheet'!I15</f>
        <v>-9354.9217896634436</v>
      </c>
      <c r="J19" s="30">
        <f>'Cost Sheet'!J15</f>
        <v>-10058.609887426945</v>
      </c>
      <c r="K19" s="30">
        <f>'Cost Sheet'!K15</f>
        <v>-10816.436677873911</v>
      </c>
      <c r="L19" s="30">
        <f>'Cost Sheet'!L15</f>
        <v>-11632.667853595038</v>
      </c>
    </row>
    <row r="20" spans="1:12" ht="43.5" x14ac:dyDescent="0.35">
      <c r="A20" s="23"/>
      <c r="B20" s="31" t="s">
        <v>97</v>
      </c>
      <c r="C20" s="30">
        <f>-PL!D13</f>
        <v>1730.48</v>
      </c>
      <c r="D20" s="30">
        <f>-PL!E13</f>
        <v>-826.62</v>
      </c>
      <c r="E20" s="30">
        <f>-PL!F13</f>
        <v>-135.59</v>
      </c>
      <c r="F20" s="30">
        <f>-PL!G13</f>
        <v>861.66</v>
      </c>
      <c r="G20" s="30">
        <f>-PL!H13</f>
        <v>2032.31</v>
      </c>
      <c r="H20" s="30">
        <f>'Cost Sheet'!H18</f>
        <v>2184.7016419621327</v>
      </c>
      <c r="I20" s="30">
        <f>'Cost Sheet'!I18</f>
        <v>2348.7777150417519</v>
      </c>
      <c r="J20" s="30">
        <f>'Cost Sheet'!J18</f>
        <v>2525.4555066394619</v>
      </c>
      <c r="K20" s="30">
        <f>'Cost Sheet'!K18</f>
        <v>2715.726116836352</v>
      </c>
      <c r="L20" s="30">
        <f>'Cost Sheet'!L18</f>
        <v>2920.6605501711583</v>
      </c>
    </row>
    <row r="21" spans="1:12" s="35" customFormat="1" x14ac:dyDescent="0.35">
      <c r="A21" s="32"/>
      <c r="B21" s="33" t="s">
        <v>98</v>
      </c>
      <c r="C21" s="34">
        <f>C18+C19+C20</f>
        <v>-60351.619999999995</v>
      </c>
      <c r="D21" s="34">
        <f t="shared" ref="D21:H21" si="10">D18+D19+D20</f>
        <v>-38421.920000000006</v>
      </c>
      <c r="E21" s="34">
        <f t="shared" si="10"/>
        <v>-38406.789999999994</v>
      </c>
      <c r="F21" s="34">
        <f t="shared" si="10"/>
        <v>-51803.19</v>
      </c>
      <c r="G21" s="34">
        <f t="shared" si="10"/>
        <v>-73987.56</v>
      </c>
      <c r="H21" s="34">
        <f t="shared" si="10"/>
        <v>-71280.446426427487</v>
      </c>
      <c r="I21" s="34">
        <f t="shared" ref="I21:L21" si="11">I18+I19+I20</f>
        <v>-76633.770428375152</v>
      </c>
      <c r="J21" s="34">
        <f t="shared" si="11"/>
        <v>-82398.251773026597</v>
      </c>
      <c r="K21" s="34">
        <f t="shared" si="11"/>
        <v>-88606.227167086472</v>
      </c>
      <c r="L21" s="34">
        <f t="shared" si="11"/>
        <v>-95292.640366800231</v>
      </c>
    </row>
    <row r="22" spans="1:12" x14ac:dyDescent="0.35">
      <c r="A22" s="23"/>
      <c r="B22" s="33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1:12" s="35" customFormat="1" x14ac:dyDescent="0.35">
      <c r="A23" s="32" t="s">
        <v>99</v>
      </c>
      <c r="B23" s="33" t="s">
        <v>100</v>
      </c>
      <c r="C23" s="34">
        <f>C14+C21</f>
        <v>44369.06</v>
      </c>
      <c r="D23" s="34">
        <f t="shared" ref="D23:H23" si="12">D14+D21</f>
        <v>36960.009999999987</v>
      </c>
      <c r="E23" s="34">
        <f t="shared" si="12"/>
        <v>35870.990000000005</v>
      </c>
      <c r="F23" s="34">
        <f t="shared" si="12"/>
        <v>38367.380000000005</v>
      </c>
      <c r="G23" s="34">
        <f t="shared" si="12"/>
        <v>47280.990000000005</v>
      </c>
      <c r="H23" s="34">
        <f t="shared" si="12"/>
        <v>59081.358762430027</v>
      </c>
      <c r="I23" s="34">
        <f t="shared" ref="I23:L23" si="13">I14+I21</f>
        <v>63518.503474438112</v>
      </c>
      <c r="J23" s="34">
        <f t="shared" si="13"/>
        <v>68296.439184397663</v>
      </c>
      <c r="K23" s="34">
        <f t="shared" si="13"/>
        <v>73441.968426044012</v>
      </c>
      <c r="L23" s="34">
        <f t="shared" si="13"/>
        <v>78984.054606633275</v>
      </c>
    </row>
    <row r="24" spans="1:12" s="35" customFormat="1" x14ac:dyDescent="0.35">
      <c r="A24" s="32"/>
      <c r="B24" s="33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1:12" x14ac:dyDescent="0.35">
      <c r="A25" s="23" t="s">
        <v>101</v>
      </c>
      <c r="B25" s="24" t="s">
        <v>102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1:12" x14ac:dyDescent="0.35">
      <c r="A26" s="23"/>
      <c r="B26" s="36" t="s">
        <v>103</v>
      </c>
      <c r="C26" s="30">
        <f>-PL!D14</f>
        <v>-11563.89</v>
      </c>
      <c r="D26" s="30">
        <f>-PL!E14</f>
        <v>-8214.82</v>
      </c>
      <c r="E26" s="30">
        <f>-PL!F14</f>
        <v>-7813.26</v>
      </c>
      <c r="F26" s="30">
        <f>-PL!G14</f>
        <v>-8386.74</v>
      </c>
      <c r="G26" s="30">
        <f>-PL!H14</f>
        <v>-9677.9500000000007</v>
      </c>
      <c r="H26" s="30">
        <f>'Cost Sheet'!H25</f>
        <v>-10403.64573112735</v>
      </c>
      <c r="I26" s="30">
        <f>'Cost Sheet'!I25</f>
        <v>-11184.983239411469</v>
      </c>
      <c r="J26" s="30">
        <f>'Cost Sheet'!J25</f>
        <v>-12026.330687976431</v>
      </c>
      <c r="K26" s="30">
        <f>'Cost Sheet'!K25</f>
        <v>-12932.407739191549</v>
      </c>
      <c r="L26" s="30">
        <f>'Cost Sheet'!L25</f>
        <v>-13908.314563983331</v>
      </c>
    </row>
    <row r="27" spans="1:12" x14ac:dyDescent="0.35">
      <c r="A27" s="23"/>
      <c r="B27" s="36" t="s">
        <v>104</v>
      </c>
      <c r="C27" s="370"/>
      <c r="D27" s="370"/>
      <c r="E27" s="370"/>
      <c r="F27" s="370"/>
      <c r="G27" s="370"/>
      <c r="H27" s="30"/>
      <c r="I27" s="30"/>
      <c r="J27" s="30"/>
      <c r="K27" s="30"/>
      <c r="L27" s="30"/>
    </row>
    <row r="28" spans="1:12" x14ac:dyDescent="0.35">
      <c r="A28" s="23"/>
      <c r="B28" s="36" t="s">
        <v>69</v>
      </c>
      <c r="C28" s="30">
        <f>-PL!D17</f>
        <v>-17598.66</v>
      </c>
      <c r="D28" s="30">
        <f>-PL!E17</f>
        <v>-15553.62</v>
      </c>
      <c r="E28" s="30">
        <f>-PL!F17</f>
        <v>-14381.18</v>
      </c>
      <c r="F28" s="30">
        <f>-PL!G17</f>
        <v>-15297.79</v>
      </c>
      <c r="G28" s="30">
        <f>-PL!H17</f>
        <v>-17317.75</v>
      </c>
      <c r="H28" s="30">
        <f>'Cost Sheet'!H31</f>
        <v>-22955.581736682896</v>
      </c>
      <c r="I28" s="30">
        <f>'Cost Sheet'!I31</f>
        <v>-24679.59824963356</v>
      </c>
      <c r="J28" s="30">
        <f>'Cost Sheet'!J31</f>
        <v>-26536.026334905331</v>
      </c>
      <c r="K28" s="30">
        <f>'Cost Sheet'!K31</f>
        <v>-28535.279899131361</v>
      </c>
      <c r="L28" s="30">
        <f>'Cost Sheet'!L31</f>
        <v>-30688.612438787812</v>
      </c>
    </row>
    <row r="29" spans="1:12" s="25" customFormat="1" x14ac:dyDescent="0.35">
      <c r="A29" s="23"/>
      <c r="B29" s="37" t="s">
        <v>105</v>
      </c>
      <c r="C29" s="38">
        <f t="shared" ref="C29:G29" si="14">SUM(C26:C28)</f>
        <v>-29162.55</v>
      </c>
      <c r="D29" s="38">
        <f t="shared" si="14"/>
        <v>-23768.440000000002</v>
      </c>
      <c r="E29" s="38">
        <f t="shared" si="14"/>
        <v>-22194.440000000002</v>
      </c>
      <c r="F29" s="38">
        <f t="shared" si="14"/>
        <v>-23684.53</v>
      </c>
      <c r="G29" s="38">
        <f t="shared" si="14"/>
        <v>-26995.7</v>
      </c>
      <c r="H29" s="38">
        <f t="shared" ref="H29" si="15">SUM(H26:H28)</f>
        <v>-33359.227467810248</v>
      </c>
      <c r="I29" s="38">
        <f t="shared" ref="I29:L29" si="16">SUM(I26:I28)</f>
        <v>-35864.581489045027</v>
      </c>
      <c r="J29" s="38">
        <f t="shared" si="16"/>
        <v>-38562.357022881763</v>
      </c>
      <c r="K29" s="38">
        <f t="shared" si="16"/>
        <v>-41467.68763832291</v>
      </c>
      <c r="L29" s="38">
        <f t="shared" si="16"/>
        <v>-44596.927002771146</v>
      </c>
    </row>
    <row r="30" spans="1:12" x14ac:dyDescent="0.35">
      <c r="A30" s="23"/>
      <c r="B30" s="37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s="25" customFormat="1" x14ac:dyDescent="0.35">
      <c r="A31" s="23" t="s">
        <v>106</v>
      </c>
      <c r="B31" s="37" t="s">
        <v>107</v>
      </c>
      <c r="C31" s="38">
        <f>C23+C29</f>
        <v>15206.509999999998</v>
      </c>
      <c r="D31" s="38">
        <f t="shared" ref="D31:H31" si="17">D23+D29</f>
        <v>13191.569999999985</v>
      </c>
      <c r="E31" s="38">
        <f t="shared" si="17"/>
        <v>13676.550000000003</v>
      </c>
      <c r="F31" s="38">
        <f t="shared" si="17"/>
        <v>14682.850000000006</v>
      </c>
      <c r="G31" s="38">
        <f t="shared" si="17"/>
        <v>20285.290000000005</v>
      </c>
      <c r="H31" s="38">
        <f t="shared" si="17"/>
        <v>25722.13129461978</v>
      </c>
      <c r="I31" s="38">
        <f t="shared" ref="I31:L31" si="18">I23+I29</f>
        <v>27653.921985393084</v>
      </c>
      <c r="J31" s="38">
        <f t="shared" si="18"/>
        <v>29734.0821615159</v>
      </c>
      <c r="K31" s="38">
        <f t="shared" si="18"/>
        <v>31974.280787721102</v>
      </c>
      <c r="L31" s="38">
        <f t="shared" si="18"/>
        <v>34387.127603862129</v>
      </c>
    </row>
    <row r="32" spans="1:12" s="25" customFormat="1" x14ac:dyDescent="0.35">
      <c r="A32" s="23"/>
      <c r="B32" s="37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 spans="1:12" s="25" customFormat="1" x14ac:dyDescent="0.35">
      <c r="A33" s="23"/>
      <c r="B33" s="37" t="s">
        <v>79</v>
      </c>
      <c r="C33" s="30">
        <f>-PL!D16</f>
        <v>-3990.77</v>
      </c>
      <c r="D33" s="30">
        <f>-PL!E16</f>
        <v>-3366.68</v>
      </c>
      <c r="E33" s="30">
        <f>-PL!F16</f>
        <v>-3378.11</v>
      </c>
      <c r="F33" s="30">
        <f>-PL!G16</f>
        <v>-3507.5</v>
      </c>
      <c r="G33" s="30">
        <f>-PL!H16</f>
        <v>-4356.8100000000004</v>
      </c>
      <c r="H33" s="490">
        <f>Depreciation!H19</f>
        <v>-2566.6719238846558</v>
      </c>
      <c r="I33" s="490">
        <f>Depreciation!I19</f>
        <v>-2875.6965705653629</v>
      </c>
      <c r="J33" s="490">
        <f>Depreciation!J19</f>
        <v>-3233.5518832435359</v>
      </c>
      <c r="K33" s="490">
        <f>Depreciation!K19</f>
        <v>-3469.5169807369434</v>
      </c>
      <c r="L33" s="490">
        <f>Depreciation!L19</f>
        <v>-3909.4332627198896</v>
      </c>
    </row>
    <row r="34" spans="1:12" s="25" customFormat="1" x14ac:dyDescent="0.35">
      <c r="A34" s="23"/>
      <c r="B34" s="37" t="s">
        <v>108</v>
      </c>
      <c r="C34" s="26"/>
      <c r="D34" s="26"/>
      <c r="E34" s="26"/>
      <c r="F34" s="26"/>
      <c r="G34" s="26"/>
      <c r="H34" s="337">
        <f>Ammortisation!H19</f>
        <v>-1936.9822220261738</v>
      </c>
      <c r="I34" s="337">
        <f>Ammortisation!I19</f>
        <v>-2196.7231880156146</v>
      </c>
      <c r="J34" s="337">
        <f>Ammortisation!J19</f>
        <v>-1630.2258863775367</v>
      </c>
      <c r="K34" s="337">
        <f>Ammortisation!K19</f>
        <v>-1453.4627590898688</v>
      </c>
      <c r="L34" s="337">
        <f>Ammortisation!L19</f>
        <v>-1888.0292006536065</v>
      </c>
    </row>
    <row r="35" spans="1:12" x14ac:dyDescent="0.35">
      <c r="A35" s="23"/>
      <c r="B35" s="39" t="s">
        <v>109</v>
      </c>
      <c r="C35" s="40">
        <f>SUM(C33:C34)</f>
        <v>-3990.77</v>
      </c>
      <c r="D35" s="40">
        <f t="shared" ref="D35:H35" si="19">SUM(D33:D34)</f>
        <v>-3366.68</v>
      </c>
      <c r="E35" s="40">
        <f t="shared" si="19"/>
        <v>-3378.11</v>
      </c>
      <c r="F35" s="40">
        <f t="shared" si="19"/>
        <v>-3507.5</v>
      </c>
      <c r="G35" s="40">
        <f t="shared" si="19"/>
        <v>-4356.8100000000004</v>
      </c>
      <c r="H35" s="40">
        <f t="shared" si="19"/>
        <v>-4503.6541459108294</v>
      </c>
      <c r="I35" s="40">
        <f t="shared" ref="I35" si="20">SUM(I33:I34)</f>
        <v>-5072.4197585809779</v>
      </c>
      <c r="J35" s="40">
        <f t="shared" ref="J35" si="21">SUM(J33:J34)</f>
        <v>-4863.7777696210724</v>
      </c>
      <c r="K35" s="40">
        <f t="shared" ref="K35" si="22">SUM(K33:K34)</f>
        <v>-4922.979739826812</v>
      </c>
      <c r="L35" s="40">
        <f t="shared" ref="L35" si="23">SUM(L33:L34)</f>
        <v>-5797.4624633734966</v>
      </c>
    </row>
    <row r="36" spans="1:12" x14ac:dyDescent="0.35">
      <c r="A36" s="23"/>
      <c r="B36" s="39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s="35" customFormat="1" x14ac:dyDescent="0.35">
      <c r="A37" s="32" t="s">
        <v>110</v>
      </c>
      <c r="B37" s="41" t="s">
        <v>111</v>
      </c>
      <c r="C37" s="34">
        <f>C31+C35</f>
        <v>11215.739999999998</v>
      </c>
      <c r="D37" s="34">
        <f t="shared" ref="D37:L37" si="24">D31+D35</f>
        <v>9824.8899999999849</v>
      </c>
      <c r="E37" s="34">
        <f t="shared" si="24"/>
        <v>10298.440000000002</v>
      </c>
      <c r="F37" s="34">
        <f t="shared" si="24"/>
        <v>11175.350000000006</v>
      </c>
      <c r="G37" s="34">
        <f t="shared" si="24"/>
        <v>15928.480000000003</v>
      </c>
      <c r="H37" s="34">
        <f t="shared" si="24"/>
        <v>21218.477148708949</v>
      </c>
      <c r="I37" s="34">
        <f t="shared" si="24"/>
        <v>22581.502226812107</v>
      </c>
      <c r="J37" s="34">
        <f t="shared" si="24"/>
        <v>24870.304391894828</v>
      </c>
      <c r="K37" s="34">
        <f t="shared" si="24"/>
        <v>27051.301047894289</v>
      </c>
      <c r="L37" s="34">
        <f t="shared" si="24"/>
        <v>28589.665140488632</v>
      </c>
    </row>
    <row r="38" spans="1:12" x14ac:dyDescent="0.35">
      <c r="A38" s="23"/>
      <c r="B38" s="42" t="s">
        <v>112</v>
      </c>
      <c r="C38" s="26">
        <f>-PL!D15</f>
        <v>-5021.3500000000004</v>
      </c>
      <c r="D38" s="26">
        <f>-PL!E15</f>
        <v>-6021.15</v>
      </c>
      <c r="E38" s="26">
        <f>-PL!F15</f>
        <v>-6102.22</v>
      </c>
      <c r="F38" s="26">
        <f>-PL!G15</f>
        <v>-5018.05</v>
      </c>
      <c r="G38" s="26">
        <f>-PL!H15</f>
        <v>-5829.7</v>
      </c>
      <c r="H38" s="515">
        <f ca="1">-'DEbT &amp; Int1'!H41</f>
        <v>-7012.9256038541444</v>
      </c>
      <c r="I38" s="515">
        <f ca="1">-'DEbT &amp; Int1'!I41</f>
        <v>-6962.7394208294872</v>
      </c>
      <c r="J38" s="515">
        <f ca="1">-'DEbT &amp; Int1'!J41</f>
        <v>-7138.6475436324963</v>
      </c>
      <c r="K38" s="515">
        <f ca="1">-'DEbT &amp; Int1'!K41</f>
        <v>-7701.3726757151117</v>
      </c>
      <c r="L38" s="515">
        <f ca="1">-'DEbT &amp; Int1'!L41</f>
        <v>-8445.8284779901751</v>
      </c>
    </row>
    <row r="39" spans="1:12" x14ac:dyDescent="0.35">
      <c r="A39" s="23"/>
      <c r="B39" s="42" t="s">
        <v>61</v>
      </c>
      <c r="C39" s="26">
        <f>PL!D8</f>
        <v>1085.6099999999999</v>
      </c>
      <c r="D39" s="26">
        <f>PL!E8</f>
        <v>1028.69</v>
      </c>
      <c r="E39" s="26">
        <f>PL!F8</f>
        <v>1033.1099999999999</v>
      </c>
      <c r="F39" s="26">
        <f>PL!G8</f>
        <v>934.51</v>
      </c>
      <c r="G39" s="26">
        <f>PL!H8</f>
        <v>1206.49</v>
      </c>
      <c r="H39" s="30">
        <f>G39</f>
        <v>1206.49</v>
      </c>
      <c r="I39" s="30">
        <f t="shared" ref="I39:L39" si="25">H39</f>
        <v>1206.49</v>
      </c>
      <c r="J39" s="30">
        <f t="shared" si="25"/>
        <v>1206.49</v>
      </c>
      <c r="K39" s="30">
        <f t="shared" si="25"/>
        <v>1206.49</v>
      </c>
      <c r="L39" s="30">
        <f t="shared" si="25"/>
        <v>1206.49</v>
      </c>
    </row>
    <row r="40" spans="1:12" x14ac:dyDescent="0.35">
      <c r="A40" s="23"/>
      <c r="B40" s="42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 spans="1:12" s="35" customFormat="1" x14ac:dyDescent="0.35">
      <c r="A41" s="32" t="s">
        <v>113</v>
      </c>
      <c r="B41" s="43" t="s">
        <v>114</v>
      </c>
      <c r="C41" s="34">
        <f>SUM(C37:C39)</f>
        <v>7279.9999999999973</v>
      </c>
      <c r="D41" s="34">
        <f t="shared" ref="D41:H41" si="26">SUM(D37:D39)</f>
        <v>4832.4299999999857</v>
      </c>
      <c r="E41" s="34">
        <f t="shared" si="26"/>
        <v>5229.3300000000017</v>
      </c>
      <c r="F41" s="34">
        <f t="shared" si="26"/>
        <v>7091.8100000000059</v>
      </c>
      <c r="G41" s="34">
        <f t="shared" si="26"/>
        <v>11305.270000000002</v>
      </c>
      <c r="H41" s="34">
        <f t="shared" ca="1" si="26"/>
        <v>15412.041544854805</v>
      </c>
      <c r="I41" s="34">
        <f t="shared" ref="I41:L41" ca="1" si="27">SUM(I37:I39)</f>
        <v>16825.252805982622</v>
      </c>
      <c r="J41" s="34">
        <f t="shared" ca="1" si="27"/>
        <v>18938.146848262335</v>
      </c>
      <c r="K41" s="34">
        <f t="shared" ca="1" si="27"/>
        <v>20556.418372179178</v>
      </c>
      <c r="L41" s="34">
        <f t="shared" ca="1" si="27"/>
        <v>21350.326662498457</v>
      </c>
    </row>
    <row r="42" spans="1:12" s="35" customFormat="1" x14ac:dyDescent="0.35">
      <c r="A42" s="32"/>
      <c r="B42" s="5" t="s">
        <v>115</v>
      </c>
      <c r="C42" s="371">
        <f>PL!D20</f>
        <v>224.32</v>
      </c>
      <c r="D42" s="371">
        <f>PL!E20</f>
        <v>-1171.28</v>
      </c>
      <c r="E42" s="371">
        <f>PL!F20</f>
        <v>-1158.26</v>
      </c>
      <c r="F42" s="371">
        <f>PL!G20</f>
        <v>414.17</v>
      </c>
      <c r="G42" s="371">
        <f>PL!H20</f>
        <v>1249.52</v>
      </c>
      <c r="H42" s="169">
        <f>G42</f>
        <v>1249.52</v>
      </c>
      <c r="I42" s="169">
        <f t="shared" ref="I42:L42" si="28">H42</f>
        <v>1249.52</v>
      </c>
      <c r="J42" s="169">
        <f t="shared" si="28"/>
        <v>1249.52</v>
      </c>
      <c r="K42" s="169">
        <f t="shared" si="28"/>
        <v>1249.52</v>
      </c>
      <c r="L42" s="169">
        <f t="shared" si="28"/>
        <v>1249.52</v>
      </c>
    </row>
    <row r="43" spans="1:12" s="35" customFormat="1" x14ac:dyDescent="0.35">
      <c r="A43" s="32"/>
      <c r="B43" s="5" t="s">
        <v>330</v>
      </c>
      <c r="C43" s="371">
        <f>PL!D21</f>
        <v>1366.52</v>
      </c>
      <c r="D43" s="371">
        <f>PL!E21</f>
        <v>1027.28</v>
      </c>
      <c r="E43" s="371">
        <f>PL!F21</f>
        <v>1276.6600000000001</v>
      </c>
      <c r="F43" s="371">
        <f>PL!G21</f>
        <v>1855.79</v>
      </c>
      <c r="G43" s="371">
        <f>PL!H21</f>
        <v>1505.44</v>
      </c>
      <c r="H43" s="169">
        <f>G43</f>
        <v>1505.44</v>
      </c>
      <c r="I43" s="169">
        <f t="shared" ref="I43:L43" si="29">H43</f>
        <v>1505.44</v>
      </c>
      <c r="J43" s="169">
        <f t="shared" si="29"/>
        <v>1505.44</v>
      </c>
      <c r="K43" s="169">
        <f t="shared" si="29"/>
        <v>1505.44</v>
      </c>
      <c r="L43" s="169">
        <f t="shared" si="29"/>
        <v>1505.44</v>
      </c>
    </row>
    <row r="44" spans="1:12" s="35" customFormat="1" x14ac:dyDescent="0.35">
      <c r="A44" s="32"/>
      <c r="B44" s="8" t="s">
        <v>74</v>
      </c>
      <c r="C44" s="28">
        <f>SUM(C41:C43)</f>
        <v>8870.8399999999965</v>
      </c>
      <c r="D44" s="28">
        <f t="shared" ref="D44:L44" si="30">SUM(D41:D43)</f>
        <v>4688.4299999999857</v>
      </c>
      <c r="E44" s="28">
        <f t="shared" si="30"/>
        <v>5347.7300000000014</v>
      </c>
      <c r="F44" s="28">
        <f t="shared" si="30"/>
        <v>9361.7700000000059</v>
      </c>
      <c r="G44" s="28">
        <f t="shared" si="30"/>
        <v>14060.230000000003</v>
      </c>
      <c r="H44" s="28">
        <f t="shared" ca="1" si="30"/>
        <v>18167.001544854804</v>
      </c>
      <c r="I44" s="28">
        <f t="shared" ca="1" si="30"/>
        <v>19580.212805982621</v>
      </c>
      <c r="J44" s="28">
        <f t="shared" ca="1" si="30"/>
        <v>21693.106848262334</v>
      </c>
      <c r="K44" s="28">
        <f t="shared" ca="1" si="30"/>
        <v>23311.378372179177</v>
      </c>
      <c r="L44" s="28">
        <f t="shared" ca="1" si="30"/>
        <v>24105.286662498456</v>
      </c>
    </row>
    <row r="45" spans="1:12" s="35" customFormat="1" x14ac:dyDescent="0.35">
      <c r="A45" s="32"/>
      <c r="B45" s="6" t="s">
        <v>116</v>
      </c>
      <c r="C45" s="44"/>
      <c r="D45" s="44"/>
      <c r="E45" s="44"/>
      <c r="F45" s="44"/>
      <c r="G45" s="44"/>
      <c r="H45" s="47"/>
      <c r="I45" s="47"/>
      <c r="J45" s="47"/>
      <c r="K45" s="47"/>
      <c r="L45" s="47"/>
    </row>
    <row r="46" spans="1:12" s="35" customFormat="1" x14ac:dyDescent="0.35">
      <c r="A46" s="32"/>
      <c r="B46" s="6" t="s">
        <v>117</v>
      </c>
      <c r="C46" s="371">
        <f>-PL!D24</f>
        <v>-2350.46</v>
      </c>
      <c r="D46" s="371">
        <f>-PL!E24</f>
        <v>-2314.16</v>
      </c>
      <c r="E46" s="371">
        <f>-PL!F24</f>
        <v>-2014.89</v>
      </c>
      <c r="F46" s="371">
        <f>-PL!G24</f>
        <v>-1868.1</v>
      </c>
      <c r="G46" s="371">
        <f>-PL!H24</f>
        <v>-2742.04</v>
      </c>
      <c r="H46" s="48"/>
      <c r="I46" s="48"/>
      <c r="J46" s="48"/>
      <c r="K46" s="48"/>
      <c r="L46" s="48"/>
    </row>
    <row r="47" spans="1:12" s="35" customFormat="1" x14ac:dyDescent="0.35">
      <c r="A47" s="32"/>
      <c r="B47" s="6" t="s">
        <v>118</v>
      </c>
      <c r="C47" s="371">
        <f>-PL!D25</f>
        <v>-503.53</v>
      </c>
      <c r="D47" s="371">
        <f>-PL!E25</f>
        <v>338.55</v>
      </c>
      <c r="E47" s="371">
        <f>-PL!F25</f>
        <v>369.08</v>
      </c>
      <c r="F47" s="371">
        <f>-PL!G25</f>
        <v>-240.66</v>
      </c>
      <c r="G47" s="371">
        <f>-PL!H25</f>
        <v>56.29</v>
      </c>
      <c r="H47" s="45"/>
      <c r="I47" s="45"/>
      <c r="J47" s="45"/>
      <c r="K47" s="45"/>
      <c r="L47" s="45"/>
    </row>
    <row r="48" spans="1:12" s="35" customFormat="1" x14ac:dyDescent="0.35">
      <c r="A48" s="32"/>
      <c r="B48" s="8" t="s">
        <v>119</v>
      </c>
      <c r="C48" s="28">
        <f>C47+C46</f>
        <v>-2853.99</v>
      </c>
      <c r="D48" s="28">
        <f t="shared" ref="D48:G48" si="31">D47+D46</f>
        <v>-1975.61</v>
      </c>
      <c r="E48" s="28">
        <f t="shared" si="31"/>
        <v>-1645.8100000000002</v>
      </c>
      <c r="F48" s="28">
        <f t="shared" si="31"/>
        <v>-2108.7599999999998</v>
      </c>
      <c r="G48" s="28">
        <f t="shared" si="31"/>
        <v>-2685.75</v>
      </c>
      <c r="H48" s="28">
        <f ca="1">H44*H52</f>
        <v>-5330.690226885602</v>
      </c>
      <c r="I48" s="28">
        <f t="shared" ref="I48:L48" ca="1" si="32">I44*I52</f>
        <v>-5745.3646815345201</v>
      </c>
      <c r="J48" s="28">
        <f t="shared" ca="1" si="32"/>
        <v>-6365.3450120153748</v>
      </c>
      <c r="K48" s="28">
        <f t="shared" ca="1" si="32"/>
        <v>-6840.1897009251943</v>
      </c>
      <c r="L48" s="28">
        <f t="shared" ca="1" si="32"/>
        <v>-7073.1438928318403</v>
      </c>
    </row>
    <row r="49" spans="1:12" s="35" customFormat="1" x14ac:dyDescent="0.35">
      <c r="A49" s="32"/>
      <c r="B49" s="5"/>
      <c r="C49" s="44"/>
      <c r="D49" s="44"/>
      <c r="E49" s="44"/>
      <c r="F49" s="44"/>
      <c r="G49" s="44"/>
      <c r="H49" s="45"/>
      <c r="I49" s="45"/>
      <c r="J49" s="45"/>
      <c r="K49" s="45"/>
      <c r="L49" s="45"/>
    </row>
    <row r="50" spans="1:12" s="35" customFormat="1" x14ac:dyDescent="0.35">
      <c r="A50" s="32" t="s">
        <v>120</v>
      </c>
      <c r="B50" s="8" t="s">
        <v>121</v>
      </c>
      <c r="C50" s="28">
        <f>C44+C48</f>
        <v>6016.8499999999967</v>
      </c>
      <c r="D50" s="28">
        <f t="shared" ref="D50:L50" si="33">D44+D48</f>
        <v>2712.8199999999861</v>
      </c>
      <c r="E50" s="28">
        <f t="shared" si="33"/>
        <v>3701.920000000001</v>
      </c>
      <c r="F50" s="28">
        <f t="shared" si="33"/>
        <v>7253.0100000000057</v>
      </c>
      <c r="G50" s="28">
        <f t="shared" si="33"/>
        <v>11374.480000000003</v>
      </c>
      <c r="H50" s="28">
        <f t="shared" ca="1" si="33"/>
        <v>12836.311317969201</v>
      </c>
      <c r="I50" s="28">
        <f t="shared" ca="1" si="33"/>
        <v>13834.848124448101</v>
      </c>
      <c r="J50" s="28">
        <f t="shared" ca="1" si="33"/>
        <v>15327.761836246958</v>
      </c>
      <c r="K50" s="28">
        <f t="shared" ca="1" si="33"/>
        <v>16471.188671253982</v>
      </c>
      <c r="L50" s="28">
        <f t="shared" ca="1" si="33"/>
        <v>17032.142769666614</v>
      </c>
    </row>
    <row r="51" spans="1:12" x14ac:dyDescent="0.35">
      <c r="A51" s="23"/>
      <c r="B51" s="5"/>
      <c r="C51" s="51"/>
      <c r="D51" s="51"/>
      <c r="E51" s="51"/>
      <c r="F51" s="51"/>
      <c r="G51" s="51"/>
      <c r="H51" s="51"/>
      <c r="I51" s="51"/>
      <c r="J51" s="51"/>
      <c r="K51" s="51"/>
      <c r="L51" s="51"/>
    </row>
    <row r="52" spans="1:12" x14ac:dyDescent="0.35">
      <c r="A52" s="23"/>
      <c r="B52" s="5" t="s">
        <v>122</v>
      </c>
      <c r="C52" s="372">
        <f>C48/C44</f>
        <v>-0.32172714196175345</v>
      </c>
      <c r="D52" s="372">
        <f t="shared" ref="D52:G52" si="34">D48/D44</f>
        <v>-0.4213798649014715</v>
      </c>
      <c r="E52" s="372">
        <f t="shared" si="34"/>
        <v>-0.3077586190776273</v>
      </c>
      <c r="F52" s="372">
        <f t="shared" si="34"/>
        <v>-0.22525227601190784</v>
      </c>
      <c r="G52" s="372">
        <f t="shared" si="34"/>
        <v>-0.19101750113618335</v>
      </c>
      <c r="H52" s="472">
        <f>AVERAGE(C52:G52)</f>
        <v>-0.29342708061778866</v>
      </c>
      <c r="I52" s="53">
        <f>H52</f>
        <v>-0.29342708061778866</v>
      </c>
      <c r="J52" s="53">
        <f t="shared" ref="J52:L52" si="35">I52</f>
        <v>-0.29342708061778866</v>
      </c>
      <c r="K52" s="53">
        <f t="shared" si="35"/>
        <v>-0.29342708061778866</v>
      </c>
      <c r="L52" s="53">
        <f t="shared" si="35"/>
        <v>-0.29342708061778866</v>
      </c>
    </row>
    <row r="53" spans="1:12" x14ac:dyDescent="0.35">
      <c r="A53" s="23"/>
      <c r="B53" s="5"/>
      <c r="C53" s="46"/>
      <c r="D53" s="46"/>
      <c r="E53" s="46"/>
      <c r="F53" s="50"/>
      <c r="G53" s="50"/>
      <c r="H53" s="50"/>
      <c r="I53" s="50"/>
      <c r="J53" s="50"/>
      <c r="K53" s="50"/>
      <c r="L53" s="50"/>
    </row>
    <row r="54" spans="1:12" x14ac:dyDescent="0.35">
      <c r="A54" s="23"/>
      <c r="B54" s="5"/>
      <c r="C54" s="46"/>
      <c r="D54" s="46"/>
      <c r="E54" s="46"/>
      <c r="F54" s="50"/>
      <c r="G54" s="50"/>
      <c r="H54" s="50"/>
      <c r="I54" s="50"/>
      <c r="J54" s="50"/>
      <c r="K54" s="50"/>
      <c r="L54" s="50"/>
    </row>
    <row r="55" spans="1:12" x14ac:dyDescent="0.35">
      <c r="A55" s="23"/>
      <c r="B55" s="5"/>
      <c r="C55" s="51"/>
      <c r="D55" s="51"/>
      <c r="E55" s="51"/>
      <c r="F55" s="51"/>
      <c r="G55" s="51"/>
      <c r="H55" s="51"/>
      <c r="I55" s="52"/>
      <c r="J55" s="52"/>
      <c r="K55" s="52"/>
      <c r="L55" s="52"/>
    </row>
    <row r="56" spans="1:12" x14ac:dyDescent="0.35">
      <c r="A56" s="23" t="s">
        <v>123</v>
      </c>
      <c r="B56" s="5"/>
      <c r="C56" s="46"/>
      <c r="D56" s="51"/>
      <c r="E56" s="51"/>
      <c r="F56" s="50"/>
      <c r="G56" s="50"/>
      <c r="H56" s="50"/>
      <c r="I56" s="50"/>
      <c r="J56" s="50"/>
      <c r="K56" s="50"/>
      <c r="L56" s="50"/>
    </row>
    <row r="57" spans="1:12" x14ac:dyDescent="0.35">
      <c r="A57" s="23"/>
      <c r="B57" s="5"/>
      <c r="C57" s="46"/>
      <c r="D57" s="51"/>
      <c r="E57" s="51"/>
      <c r="F57" s="50"/>
      <c r="G57" s="50"/>
      <c r="H57" s="50"/>
      <c r="I57" s="50"/>
      <c r="J57" s="50"/>
      <c r="K57" s="50"/>
      <c r="L57" s="50"/>
    </row>
    <row r="58" spans="1:12" ht="29" x14ac:dyDescent="0.35">
      <c r="A58" s="23"/>
      <c r="B58" s="8" t="s">
        <v>124</v>
      </c>
      <c r="C58" s="49"/>
      <c r="D58" s="49"/>
      <c r="E58" s="49"/>
      <c r="F58" s="49"/>
      <c r="G58" s="49"/>
      <c r="H58" s="49"/>
      <c r="I58" s="49"/>
      <c r="J58" s="49"/>
      <c r="K58" s="49"/>
      <c r="L58" s="49"/>
    </row>
    <row r="59" spans="1:12" x14ac:dyDescent="0.35">
      <c r="A59" s="23"/>
      <c r="B59" s="5" t="s">
        <v>125</v>
      </c>
      <c r="C59" s="46"/>
      <c r="D59" s="46"/>
      <c r="E59" s="46"/>
      <c r="F59" s="50"/>
      <c r="G59" s="50"/>
      <c r="H59" s="50"/>
      <c r="I59" s="50"/>
      <c r="J59" s="50"/>
      <c r="K59" s="50"/>
      <c r="L59" s="50"/>
    </row>
    <row r="60" spans="1:12" x14ac:dyDescent="0.35">
      <c r="A60" s="23"/>
      <c r="B60" s="5"/>
      <c r="C60" s="46"/>
      <c r="D60" s="46"/>
      <c r="E60" s="46"/>
      <c r="F60" s="50"/>
      <c r="G60" s="50"/>
      <c r="H60" s="50"/>
      <c r="I60" s="50"/>
      <c r="J60" s="50"/>
      <c r="K60" s="50"/>
      <c r="L60" s="50"/>
    </row>
    <row r="61" spans="1:12" x14ac:dyDescent="0.35">
      <c r="A61" s="54"/>
      <c r="B61" s="55" t="s">
        <v>126</v>
      </c>
      <c r="C61" s="56">
        <f>C50</f>
        <v>6016.8499999999967</v>
      </c>
      <c r="D61" s="56">
        <f t="shared" ref="D61:L61" si="36">D50</f>
        <v>2712.8199999999861</v>
      </c>
      <c r="E61" s="56">
        <f t="shared" si="36"/>
        <v>3701.920000000001</v>
      </c>
      <c r="F61" s="56">
        <f t="shared" si="36"/>
        <v>7253.0100000000057</v>
      </c>
      <c r="G61" s="56">
        <f t="shared" si="36"/>
        <v>11374.480000000003</v>
      </c>
      <c r="H61" s="56">
        <f t="shared" ca="1" si="36"/>
        <v>12836.311317969201</v>
      </c>
      <c r="I61" s="56">
        <f t="shared" ca="1" si="36"/>
        <v>13834.848124448101</v>
      </c>
      <c r="J61" s="56">
        <f t="shared" ca="1" si="36"/>
        <v>15327.761836246958</v>
      </c>
      <c r="K61" s="56">
        <f t="shared" ca="1" si="36"/>
        <v>16471.188671253982</v>
      </c>
      <c r="L61" s="56">
        <f t="shared" ca="1" si="36"/>
        <v>17032.142769666614</v>
      </c>
    </row>
    <row r="62" spans="1:12" x14ac:dyDescent="0.35">
      <c r="A62" s="57"/>
      <c r="B62" s="24"/>
      <c r="C62" s="58"/>
      <c r="D62" s="58"/>
      <c r="E62" s="59"/>
      <c r="F62" s="59"/>
      <c r="G62" s="59"/>
      <c r="H62" s="59"/>
      <c r="I62" s="59"/>
      <c r="J62" s="59"/>
      <c r="K62" s="59"/>
      <c r="L62" s="59"/>
    </row>
    <row r="63" spans="1:12" x14ac:dyDescent="0.35">
      <c r="A63" s="57"/>
      <c r="B63" s="39" t="s">
        <v>127</v>
      </c>
      <c r="C63" s="58"/>
      <c r="D63" s="58"/>
      <c r="E63" s="19"/>
      <c r="F63" s="19"/>
      <c r="G63" s="19"/>
      <c r="H63" s="19"/>
      <c r="I63" s="19"/>
      <c r="J63" s="19"/>
      <c r="K63" s="19"/>
      <c r="L63" s="19"/>
    </row>
    <row r="64" spans="1:12" x14ac:dyDescent="0.35">
      <c r="A64" s="57"/>
      <c r="B64" s="39"/>
      <c r="C64" s="58"/>
      <c r="D64" s="58"/>
      <c r="E64" s="19"/>
      <c r="F64" s="19"/>
      <c r="G64" s="19"/>
      <c r="H64" s="19"/>
      <c r="I64" s="19"/>
      <c r="J64" s="19"/>
      <c r="K64" s="19"/>
      <c r="L64" s="19"/>
    </row>
    <row r="65" spans="1:12" x14ac:dyDescent="0.35">
      <c r="A65" s="57"/>
      <c r="B65" s="60" t="s">
        <v>128</v>
      </c>
      <c r="C65" s="61"/>
      <c r="D65" s="61"/>
      <c r="E65" s="19"/>
      <c r="F65" s="19"/>
      <c r="G65" s="19"/>
      <c r="H65" s="19"/>
      <c r="I65" s="19"/>
      <c r="J65" s="19"/>
      <c r="K65" s="19"/>
      <c r="L65" s="19"/>
    </row>
    <row r="66" spans="1:12" x14ac:dyDescent="0.35">
      <c r="A66" s="57"/>
      <c r="B66" s="5" t="s">
        <v>129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</row>
    <row r="67" spans="1:12" x14ac:dyDescent="0.35">
      <c r="A67" s="57"/>
      <c r="B67" s="5" t="s">
        <v>130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</row>
    <row r="68" spans="1:12" x14ac:dyDescent="0.35">
      <c r="A68" s="57"/>
      <c r="B68" s="5"/>
      <c r="C68" s="19"/>
      <c r="D68" s="19"/>
      <c r="E68" s="19"/>
      <c r="F68" s="19"/>
      <c r="G68" s="19"/>
      <c r="H68" s="19"/>
      <c r="I68" s="19"/>
      <c r="J68" s="19"/>
      <c r="K68" s="19"/>
      <c r="L68" s="19"/>
    </row>
    <row r="69" spans="1:12" x14ac:dyDescent="0.35">
      <c r="A69" s="57"/>
      <c r="B69" s="62" t="s">
        <v>131</v>
      </c>
      <c r="C69" s="63"/>
      <c r="D69" s="63"/>
      <c r="E69" s="63"/>
      <c r="F69" s="63"/>
      <c r="G69" s="63"/>
      <c r="H69" s="59"/>
      <c r="I69" s="59"/>
      <c r="J69" s="59"/>
      <c r="K69" s="59"/>
      <c r="L69" s="59"/>
    </row>
    <row r="70" spans="1:12" x14ac:dyDescent="0.35">
      <c r="A70" s="57"/>
      <c r="B70" s="62"/>
      <c r="C70" s="63"/>
      <c r="D70" s="63"/>
      <c r="E70" s="63"/>
      <c r="F70" s="59"/>
      <c r="G70" s="59"/>
      <c r="H70" s="59"/>
      <c r="I70" s="59"/>
      <c r="J70" s="59"/>
      <c r="K70" s="59"/>
      <c r="L70" s="59"/>
    </row>
    <row r="71" spans="1:12" x14ac:dyDescent="0.35">
      <c r="A71" s="21"/>
      <c r="B71" s="18"/>
      <c r="C71" s="64"/>
      <c r="D71" s="64"/>
      <c r="E71" s="19"/>
      <c r="F71" s="19"/>
      <c r="G71" s="19"/>
      <c r="H71" s="19"/>
      <c r="I71" s="19"/>
      <c r="J71" s="19"/>
      <c r="K71" s="19"/>
      <c r="L71" s="19"/>
    </row>
    <row r="72" spans="1:12" s="17" customFormat="1" x14ac:dyDescent="0.35">
      <c r="A72" s="65"/>
      <c r="B72" s="66"/>
      <c r="C72" s="67"/>
      <c r="D72" s="67"/>
      <c r="E72" s="67"/>
      <c r="F72" s="67"/>
      <c r="G72" s="67"/>
      <c r="H72" s="67"/>
      <c r="I72" s="67"/>
      <c r="J72" s="67"/>
      <c r="K72" s="67"/>
      <c r="L72" s="67"/>
    </row>
    <row r="73" spans="1:12" x14ac:dyDescent="0.35">
      <c r="A73" s="23"/>
      <c r="B73" s="24"/>
      <c r="C73" s="19"/>
      <c r="D73" s="19"/>
      <c r="E73" s="19"/>
      <c r="F73" s="19"/>
      <c r="G73" s="19"/>
      <c r="H73" s="19"/>
      <c r="I73" s="19"/>
      <c r="J73" s="19"/>
      <c r="K73" s="19"/>
      <c r="L73" s="19"/>
    </row>
    <row r="74" spans="1:12" x14ac:dyDescent="0.35">
      <c r="A74" s="23"/>
      <c r="B74" s="8"/>
      <c r="C74" s="19"/>
      <c r="D74" s="59"/>
      <c r="E74" s="59"/>
      <c r="F74" s="19"/>
      <c r="G74" s="19"/>
      <c r="H74" s="19"/>
      <c r="I74" s="19"/>
      <c r="J74" s="19"/>
      <c r="K74" s="19"/>
      <c r="L74" s="19"/>
    </row>
    <row r="75" spans="1:12" x14ac:dyDescent="0.35">
      <c r="A75" s="23"/>
      <c r="B75" s="41"/>
      <c r="C75" s="19"/>
      <c r="D75" s="59"/>
      <c r="E75" s="59"/>
      <c r="F75" s="19"/>
      <c r="G75" s="19"/>
      <c r="H75" s="19"/>
      <c r="I75" s="19"/>
      <c r="J75" s="19"/>
      <c r="K75" s="19"/>
      <c r="L75" s="19"/>
    </row>
    <row r="76" spans="1:12" x14ac:dyDescent="0.35">
      <c r="A76" s="23"/>
      <c r="B76" s="42"/>
      <c r="C76" s="19"/>
      <c r="D76" s="59"/>
      <c r="E76" s="59"/>
      <c r="F76" s="19"/>
      <c r="G76" s="19"/>
      <c r="H76" s="19"/>
      <c r="I76" s="19"/>
      <c r="J76" s="19"/>
      <c r="K76" s="19"/>
      <c r="L76" s="19"/>
    </row>
    <row r="77" spans="1:12" x14ac:dyDescent="0.35">
      <c r="A77" s="27"/>
      <c r="B77" s="42"/>
      <c r="C77" s="19"/>
      <c r="D77" s="59"/>
      <c r="E77" s="59"/>
      <c r="F77" s="19"/>
      <c r="G77" s="19"/>
      <c r="H77" s="19"/>
      <c r="I77" s="19"/>
      <c r="J77" s="19"/>
      <c r="K77" s="19"/>
      <c r="L77" s="19"/>
    </row>
    <row r="78" spans="1:12" x14ac:dyDescent="0.35">
      <c r="A78" s="23"/>
      <c r="B78" s="42"/>
      <c r="C78" s="19"/>
      <c r="D78" s="59"/>
      <c r="E78" s="59"/>
      <c r="F78" s="19"/>
      <c r="G78" s="19"/>
      <c r="H78" s="19"/>
      <c r="I78" s="19"/>
      <c r="J78" s="19"/>
      <c r="K78" s="19"/>
      <c r="L78" s="19"/>
    </row>
    <row r="79" spans="1:12" x14ac:dyDescent="0.35">
      <c r="A79" s="23"/>
      <c r="B79" s="43"/>
      <c r="C79" s="19"/>
      <c r="D79" s="59"/>
      <c r="E79" s="59"/>
      <c r="F79" s="19"/>
      <c r="G79" s="19"/>
      <c r="H79" s="19"/>
      <c r="I79" s="19"/>
      <c r="J79" s="19"/>
      <c r="K79" s="19"/>
      <c r="L79" s="19"/>
    </row>
    <row r="80" spans="1:12" x14ac:dyDescent="0.35">
      <c r="A80" s="23"/>
      <c r="B80" s="5"/>
      <c r="C80" s="19"/>
      <c r="D80" s="59"/>
      <c r="E80" s="59"/>
      <c r="F80" s="19"/>
      <c r="G80" s="19"/>
      <c r="H80" s="19"/>
      <c r="I80" s="19"/>
      <c r="J80" s="19"/>
      <c r="K80" s="19"/>
      <c r="L80" s="19"/>
    </row>
    <row r="81" spans="1:12" x14ac:dyDescent="0.35">
      <c r="A81" s="23"/>
      <c r="B81" s="8"/>
      <c r="C81" s="19"/>
      <c r="D81" s="59"/>
      <c r="E81" s="19"/>
      <c r="F81" s="19"/>
      <c r="G81" s="19"/>
      <c r="H81" s="19"/>
      <c r="I81" s="19"/>
      <c r="J81" s="19"/>
      <c r="K81" s="19"/>
      <c r="L81" s="19"/>
    </row>
    <row r="82" spans="1:12" x14ac:dyDescent="0.35">
      <c r="A82" s="23"/>
      <c r="B82" s="5"/>
      <c r="C82" s="19"/>
      <c r="D82" s="59"/>
      <c r="E82" s="59"/>
      <c r="F82" s="19"/>
      <c r="G82" s="19"/>
      <c r="H82" s="19"/>
      <c r="I82" s="19"/>
      <c r="J82" s="19"/>
      <c r="K82" s="19"/>
      <c r="L82" s="19"/>
    </row>
    <row r="83" spans="1:12" x14ac:dyDescent="0.35">
      <c r="A83" s="23"/>
      <c r="B83" s="5"/>
      <c r="C83" s="19"/>
      <c r="D83" s="59"/>
      <c r="E83" s="59"/>
      <c r="F83" s="19"/>
      <c r="G83" s="19"/>
      <c r="H83" s="19"/>
      <c r="I83" s="19"/>
      <c r="J83" s="19"/>
      <c r="K83" s="19"/>
      <c r="L83" s="19"/>
    </row>
    <row r="84" spans="1:12" x14ac:dyDescent="0.35">
      <c r="A84" s="23"/>
      <c r="B84" s="5"/>
      <c r="C84" s="19"/>
      <c r="D84" s="59"/>
      <c r="E84" s="59"/>
      <c r="F84" s="19"/>
      <c r="G84" s="19"/>
      <c r="H84" s="19"/>
      <c r="I84" s="19"/>
      <c r="J84" s="19"/>
      <c r="K84" s="19"/>
      <c r="L84" s="19"/>
    </row>
    <row r="85" spans="1:12" x14ac:dyDescent="0.35">
      <c r="A85" s="23"/>
      <c r="B85" s="8"/>
      <c r="C85" s="19"/>
      <c r="D85" s="59"/>
      <c r="E85" s="59"/>
      <c r="F85" s="19"/>
      <c r="G85" s="19"/>
      <c r="H85" s="19"/>
      <c r="I85" s="19"/>
      <c r="J85" s="19"/>
      <c r="K85" s="19"/>
      <c r="L85" s="19"/>
    </row>
    <row r="86" spans="1:12" x14ac:dyDescent="0.35">
      <c r="A86" s="32"/>
      <c r="B86" s="5"/>
      <c r="C86" s="19"/>
      <c r="D86" s="59"/>
      <c r="E86" s="59"/>
      <c r="F86" s="19"/>
      <c r="G86" s="19"/>
      <c r="H86" s="19"/>
      <c r="I86" s="19"/>
      <c r="J86" s="19"/>
      <c r="K86" s="19"/>
      <c r="L86" s="19"/>
    </row>
    <row r="87" spans="1:12" x14ac:dyDescent="0.35">
      <c r="A87" s="23"/>
      <c r="B87" s="8"/>
      <c r="C87" s="19"/>
      <c r="D87" s="59"/>
      <c r="E87" s="59"/>
      <c r="F87" s="19"/>
      <c r="G87" s="19"/>
      <c r="H87" s="19"/>
      <c r="I87" s="19"/>
      <c r="J87" s="19"/>
      <c r="K87" s="19"/>
      <c r="L87" s="19"/>
    </row>
    <row r="88" spans="1:12" x14ac:dyDescent="0.35">
      <c r="A88" s="32"/>
      <c r="B88" s="33"/>
      <c r="C88" s="19"/>
      <c r="D88" s="59"/>
      <c r="E88" s="59"/>
      <c r="F88" s="19"/>
      <c r="G88" s="19"/>
      <c r="H88" s="19"/>
      <c r="I88" s="19"/>
      <c r="J88" s="19"/>
      <c r="K88" s="19"/>
      <c r="L88" s="19"/>
    </row>
    <row r="89" spans="1:12" x14ac:dyDescent="0.35">
      <c r="A89" s="32"/>
      <c r="B89" s="33"/>
      <c r="C89" s="19"/>
      <c r="D89" s="59"/>
      <c r="E89" s="59"/>
      <c r="F89" s="19"/>
      <c r="G89" s="19"/>
      <c r="H89" s="19"/>
      <c r="I89" s="19"/>
      <c r="J89" s="19"/>
      <c r="K89" s="19"/>
      <c r="L89" s="19"/>
    </row>
    <row r="90" spans="1:12" x14ac:dyDescent="0.35">
      <c r="A90" s="23"/>
      <c r="B90" s="24"/>
      <c r="C90" s="19"/>
      <c r="D90" s="59"/>
      <c r="E90" s="59"/>
      <c r="F90" s="19"/>
      <c r="G90" s="19"/>
      <c r="H90" s="19"/>
      <c r="I90" s="19"/>
      <c r="J90" s="19"/>
      <c r="K90" s="19"/>
      <c r="L90" s="19"/>
    </row>
    <row r="91" spans="1:12" x14ac:dyDescent="0.35">
      <c r="A91" s="23"/>
      <c r="B91" s="36"/>
      <c r="C91" s="19"/>
      <c r="D91" s="59"/>
      <c r="E91" s="59"/>
      <c r="F91" s="19"/>
      <c r="G91" s="19"/>
      <c r="H91" s="19"/>
      <c r="I91" s="19"/>
      <c r="J91" s="19"/>
      <c r="K91" s="19"/>
      <c r="L91" s="19"/>
    </row>
    <row r="92" spans="1:12" x14ac:dyDescent="0.35">
      <c r="A92" s="23"/>
      <c r="B92" s="36"/>
      <c r="C92" s="19"/>
      <c r="D92" s="59"/>
      <c r="E92" s="59"/>
      <c r="F92" s="19"/>
      <c r="G92" s="19"/>
      <c r="H92" s="19"/>
      <c r="I92" s="19"/>
      <c r="J92" s="19"/>
      <c r="K92" s="19"/>
      <c r="L92" s="19"/>
    </row>
    <row r="93" spans="1:12" x14ac:dyDescent="0.35">
      <c r="A93" s="23"/>
      <c r="B93" s="36"/>
      <c r="C93" s="19"/>
      <c r="D93" s="59"/>
      <c r="E93" s="59"/>
      <c r="F93" s="19"/>
      <c r="G93" s="19"/>
      <c r="H93" s="19"/>
      <c r="I93" s="19"/>
      <c r="J93" s="19"/>
      <c r="K93" s="19"/>
      <c r="L93" s="19"/>
    </row>
    <row r="94" spans="1:12" x14ac:dyDescent="0.35">
      <c r="A94" s="23"/>
      <c r="B94" s="5"/>
      <c r="C94" s="19"/>
      <c r="D94" s="59"/>
      <c r="E94" s="59"/>
      <c r="F94" s="19"/>
      <c r="G94" s="19"/>
      <c r="H94" s="19"/>
      <c r="I94" s="19"/>
      <c r="J94" s="19"/>
      <c r="K94" s="19"/>
      <c r="L94" s="19"/>
    </row>
    <row r="95" spans="1:12" x14ac:dyDescent="0.35">
      <c r="A95" s="23"/>
      <c r="B95" s="37"/>
      <c r="C95" s="19"/>
      <c r="D95" s="59"/>
      <c r="E95" s="59"/>
      <c r="F95" s="19"/>
      <c r="G95" s="19"/>
      <c r="H95" s="19"/>
      <c r="I95" s="19"/>
      <c r="J95" s="19"/>
      <c r="K95" s="19"/>
      <c r="L95" s="19"/>
    </row>
    <row r="96" spans="1:12" x14ac:dyDescent="0.35">
      <c r="A96" s="23"/>
      <c r="B96" s="37"/>
      <c r="C96" s="19"/>
      <c r="D96" s="59"/>
      <c r="E96" s="59"/>
      <c r="F96" s="19"/>
      <c r="G96" s="19"/>
      <c r="H96" s="19"/>
      <c r="I96" s="19"/>
      <c r="J96" s="19"/>
      <c r="K96" s="19"/>
      <c r="L96" s="19"/>
    </row>
    <row r="97" spans="1:12" x14ac:dyDescent="0.35">
      <c r="A97" s="23"/>
      <c r="B97" s="37"/>
      <c r="C97" s="19"/>
      <c r="D97" s="59"/>
      <c r="E97" s="59"/>
      <c r="F97" s="19"/>
      <c r="G97" s="19"/>
      <c r="H97" s="19"/>
      <c r="I97" s="19"/>
      <c r="J97" s="19"/>
      <c r="K97" s="19"/>
      <c r="L97" s="19"/>
    </row>
    <row r="98" spans="1:12" x14ac:dyDescent="0.35">
      <c r="A98" s="23"/>
      <c r="B98" s="37"/>
      <c r="C98" s="19"/>
      <c r="D98" s="59"/>
      <c r="E98" s="59"/>
      <c r="F98" s="19"/>
      <c r="G98" s="19"/>
      <c r="H98" s="19"/>
      <c r="I98" s="19"/>
      <c r="J98" s="19"/>
      <c r="K98" s="19"/>
      <c r="L98" s="19"/>
    </row>
    <row r="99" spans="1:12" x14ac:dyDescent="0.35">
      <c r="A99" s="23"/>
      <c r="B99" s="37"/>
      <c r="C99" s="19"/>
      <c r="D99" s="59"/>
      <c r="E99" s="59"/>
      <c r="F99" s="19"/>
      <c r="G99" s="19"/>
      <c r="H99" s="19"/>
      <c r="I99" s="19"/>
      <c r="J99" s="19"/>
      <c r="K99" s="19"/>
      <c r="L99" s="19"/>
    </row>
    <row r="100" spans="1:12" x14ac:dyDescent="0.35">
      <c r="A100" s="23"/>
      <c r="B100" s="42"/>
      <c r="C100" s="19"/>
      <c r="D100" s="59"/>
      <c r="E100" s="59"/>
      <c r="F100" s="19"/>
      <c r="G100" s="19"/>
      <c r="H100" s="19"/>
      <c r="I100" s="19"/>
      <c r="J100" s="19"/>
      <c r="K100" s="19"/>
      <c r="L100" s="19"/>
    </row>
    <row r="101" spans="1:12" x14ac:dyDescent="0.35">
      <c r="A101" s="32"/>
      <c r="B101" s="41"/>
      <c r="C101" s="19"/>
      <c r="D101" s="59"/>
      <c r="E101" s="59"/>
      <c r="F101" s="19"/>
      <c r="G101" s="19"/>
      <c r="H101" s="19"/>
      <c r="I101" s="19"/>
      <c r="J101" s="19"/>
      <c r="K101" s="19"/>
      <c r="L101" s="19"/>
    </row>
    <row r="102" spans="1:12" x14ac:dyDescent="0.35">
      <c r="A102" s="23"/>
      <c r="B102" s="42"/>
      <c r="C102" s="19"/>
      <c r="D102" s="59"/>
      <c r="E102" s="59"/>
      <c r="F102" s="19"/>
      <c r="G102" s="19"/>
      <c r="H102" s="19"/>
      <c r="I102" s="19"/>
      <c r="J102" s="19"/>
      <c r="K102" s="19"/>
      <c r="L102" s="19"/>
    </row>
    <row r="103" spans="1:12" x14ac:dyDescent="0.35">
      <c r="A103" s="23"/>
      <c r="B103" s="42"/>
      <c r="C103" s="58"/>
      <c r="D103" s="59"/>
      <c r="E103" s="59"/>
      <c r="F103" s="19"/>
      <c r="G103" s="19"/>
      <c r="H103" s="19"/>
      <c r="I103" s="19"/>
      <c r="J103" s="19"/>
      <c r="K103" s="19"/>
      <c r="L103" s="19"/>
    </row>
    <row r="104" spans="1:12" x14ac:dyDescent="0.35">
      <c r="A104" s="23"/>
      <c r="B104" s="42"/>
      <c r="C104" s="58"/>
      <c r="D104" s="59"/>
      <c r="E104" s="59"/>
      <c r="F104" s="19"/>
      <c r="G104" s="19"/>
      <c r="H104" s="19"/>
      <c r="I104" s="19"/>
      <c r="J104" s="19"/>
      <c r="K104" s="19"/>
      <c r="L104" s="19"/>
    </row>
    <row r="105" spans="1:12" x14ac:dyDescent="0.35">
      <c r="A105" s="32"/>
      <c r="B105" s="43"/>
      <c r="C105" s="19"/>
      <c r="D105" s="59"/>
      <c r="E105" s="59"/>
      <c r="F105" s="19"/>
      <c r="G105" s="19"/>
      <c r="H105" s="19"/>
      <c r="I105" s="19"/>
      <c r="J105" s="19"/>
      <c r="K105" s="19"/>
      <c r="L105" s="19"/>
    </row>
    <row r="106" spans="1:12" x14ac:dyDescent="0.35">
      <c r="A106" s="32"/>
      <c r="B106" s="5"/>
      <c r="C106" s="19"/>
      <c r="D106" s="59"/>
      <c r="E106" s="59"/>
      <c r="F106" s="19"/>
      <c r="G106" s="19"/>
      <c r="H106" s="19"/>
      <c r="I106" s="19"/>
      <c r="J106" s="19"/>
      <c r="K106" s="19"/>
      <c r="L106" s="19"/>
    </row>
    <row r="107" spans="1:12" x14ac:dyDescent="0.35">
      <c r="A107" s="32"/>
      <c r="B107" s="8"/>
      <c r="C107" s="19"/>
      <c r="D107" s="59"/>
      <c r="E107" s="59"/>
      <c r="F107" s="19"/>
      <c r="G107" s="19"/>
      <c r="H107" s="19"/>
      <c r="I107" s="19"/>
      <c r="J107" s="19"/>
      <c r="K107" s="19"/>
      <c r="L107" s="19"/>
    </row>
    <row r="108" spans="1:12" s="17" customFormat="1" x14ac:dyDescent="0.35">
      <c r="A108" s="32"/>
      <c r="B108" s="5"/>
      <c r="C108" s="68"/>
      <c r="D108" s="59"/>
      <c r="E108" s="59"/>
      <c r="F108" s="68"/>
      <c r="G108" s="68"/>
      <c r="H108" s="68"/>
      <c r="I108" s="68"/>
      <c r="J108" s="69"/>
      <c r="K108" s="69"/>
      <c r="L108" s="69"/>
    </row>
    <row r="109" spans="1:12" x14ac:dyDescent="0.35">
      <c r="A109" s="32"/>
      <c r="B109" s="5"/>
      <c r="C109" s="19"/>
      <c r="D109" s="59"/>
      <c r="E109" s="59"/>
      <c r="F109" s="19"/>
      <c r="G109" s="19"/>
      <c r="H109" s="19"/>
      <c r="I109" s="19"/>
      <c r="J109" s="19"/>
      <c r="K109" s="19"/>
      <c r="L109" s="19"/>
    </row>
    <row r="110" spans="1:12" x14ac:dyDescent="0.35">
      <c r="A110" s="32"/>
      <c r="B110" s="5"/>
      <c r="C110" s="19"/>
      <c r="D110" s="59"/>
      <c r="E110" s="59"/>
      <c r="F110" s="19"/>
      <c r="G110" s="19"/>
      <c r="H110" s="19"/>
      <c r="I110" s="19"/>
      <c r="J110" s="19"/>
      <c r="K110" s="19"/>
      <c r="L110" s="19"/>
    </row>
    <row r="111" spans="1:12" x14ac:dyDescent="0.35">
      <c r="A111" s="32"/>
      <c r="B111" s="8"/>
      <c r="C111" s="19"/>
      <c r="D111" s="59"/>
      <c r="E111" s="59"/>
      <c r="F111" s="19"/>
      <c r="G111" s="19"/>
      <c r="H111" s="19"/>
      <c r="I111" s="19"/>
      <c r="J111" s="19"/>
      <c r="K111" s="19"/>
      <c r="L111" s="19"/>
    </row>
    <row r="112" spans="1:12" x14ac:dyDescent="0.35">
      <c r="A112" s="32"/>
      <c r="B112" s="5"/>
      <c r="C112" s="19"/>
      <c r="D112" s="59"/>
      <c r="E112" s="59"/>
      <c r="F112" s="19"/>
      <c r="G112" s="19"/>
      <c r="H112" s="19"/>
      <c r="I112" s="19"/>
      <c r="J112" s="19"/>
      <c r="K112" s="19"/>
      <c r="L112" s="19"/>
    </row>
    <row r="113" spans="1:12" x14ac:dyDescent="0.35">
      <c r="A113" s="32"/>
      <c r="B113" s="8"/>
      <c r="C113" s="19"/>
      <c r="D113" s="59"/>
      <c r="E113" s="59"/>
      <c r="F113" s="19"/>
      <c r="G113" s="19"/>
      <c r="H113" s="19"/>
      <c r="I113" s="19"/>
      <c r="J113" s="19"/>
      <c r="K113" s="19"/>
      <c r="L113" s="19"/>
    </row>
    <row r="114" spans="1:12" x14ac:dyDescent="0.35">
      <c r="A114" s="32"/>
      <c r="B114" s="8"/>
      <c r="C114" s="19"/>
      <c r="D114" s="59"/>
      <c r="E114" s="59"/>
      <c r="F114" s="19"/>
      <c r="G114" s="19"/>
      <c r="H114" s="19"/>
      <c r="I114" s="19"/>
      <c r="J114" s="19"/>
      <c r="K114" s="19"/>
      <c r="L114" s="19"/>
    </row>
    <row r="115" spans="1:12" x14ac:dyDescent="0.35">
      <c r="A115" s="23"/>
      <c r="B115" s="5"/>
      <c r="C115" s="19"/>
      <c r="D115" s="59"/>
      <c r="E115" s="59"/>
      <c r="F115" s="19"/>
      <c r="G115" s="19"/>
      <c r="H115" s="19"/>
      <c r="I115" s="19"/>
      <c r="J115" s="19"/>
      <c r="K115" s="19"/>
      <c r="L115" s="19"/>
    </row>
    <row r="116" spans="1:12" x14ac:dyDescent="0.35">
      <c r="A116" s="23"/>
      <c r="B116" s="5"/>
      <c r="C116" s="19"/>
      <c r="D116" s="59"/>
      <c r="E116" s="59"/>
      <c r="F116" s="19"/>
      <c r="G116" s="19"/>
      <c r="H116" s="19"/>
      <c r="I116" s="19"/>
      <c r="J116" s="19"/>
      <c r="K116" s="19"/>
      <c r="L116" s="19"/>
    </row>
    <row r="117" spans="1:12" x14ac:dyDescent="0.35">
      <c r="A117" s="23"/>
      <c r="B117" s="5"/>
      <c r="C117" s="19"/>
      <c r="D117" s="59"/>
      <c r="E117" s="59"/>
      <c r="F117" s="19"/>
      <c r="G117" s="19"/>
      <c r="H117" s="19"/>
      <c r="I117" s="19"/>
      <c r="J117" s="19"/>
      <c r="K117" s="19"/>
      <c r="L117" s="19"/>
    </row>
    <row r="118" spans="1:12" x14ac:dyDescent="0.35">
      <c r="A118" s="23"/>
      <c r="B118" s="5"/>
      <c r="C118" s="19"/>
      <c r="D118" s="59"/>
      <c r="E118" s="59"/>
      <c r="F118" s="19"/>
      <c r="G118" s="19"/>
      <c r="H118" s="19"/>
      <c r="I118" s="19"/>
      <c r="J118" s="19"/>
      <c r="K118" s="19"/>
      <c r="L118" s="19"/>
    </row>
    <row r="119" spans="1:12" x14ac:dyDescent="0.35">
      <c r="A119" s="23"/>
      <c r="B119" s="5"/>
      <c r="C119" s="19"/>
      <c r="D119" s="59"/>
      <c r="E119" s="59"/>
      <c r="F119" s="19"/>
      <c r="G119" s="19"/>
      <c r="H119" s="19"/>
      <c r="I119" s="19"/>
      <c r="J119" s="19"/>
      <c r="K119" s="19"/>
      <c r="L119" s="19"/>
    </row>
    <row r="120" spans="1:12" x14ac:dyDescent="0.35">
      <c r="A120" s="23"/>
      <c r="B120" s="5"/>
      <c r="C120" s="19"/>
      <c r="D120" s="59"/>
      <c r="E120" s="59"/>
      <c r="F120" s="19"/>
      <c r="G120" s="19"/>
      <c r="H120" s="19"/>
      <c r="I120" s="19"/>
      <c r="J120" s="19"/>
      <c r="K120" s="19"/>
      <c r="L120" s="19"/>
    </row>
    <row r="121" spans="1:12" x14ac:dyDescent="0.35">
      <c r="A121" s="23"/>
      <c r="B121" s="8"/>
      <c r="C121" s="19"/>
      <c r="D121" s="59"/>
      <c r="E121" s="59"/>
      <c r="F121" s="19"/>
      <c r="G121" s="19"/>
      <c r="H121" s="19"/>
      <c r="I121" s="19"/>
      <c r="J121" s="19"/>
      <c r="K121" s="19"/>
      <c r="L121" s="19"/>
    </row>
    <row r="122" spans="1:12" x14ac:dyDescent="0.35">
      <c r="A122" s="23"/>
      <c r="B122" s="5"/>
      <c r="C122" s="19"/>
      <c r="D122" s="59"/>
      <c r="E122" s="59"/>
      <c r="F122" s="19"/>
      <c r="G122" s="19"/>
      <c r="H122" s="19"/>
      <c r="I122" s="19"/>
      <c r="J122" s="19"/>
      <c r="K122" s="19"/>
      <c r="L122" s="19"/>
    </row>
    <row r="123" spans="1:12" x14ac:dyDescent="0.35">
      <c r="A123" s="23"/>
      <c r="B123" s="5"/>
      <c r="C123" s="19"/>
      <c r="D123" s="59"/>
      <c r="E123" s="59"/>
      <c r="F123" s="19"/>
      <c r="G123" s="19"/>
      <c r="H123" s="19"/>
      <c r="I123" s="19"/>
      <c r="J123" s="19"/>
      <c r="K123" s="19"/>
      <c r="L123" s="19"/>
    </row>
    <row r="124" spans="1:12" x14ac:dyDescent="0.35">
      <c r="A124" s="54"/>
      <c r="B124" s="55"/>
      <c r="C124" s="70"/>
      <c r="D124" s="71"/>
      <c r="E124" s="71"/>
      <c r="F124" s="70"/>
      <c r="G124" s="70"/>
      <c r="H124" s="70"/>
      <c r="I124" s="70"/>
      <c r="J124" s="70"/>
      <c r="K124" s="70"/>
      <c r="L124" s="70"/>
    </row>
    <row r="125" spans="1:12" x14ac:dyDescent="0.35">
      <c r="A125" s="57"/>
      <c r="B125" s="24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spans="1:12" x14ac:dyDescent="0.35">
      <c r="A126" s="23"/>
      <c r="B126" s="24"/>
      <c r="C126" s="19"/>
      <c r="D126" s="19"/>
      <c r="E126" s="19"/>
      <c r="F126" s="19"/>
      <c r="G126" s="19"/>
      <c r="H126" s="19"/>
      <c r="I126" s="19"/>
      <c r="J126" s="19"/>
      <c r="K126" s="19"/>
      <c r="L126" s="19"/>
    </row>
    <row r="127" spans="1:12" x14ac:dyDescent="0.35">
      <c r="A127" s="21"/>
      <c r="B127" s="18"/>
      <c r="C127" s="64"/>
      <c r="D127" s="64"/>
      <c r="E127" s="19"/>
      <c r="F127" s="19"/>
      <c r="G127" s="19"/>
      <c r="H127" s="19"/>
      <c r="I127" s="19"/>
      <c r="J127" s="19"/>
      <c r="K127" s="19"/>
      <c r="L127" s="19"/>
    </row>
    <row r="128" spans="1:12" x14ac:dyDescent="0.35">
      <c r="A128" s="72"/>
      <c r="B128" s="73"/>
      <c r="C128" s="74"/>
      <c r="D128" s="74"/>
      <c r="E128" s="74"/>
      <c r="F128" s="74"/>
      <c r="G128" s="74"/>
      <c r="H128" s="74"/>
      <c r="I128" s="74"/>
      <c r="J128" s="74"/>
      <c r="K128" s="74"/>
      <c r="L128" s="74"/>
    </row>
    <row r="129" spans="1:12" x14ac:dyDescent="0.35">
      <c r="A129" s="23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</row>
    <row r="130" spans="1:12" x14ac:dyDescent="0.35">
      <c r="A130" s="2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1:12" x14ac:dyDescent="0.35">
      <c r="A131" s="2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x14ac:dyDescent="0.35">
      <c r="A132" s="2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x14ac:dyDescent="0.35">
      <c r="A133" s="2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1:12" x14ac:dyDescent="0.35">
      <c r="A134" s="2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x14ac:dyDescent="0.35">
      <c r="A135" s="2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 x14ac:dyDescent="0.35">
      <c r="A136" s="2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x14ac:dyDescent="0.35">
      <c r="A137" s="2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x14ac:dyDescent="0.35">
      <c r="A138" s="23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</row>
    <row r="139" spans="1:12" x14ac:dyDescent="0.35">
      <c r="A139" s="2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x14ac:dyDescent="0.35">
      <c r="A140" s="2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x14ac:dyDescent="0.35">
      <c r="A141" s="23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</row>
    <row r="142" spans="1:12" x14ac:dyDescent="0.35">
      <c r="A142" s="32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</row>
    <row r="143" spans="1:12" x14ac:dyDescent="0.35">
      <c r="A143" s="2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</row>
    <row r="144" spans="1:12" x14ac:dyDescent="0.35">
      <c r="A144" s="32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</row>
    <row r="145" spans="1:12" x14ac:dyDescent="0.35">
      <c r="A145" s="32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</row>
    <row r="146" spans="1:12" x14ac:dyDescent="0.35">
      <c r="A146" s="23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</row>
    <row r="147" spans="1:12" x14ac:dyDescent="0.35">
      <c r="A147" s="23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1:12" x14ac:dyDescent="0.35">
      <c r="A148" s="23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1:12" x14ac:dyDescent="0.35">
      <c r="A149" s="23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1:12" x14ac:dyDescent="0.35">
      <c r="A150" s="2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x14ac:dyDescent="0.35">
      <c r="A151" s="23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1:12" x14ac:dyDescent="0.35">
      <c r="A152" s="23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1:12" x14ac:dyDescent="0.35">
      <c r="A153" s="23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1:12" x14ac:dyDescent="0.35">
      <c r="A154" s="23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1:12" x14ac:dyDescent="0.35">
      <c r="A155" s="23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1:12" x14ac:dyDescent="0.35">
      <c r="A156" s="23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</row>
    <row r="157" spans="1:12" x14ac:dyDescent="0.35">
      <c r="A157" s="32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</row>
    <row r="158" spans="1:12" x14ac:dyDescent="0.35">
      <c r="A158" s="23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</row>
    <row r="159" spans="1:12" x14ac:dyDescent="0.35">
      <c r="A159" s="23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</row>
    <row r="160" spans="1:12" x14ac:dyDescent="0.35">
      <c r="A160" s="23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</row>
    <row r="161" spans="1:12" x14ac:dyDescent="0.35">
      <c r="A161" s="32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</row>
    <row r="162" spans="1:12" x14ac:dyDescent="0.35">
      <c r="A162" s="3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x14ac:dyDescent="0.35">
      <c r="A163" s="3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1:12" x14ac:dyDescent="0.35">
      <c r="A164" s="3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x14ac:dyDescent="0.35">
      <c r="A165" s="3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x14ac:dyDescent="0.35">
      <c r="A166" s="3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x14ac:dyDescent="0.35">
      <c r="A167" s="32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1:12" x14ac:dyDescent="0.35">
      <c r="A168" s="3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x14ac:dyDescent="0.35">
      <c r="A169" s="32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1:12" x14ac:dyDescent="0.35">
      <c r="A170" s="32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1:12" x14ac:dyDescent="0.35">
      <c r="A171" s="2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x14ac:dyDescent="0.35">
      <c r="A172" s="2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x14ac:dyDescent="0.35">
      <c r="A173" s="2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x14ac:dyDescent="0.35">
      <c r="A174" s="2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x14ac:dyDescent="0.35">
      <c r="A175" s="2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x14ac:dyDescent="0.35">
      <c r="A176" s="2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x14ac:dyDescent="0.35">
      <c r="A177" s="2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1:12" x14ac:dyDescent="0.35">
      <c r="A178" s="2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x14ac:dyDescent="0.35">
      <c r="A179" s="2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x14ac:dyDescent="0.35">
      <c r="A180" s="54"/>
      <c r="B180" s="55"/>
      <c r="C180" s="75"/>
      <c r="D180" s="75"/>
      <c r="E180" s="70"/>
      <c r="F180" s="70"/>
      <c r="G180" s="70"/>
      <c r="H180" s="70"/>
      <c r="I180" s="70"/>
      <c r="J180" s="70"/>
      <c r="K180" s="70"/>
      <c r="L180" s="70"/>
    </row>
    <row r="181" spans="1:12" x14ac:dyDescent="0.35">
      <c r="A181" s="57"/>
      <c r="B181" s="24"/>
      <c r="C181" s="19"/>
      <c r="D181" s="19"/>
      <c r="E181" s="19"/>
      <c r="F181" s="19"/>
      <c r="G181" s="19"/>
      <c r="H181" s="19"/>
      <c r="I181" s="19"/>
      <c r="J181" s="19"/>
      <c r="K181" s="19"/>
      <c r="L181" s="19"/>
    </row>
    <row r="182" spans="1:12" x14ac:dyDescent="0.35">
      <c r="A182" s="57"/>
      <c r="B182" s="39"/>
      <c r="C182" s="19"/>
      <c r="D182" s="19"/>
      <c r="E182" s="19"/>
      <c r="F182" s="19"/>
      <c r="G182" s="19"/>
      <c r="H182" s="19"/>
      <c r="I182" s="19"/>
      <c r="J182" s="19"/>
      <c r="K182" s="19"/>
      <c r="L182" s="19"/>
    </row>
    <row r="183" spans="1:12" x14ac:dyDescent="0.35">
      <c r="A183" s="57"/>
      <c r="B183" s="39"/>
      <c r="C183" s="19"/>
      <c r="D183" s="19"/>
      <c r="E183" s="19"/>
      <c r="F183" s="19"/>
      <c r="G183" s="19"/>
      <c r="H183" s="19"/>
      <c r="I183" s="19"/>
      <c r="J183" s="19"/>
      <c r="K183" s="19"/>
      <c r="L183" s="19"/>
    </row>
    <row r="184" spans="1:12" x14ac:dyDescent="0.35">
      <c r="A184" s="57"/>
      <c r="B184" s="60"/>
      <c r="C184" s="19"/>
      <c r="D184" s="19"/>
      <c r="E184" s="19"/>
      <c r="F184" s="19"/>
      <c r="G184" s="19"/>
      <c r="H184" s="19"/>
      <c r="I184" s="19"/>
      <c r="J184" s="19"/>
      <c r="K184" s="19"/>
      <c r="L184" s="19"/>
    </row>
    <row r="185" spans="1:12" x14ac:dyDescent="0.35">
      <c r="A185" s="57"/>
      <c r="B185" s="5"/>
      <c r="C185" s="19"/>
      <c r="D185" s="19"/>
      <c r="E185" s="19"/>
      <c r="F185" s="19"/>
      <c r="G185" s="19"/>
      <c r="H185" s="19"/>
      <c r="I185" s="19"/>
      <c r="J185" s="19"/>
      <c r="K185" s="19"/>
      <c r="L185" s="19"/>
    </row>
    <row r="186" spans="1:12" x14ac:dyDescent="0.35">
      <c r="A186" s="57"/>
      <c r="B186" s="5"/>
      <c r="C186" s="19"/>
      <c r="D186" s="19"/>
      <c r="E186" s="19"/>
      <c r="F186" s="19"/>
      <c r="G186" s="19"/>
      <c r="H186" s="19"/>
      <c r="I186" s="19"/>
      <c r="J186" s="19"/>
      <c r="K186" s="19"/>
      <c r="L186" s="19"/>
    </row>
    <row r="187" spans="1:12" x14ac:dyDescent="0.35">
      <c r="A187" s="57"/>
      <c r="B187" s="5"/>
      <c r="C187" s="19"/>
      <c r="D187" s="19"/>
      <c r="E187" s="19"/>
      <c r="F187" s="19"/>
      <c r="G187" s="19"/>
      <c r="H187" s="19"/>
      <c r="I187" s="19"/>
      <c r="J187" s="19"/>
      <c r="K187" s="19"/>
      <c r="L187" s="19"/>
    </row>
    <row r="188" spans="1:12" x14ac:dyDescent="0.35">
      <c r="A188" s="57"/>
      <c r="B188" s="62"/>
      <c r="C188" s="19"/>
      <c r="D188" s="19"/>
      <c r="E188" s="19"/>
      <c r="F188" s="19"/>
      <c r="G188" s="19"/>
      <c r="H188" s="19"/>
      <c r="I188" s="19"/>
      <c r="J188" s="19"/>
      <c r="K188" s="19"/>
      <c r="L188" s="19"/>
    </row>
    <row r="189" spans="1:12" x14ac:dyDescent="0.35">
      <c r="A189" s="23"/>
      <c r="B189" s="76"/>
      <c r="C189" s="19"/>
      <c r="D189" s="19"/>
      <c r="E189" s="19"/>
      <c r="F189" s="19"/>
      <c r="G189" s="19"/>
      <c r="H189" s="19"/>
      <c r="I189" s="19"/>
      <c r="J189" s="19"/>
      <c r="K189" s="19"/>
      <c r="L189" s="19"/>
    </row>
    <row r="190" spans="1:12" x14ac:dyDescent="0.35">
      <c r="A190" s="23"/>
      <c r="B190" s="76"/>
      <c r="C190" s="19"/>
      <c r="D190" s="19"/>
      <c r="E190" s="19"/>
      <c r="F190" s="19"/>
      <c r="G190" s="19"/>
      <c r="H190" s="19"/>
      <c r="I190" s="19"/>
      <c r="J190" s="19"/>
      <c r="K190" s="19"/>
      <c r="L190" s="19"/>
    </row>
    <row r="191" spans="1:12" x14ac:dyDescent="0.35">
      <c r="A191" s="23"/>
      <c r="B191" s="76"/>
      <c r="C191" s="19"/>
      <c r="D191" s="19"/>
      <c r="E191" s="19"/>
      <c r="F191" s="19"/>
      <c r="G191" s="19"/>
      <c r="H191" s="19"/>
      <c r="I191" s="19"/>
      <c r="J191" s="19"/>
      <c r="K191" s="19"/>
      <c r="L191" s="19"/>
    </row>
    <row r="192" spans="1:12" x14ac:dyDescent="0.35">
      <c r="A192" s="23"/>
      <c r="B192" s="24"/>
      <c r="C192" s="19"/>
      <c r="D192" s="19"/>
      <c r="E192" s="19"/>
      <c r="F192" s="19"/>
      <c r="G192" s="19"/>
      <c r="H192" s="19"/>
      <c r="I192" s="19"/>
      <c r="J192" s="19"/>
      <c r="K192" s="19"/>
      <c r="L192" s="19"/>
    </row>
    <row r="193" spans="1:12" x14ac:dyDescent="0.35">
      <c r="A193" s="23"/>
      <c r="B193" s="77"/>
      <c r="C193" s="19"/>
      <c r="D193" s="19"/>
      <c r="E193" s="19"/>
      <c r="F193" s="19"/>
      <c r="G193" s="19"/>
      <c r="H193" s="19"/>
      <c r="I193" s="19"/>
      <c r="J193" s="19"/>
      <c r="K193" s="19"/>
      <c r="L193" s="19"/>
    </row>
    <row r="194" spans="1:12" x14ac:dyDescent="0.35">
      <c r="A194" s="23"/>
      <c r="B194" s="76"/>
      <c r="C194" s="19"/>
      <c r="D194" s="19"/>
      <c r="E194" s="19"/>
      <c r="F194" s="19"/>
      <c r="G194" s="19"/>
      <c r="H194" s="19"/>
      <c r="I194" s="19"/>
      <c r="J194" s="19"/>
      <c r="K194" s="19"/>
      <c r="L194" s="19"/>
    </row>
    <row r="195" spans="1:12" x14ac:dyDescent="0.35">
      <c r="A195" s="23"/>
      <c r="B195"/>
      <c r="C195" s="19"/>
      <c r="D195" s="19"/>
      <c r="E195" s="19"/>
      <c r="F195" s="19"/>
      <c r="G195" s="19"/>
      <c r="H195" s="19"/>
      <c r="I195" s="19"/>
      <c r="J195" s="19"/>
      <c r="K195" s="19"/>
      <c r="L195" s="19"/>
    </row>
    <row r="196" spans="1:12" x14ac:dyDescent="0.35">
      <c r="A196" s="23"/>
      <c r="B196"/>
      <c r="C196" s="19"/>
      <c r="D196" s="19"/>
      <c r="E196" s="19"/>
      <c r="F196" s="19"/>
      <c r="G196" s="19"/>
      <c r="H196" s="19"/>
      <c r="I196" s="19"/>
      <c r="J196" s="19"/>
      <c r="K196" s="19"/>
      <c r="L196" s="19"/>
    </row>
    <row r="197" spans="1:12" x14ac:dyDescent="0.35">
      <c r="A197" s="23"/>
      <c r="B197" s="24"/>
      <c r="C197" s="19"/>
      <c r="D197" s="19"/>
      <c r="E197" s="19"/>
      <c r="F197" s="19"/>
      <c r="G197" s="19"/>
      <c r="H197" s="19"/>
      <c r="I197" s="19"/>
      <c r="J197" s="19"/>
      <c r="K197" s="19"/>
      <c r="L197" s="1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6657-7D1C-4132-A830-E0803170BB3B}">
  <dimension ref="A1:L99"/>
  <sheetViews>
    <sheetView zoomScale="90" zoomScaleNormal="9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F10" sqref="F10"/>
    </sheetView>
  </sheetViews>
  <sheetFormatPr defaultColWidth="9.08984375" defaultRowHeight="14.5" x14ac:dyDescent="0.35"/>
  <cols>
    <col min="1" max="1" width="7.1796875" style="88" customWidth="1"/>
    <col min="2" max="2" width="39.08984375" style="88" customWidth="1"/>
    <col min="3" max="3" width="11.7265625" style="145" bestFit="1" customWidth="1"/>
    <col min="4" max="4" width="11.90625" style="145" bestFit="1" customWidth="1"/>
    <col min="5" max="7" width="11.54296875" style="88" bestFit="1" customWidth="1"/>
    <col min="8" max="8" width="11.7265625" style="88" bestFit="1" customWidth="1"/>
    <col min="9" max="9" width="12" style="88" customWidth="1"/>
    <col min="10" max="10" width="11.08984375" style="88" bestFit="1" customWidth="1"/>
    <col min="11" max="11" width="11.08984375" style="16" bestFit="1" customWidth="1"/>
    <col min="12" max="12" width="12.36328125" style="16" customWidth="1"/>
    <col min="13" max="16384" width="9.08984375" style="88"/>
  </cols>
  <sheetData>
    <row r="1" spans="1:12" s="17" customFormat="1" x14ac:dyDescent="0.35">
      <c r="A1" s="82"/>
      <c r="B1" s="83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2" s="20" customFormat="1" x14ac:dyDescent="0.35">
      <c r="A2" s="85" t="s">
        <v>80</v>
      </c>
      <c r="B2" s="86"/>
      <c r="C2" s="87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x14ac:dyDescent="0.35">
      <c r="A3" s="1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x14ac:dyDescent="0.35">
      <c r="A4" s="21" t="s">
        <v>132</v>
      </c>
      <c r="B4" s="18"/>
      <c r="C4" s="19"/>
      <c r="D4" s="22"/>
      <c r="E4" s="19"/>
      <c r="F4" s="19"/>
      <c r="G4" s="19"/>
      <c r="H4" s="19"/>
      <c r="I4" s="19"/>
      <c r="J4" s="19"/>
      <c r="K4" s="19"/>
      <c r="L4" s="19"/>
    </row>
    <row r="5" spans="1:12" s="20" customFormat="1" x14ac:dyDescent="0.35">
      <c r="A5" s="18" t="s">
        <v>82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0" customFormat="1" x14ac:dyDescent="0.35">
      <c r="A6" s="18" t="s">
        <v>83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s="17" customFormat="1" x14ac:dyDescent="0.35">
      <c r="A7" s="78" t="s">
        <v>84</v>
      </c>
      <c r="B7" s="79"/>
      <c r="C7" s="80">
        <v>2019</v>
      </c>
      <c r="D7" s="80">
        <f>C7+1</f>
        <v>2020</v>
      </c>
      <c r="E7" s="80">
        <f t="shared" ref="E7:G7" si="0">D7+1</f>
        <v>2021</v>
      </c>
      <c r="F7" s="80">
        <f t="shared" si="0"/>
        <v>2022</v>
      </c>
      <c r="G7" s="80">
        <f t="shared" si="0"/>
        <v>2023</v>
      </c>
      <c r="H7" s="81">
        <v>2024</v>
      </c>
      <c r="I7" s="81">
        <f>H7+1</f>
        <v>2025</v>
      </c>
      <c r="J7" s="81">
        <f t="shared" ref="J7:L7" si="1">I7+1</f>
        <v>2026</v>
      </c>
      <c r="K7" s="81">
        <f t="shared" si="1"/>
        <v>2027</v>
      </c>
      <c r="L7" s="81">
        <f t="shared" si="1"/>
        <v>2028</v>
      </c>
    </row>
    <row r="8" spans="1:12" x14ac:dyDescent="0.35">
      <c r="A8" s="9" t="s">
        <v>133</v>
      </c>
      <c r="B8" s="9"/>
      <c r="C8" s="9"/>
      <c r="D8" s="9"/>
      <c r="E8" s="9"/>
      <c r="F8" s="9"/>
      <c r="G8" s="9"/>
      <c r="H8" s="9"/>
      <c r="I8" s="9"/>
      <c r="J8" s="90"/>
      <c r="K8" s="90"/>
      <c r="L8" s="90"/>
    </row>
    <row r="9" spans="1:12" x14ac:dyDescent="0.35">
      <c r="A9" s="89" t="s">
        <v>134</v>
      </c>
      <c r="B9" s="91" t="s">
        <v>135</v>
      </c>
      <c r="C9" s="92"/>
      <c r="D9" s="92"/>
      <c r="E9" s="92"/>
      <c r="F9" s="92"/>
      <c r="G9" s="92"/>
      <c r="H9" s="363"/>
      <c r="I9" s="363"/>
      <c r="J9" s="363"/>
      <c r="K9" s="93"/>
      <c r="L9" s="93"/>
    </row>
    <row r="10" spans="1:12" x14ac:dyDescent="0.35">
      <c r="A10" s="89"/>
      <c r="B10" t="s">
        <v>136</v>
      </c>
      <c r="C10" s="94">
        <f>BS!C38</f>
        <v>543.96</v>
      </c>
      <c r="D10" s="94">
        <f>BS!D38</f>
        <v>554.28</v>
      </c>
      <c r="E10" s="94">
        <f>BS!E38</f>
        <v>555.15</v>
      </c>
      <c r="F10" s="94">
        <f>BS!F38</f>
        <v>556.05999999999995</v>
      </c>
      <c r="G10" s="94">
        <f>BS!G38</f>
        <v>556.82000000000005</v>
      </c>
      <c r="H10" s="120">
        <f>G10</f>
        <v>556.82000000000005</v>
      </c>
      <c r="I10" s="120">
        <f t="shared" ref="I10:L10" si="2">H10</f>
        <v>556.82000000000005</v>
      </c>
      <c r="J10" s="120">
        <f t="shared" si="2"/>
        <v>556.82000000000005</v>
      </c>
      <c r="K10" s="120">
        <f t="shared" si="2"/>
        <v>556.82000000000005</v>
      </c>
      <c r="L10" s="120">
        <f t="shared" si="2"/>
        <v>556.82000000000005</v>
      </c>
    </row>
    <row r="11" spans="1:12" x14ac:dyDescent="0.35">
      <c r="A11" s="89"/>
      <c r="B11" t="s">
        <v>137</v>
      </c>
      <c r="C11" s="94">
        <f>BS!C39</f>
        <v>39439.449999999997</v>
      </c>
      <c r="D11" s="94">
        <f>BS!D39</f>
        <v>39415.03</v>
      </c>
      <c r="E11" s="94">
        <f>BS!E39</f>
        <v>41026.769999999997</v>
      </c>
      <c r="F11" s="94">
        <f>BS!F39</f>
        <v>46566.58</v>
      </c>
      <c r="G11" s="94">
        <f>BS!G39</f>
        <v>55808.97</v>
      </c>
      <c r="H11" s="120">
        <f ca="1">Euity!H15</f>
        <v>66919.741678875347</v>
      </c>
      <c r="I11" s="120">
        <f ca="1">Euity!I15</f>
        <v>78894.82041566768</v>
      </c>
      <c r="J11" s="120">
        <f ca="1">Euity!J15</f>
        <v>92162.12578806981</v>
      </c>
      <c r="K11" s="120">
        <f ca="1">Euity!K15</f>
        <v>106419.15119612406</v>
      </c>
      <c r="L11" s="120">
        <f ca="1">Euity!L15</f>
        <v>121161.72363988064</v>
      </c>
    </row>
    <row r="12" spans="1:12" x14ac:dyDescent="0.35">
      <c r="A12" s="89"/>
      <c r="B12" t="s">
        <v>138</v>
      </c>
      <c r="C12" s="94">
        <f>SUM(C10:C11)</f>
        <v>39983.409999999996</v>
      </c>
      <c r="D12" s="94">
        <f t="shared" ref="D12:L12" si="3">SUM(D10:D11)</f>
        <v>39969.31</v>
      </c>
      <c r="E12" s="94">
        <f t="shared" si="3"/>
        <v>41581.919999999998</v>
      </c>
      <c r="F12" s="94">
        <f>SUM(F10:F11)</f>
        <v>47122.64</v>
      </c>
      <c r="G12" s="94">
        <f t="shared" si="3"/>
        <v>56365.79</v>
      </c>
      <c r="H12" s="94">
        <f t="shared" ca="1" si="3"/>
        <v>67476.561678875354</v>
      </c>
      <c r="I12" s="94">
        <f t="shared" ca="1" si="3"/>
        <v>79451.640415667687</v>
      </c>
      <c r="J12" s="94">
        <f t="shared" ca="1" si="3"/>
        <v>92718.945788069817</v>
      </c>
      <c r="K12" s="94">
        <f t="shared" ca="1" si="3"/>
        <v>106975.97119612407</v>
      </c>
      <c r="L12" s="94">
        <f t="shared" ca="1" si="3"/>
        <v>121718.54363988065</v>
      </c>
    </row>
    <row r="13" spans="1:12" x14ac:dyDescent="0.35">
      <c r="A13" s="89"/>
      <c r="B13" s="9" t="s">
        <v>139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</row>
    <row r="14" spans="1:12" x14ac:dyDescent="0.35">
      <c r="A14" s="89"/>
      <c r="B14" s="91" t="s">
        <v>140</v>
      </c>
      <c r="C14" s="96">
        <f>C10+C11</f>
        <v>39983.409999999996</v>
      </c>
      <c r="D14" s="96">
        <f t="shared" ref="D14:G14" si="4">D10+D11</f>
        <v>39969.31</v>
      </c>
      <c r="E14" s="96">
        <f t="shared" si="4"/>
        <v>41581.919999999998</v>
      </c>
      <c r="F14" s="96">
        <f t="shared" si="4"/>
        <v>47122.64</v>
      </c>
      <c r="G14" s="96">
        <f t="shared" si="4"/>
        <v>56365.79</v>
      </c>
      <c r="H14" s="96">
        <f t="shared" ref="H14:L14" ca="1" si="5">H10+H11</f>
        <v>67476.561678875354</v>
      </c>
      <c r="I14" s="96">
        <f t="shared" ca="1" si="5"/>
        <v>79451.640415667687</v>
      </c>
      <c r="J14" s="96">
        <f t="shared" ca="1" si="5"/>
        <v>92718.945788069817</v>
      </c>
      <c r="K14" s="96">
        <f t="shared" ca="1" si="5"/>
        <v>106975.97119612407</v>
      </c>
      <c r="L14" s="96">
        <f t="shared" ca="1" si="5"/>
        <v>121718.54363988065</v>
      </c>
    </row>
    <row r="15" spans="1:12" x14ac:dyDescent="0.35">
      <c r="A15" s="89"/>
      <c r="B15" s="91"/>
      <c r="C15" s="92"/>
      <c r="D15" s="92"/>
      <c r="E15" s="92"/>
      <c r="F15" s="92"/>
      <c r="G15" s="92"/>
      <c r="H15" s="93"/>
      <c r="I15" s="93"/>
      <c r="J15" s="93"/>
      <c r="K15" s="93"/>
      <c r="L15" s="93"/>
    </row>
    <row r="16" spans="1:12" s="97" customFormat="1" x14ac:dyDescent="0.35">
      <c r="A16" s="89"/>
      <c r="B16" s="9" t="s">
        <v>141</v>
      </c>
      <c r="C16" s="94">
        <f>BS!C41</f>
        <v>8360.57</v>
      </c>
      <c r="D16" s="94">
        <f>BS!D41</f>
        <v>7691.74</v>
      </c>
      <c r="E16" s="94">
        <f>BS!E41</f>
        <v>9070.31</v>
      </c>
      <c r="F16" s="94">
        <f>BS!F41</f>
        <v>9702.6200000000008</v>
      </c>
      <c r="G16" s="94">
        <f>BS!G41</f>
        <v>10716.32</v>
      </c>
      <c r="H16" s="93">
        <f>G16</f>
        <v>10716.32</v>
      </c>
      <c r="I16" s="93">
        <f t="shared" ref="I16:L16" si="6">H16</f>
        <v>10716.32</v>
      </c>
      <c r="J16" s="93">
        <f t="shared" si="6"/>
        <v>10716.32</v>
      </c>
      <c r="K16" s="93">
        <f t="shared" si="6"/>
        <v>10716.32</v>
      </c>
      <c r="L16" s="93">
        <f t="shared" si="6"/>
        <v>10716.32</v>
      </c>
    </row>
    <row r="17" spans="1:12" x14ac:dyDescent="0.35">
      <c r="A17" s="89"/>
      <c r="B17" s="98"/>
      <c r="C17" s="92"/>
      <c r="D17" s="92"/>
      <c r="E17" s="92"/>
      <c r="F17" s="92"/>
      <c r="G17" s="92"/>
      <c r="H17" s="93"/>
      <c r="I17" s="93"/>
      <c r="J17" s="93"/>
      <c r="K17" s="93"/>
      <c r="L17" s="93"/>
    </row>
    <row r="18" spans="1:12" x14ac:dyDescent="0.35">
      <c r="A18" s="89" t="s">
        <v>142</v>
      </c>
      <c r="B18" s="91" t="s">
        <v>143</v>
      </c>
      <c r="C18" s="92"/>
      <c r="D18" s="92"/>
      <c r="E18" s="92"/>
      <c r="F18" s="92"/>
      <c r="G18" s="92"/>
      <c r="H18" s="93"/>
      <c r="I18" s="93"/>
      <c r="J18" s="93"/>
      <c r="K18" s="93"/>
      <c r="L18" s="93"/>
    </row>
    <row r="19" spans="1:12" x14ac:dyDescent="0.35">
      <c r="A19" s="89"/>
      <c r="B19" t="s">
        <v>144</v>
      </c>
      <c r="C19" s="94">
        <f>BS!C46+BS!C47</f>
        <v>43526.17</v>
      </c>
      <c r="D19" s="94">
        <f>BS!D46+BS!D47</f>
        <v>52298.05</v>
      </c>
      <c r="E19" s="94">
        <f>BS!E46+BS!E47</f>
        <v>54906.559999999998</v>
      </c>
      <c r="F19" s="94">
        <f>BS!F46+BS!F47</f>
        <v>51057.61</v>
      </c>
      <c r="G19" s="94">
        <f>BS!G46+BS!G47</f>
        <v>57909.89</v>
      </c>
      <c r="H19" s="491">
        <f ca="1">'DEbT &amp; Int1'!H29</f>
        <v>69325.033223199513</v>
      </c>
      <c r="I19" s="491">
        <f ca="1">'DEbT &amp; Int1'!I29</f>
        <v>81628.160570283319</v>
      </c>
      <c r="J19" s="491">
        <f ca="1">'DEbT &amp; Int1'!J29</f>
        <v>95258.914165898968</v>
      </c>
      <c r="K19" s="491">
        <f ca="1">'DEbT &amp; Int1'!K29</f>
        <v>109906.50046084182</v>
      </c>
      <c r="L19" s="491">
        <f ca="1">'DEbT &amp; Int1'!L29</f>
        <v>125052.93500092321</v>
      </c>
    </row>
    <row r="20" spans="1:12" x14ac:dyDescent="0.35">
      <c r="A20" s="89"/>
      <c r="B20" t="s">
        <v>145</v>
      </c>
      <c r="C20" s="94">
        <f>BS!C51</f>
        <v>2171.31</v>
      </c>
      <c r="D20" s="94">
        <f>BS!D51</f>
        <v>1511.89</v>
      </c>
      <c r="E20" s="94">
        <f>BS!E51</f>
        <v>1494.16</v>
      </c>
      <c r="F20" s="94">
        <f>BS!F51</f>
        <v>1786.1</v>
      </c>
      <c r="G20" s="94">
        <f>BS!G51</f>
        <v>1608.64</v>
      </c>
      <c r="H20" s="93">
        <f>'Other long Term Items'!H18</f>
        <v>1729.2629812016698</v>
      </c>
      <c r="I20" s="93">
        <f>'Other long Term Items'!I18</f>
        <v>1859.1345727397709</v>
      </c>
      <c r="J20" s="93">
        <f>'Other long Term Items'!J18</f>
        <v>1998.9808376677297</v>
      </c>
      <c r="K20" s="93">
        <f>'Other long Term Items'!K18</f>
        <v>2149.5862641957328</v>
      </c>
      <c r="L20" s="93">
        <f>'Other long Term Items'!L18</f>
        <v>2311.7985875320855</v>
      </c>
    </row>
    <row r="21" spans="1:12" x14ac:dyDescent="0.35">
      <c r="A21" s="89"/>
      <c r="B21" t="s">
        <v>146</v>
      </c>
      <c r="C21" s="94">
        <f>BS!C48+BS!C49+BS!C52</f>
        <v>6506.14</v>
      </c>
      <c r="D21" s="94">
        <f>BS!D48+BS!D49+BS!D52</f>
        <v>7142.02</v>
      </c>
      <c r="E21" s="94">
        <f>BS!E48+BS!E49+BS!E52</f>
        <v>6362.65</v>
      </c>
      <c r="F21" s="94">
        <f>BS!F48+BS!F49+BS!F52</f>
        <v>6657.51</v>
      </c>
      <c r="G21" s="94">
        <f>BS!G48+BS!G49+BS!G52</f>
        <v>6895.7699999999995</v>
      </c>
      <c r="H21" s="93">
        <f>'Other long Term Items'!H19</f>
        <v>7412.8455017163797</v>
      </c>
      <c r="I21" s="93">
        <f>'Other long Term Items'!I19</f>
        <v>7969.5670955973546</v>
      </c>
      <c r="J21" s="93">
        <f>'Other long Term Items'!J19</f>
        <v>8569.0472019619046</v>
      </c>
      <c r="K21" s="93">
        <f>'Other long Term Items'!K19</f>
        <v>9214.6486927174556</v>
      </c>
      <c r="L21" s="93">
        <f>'Other long Term Items'!L19</f>
        <v>9910.0055611859261</v>
      </c>
    </row>
    <row r="22" spans="1:12" x14ac:dyDescent="0.35">
      <c r="A22" s="89"/>
      <c r="B22" t="s">
        <v>147</v>
      </c>
      <c r="C22" s="94">
        <f>BS!C50</f>
        <v>4100.6400000000003</v>
      </c>
      <c r="D22" s="94">
        <f>BS!D50</f>
        <v>4384.13</v>
      </c>
      <c r="E22" s="94">
        <f>BS!E50</f>
        <v>1600.88</v>
      </c>
      <c r="F22" s="94">
        <f>BS!F50</f>
        <v>1497.99</v>
      </c>
      <c r="G22" s="94">
        <f>BS!G50</f>
        <v>1815.95</v>
      </c>
      <c r="H22" s="93">
        <f>'Other long Term Items'!H20</f>
        <v>1952.1180069581585</v>
      </c>
      <c r="I22" s="93">
        <f>'Other long Term Items'!I20</f>
        <v>2098.72651890217</v>
      </c>
      <c r="J22" s="93">
        <f>'Other long Term Items'!J20</f>
        <v>2256.5951686907656</v>
      </c>
      <c r="K22" s="93">
        <f>'Other long Term Items'!K20</f>
        <v>2426.6095437551226</v>
      </c>
      <c r="L22" s="93">
        <f>'Other long Term Items'!L20</f>
        <v>2609.7266293445955</v>
      </c>
    </row>
    <row r="23" spans="1:12" x14ac:dyDescent="0.35">
      <c r="A23" s="89"/>
      <c r="B23" s="99" t="s">
        <v>148</v>
      </c>
      <c r="C23" s="28">
        <f>SUM(C19:C22)</f>
        <v>56304.259999999995</v>
      </c>
      <c r="D23" s="28">
        <f t="shared" ref="D23:G23" si="7">SUM(D19:D22)</f>
        <v>65336.090000000004</v>
      </c>
      <c r="E23" s="28">
        <f t="shared" si="7"/>
        <v>64364.25</v>
      </c>
      <c r="F23" s="28">
        <f t="shared" si="7"/>
        <v>60999.21</v>
      </c>
      <c r="G23" s="28">
        <f t="shared" si="7"/>
        <v>68230.25</v>
      </c>
      <c r="H23" s="28">
        <f t="shared" ref="H23" ca="1" si="8">SUM(H19:H22)</f>
        <v>80419.25971307572</v>
      </c>
      <c r="I23" s="28">
        <f t="shared" ref="I23" ca="1" si="9">SUM(I19:I22)</f>
        <v>93555.588757522608</v>
      </c>
      <c r="J23" s="28">
        <f t="shared" ref="J23" ca="1" si="10">SUM(J19:J22)</f>
        <v>108083.53737421936</v>
      </c>
      <c r="K23" s="28">
        <f t="shared" ref="K23" ca="1" si="11">SUM(K19:K22)</f>
        <v>123697.34496151014</v>
      </c>
      <c r="L23" s="28">
        <f t="shared" ref="L23" ca="1" si="12">SUM(L19:L22)</f>
        <v>139884.46577898582</v>
      </c>
    </row>
    <row r="24" spans="1:12" x14ac:dyDescent="0.35">
      <c r="A24" s="89"/>
      <c r="B24" s="98"/>
      <c r="C24" s="92"/>
      <c r="D24" s="101"/>
      <c r="E24" s="101"/>
      <c r="F24" s="101"/>
      <c r="G24" s="101"/>
      <c r="H24" s="93"/>
      <c r="I24" s="93"/>
      <c r="J24" s="93"/>
      <c r="K24" s="93"/>
      <c r="L24" s="93"/>
    </row>
    <row r="25" spans="1:12" x14ac:dyDescent="0.35">
      <c r="A25" s="89" t="s">
        <v>149</v>
      </c>
      <c r="B25" s="91" t="s">
        <v>150</v>
      </c>
      <c r="C25" s="92"/>
      <c r="D25" s="101"/>
      <c r="E25" s="101"/>
      <c r="F25" s="101"/>
      <c r="G25" s="101"/>
      <c r="H25" s="93"/>
      <c r="I25" s="93"/>
      <c r="J25" s="93"/>
      <c r="K25" s="93"/>
      <c r="L25" s="93"/>
    </row>
    <row r="26" spans="1:12" x14ac:dyDescent="0.35">
      <c r="A26" s="89"/>
      <c r="B26" t="s">
        <v>151</v>
      </c>
      <c r="C26" s="102">
        <f>BS!C56+BS!C57</f>
        <v>10541.01</v>
      </c>
      <c r="D26" s="102">
        <f>BS!D56+BS!D57</f>
        <v>10217.530000000001</v>
      </c>
      <c r="E26" s="102">
        <f>BS!E56+BS!E57</f>
        <v>4646.59</v>
      </c>
      <c r="F26" s="102">
        <f>BS!F56+BS!F57</f>
        <v>26547.599999999999</v>
      </c>
      <c r="G26" s="102">
        <f>BS!G56+BS!G57</f>
        <v>34336.959999999999</v>
      </c>
      <c r="H26" s="479">
        <f ca="1">'DEbT &amp; Int1'!H23</f>
        <v>18353.793123154112</v>
      </c>
      <c r="I26" s="479">
        <f ca="1">'DEbT &amp; Int1'!I23</f>
        <v>5511.4986041002339</v>
      </c>
      <c r="J26" s="479">
        <f ca="1">'DEbT &amp; Int1'!J23</f>
        <v>0</v>
      </c>
      <c r="K26" s="479">
        <f ca="1">'DEbT &amp; Int1'!K23</f>
        <v>0</v>
      </c>
      <c r="L26" s="479">
        <f ca="1">'DEbT &amp; Int1'!L23</f>
        <v>0</v>
      </c>
    </row>
    <row r="27" spans="1:12" x14ac:dyDescent="0.35">
      <c r="A27" s="103"/>
      <c r="B27" t="s">
        <v>152</v>
      </c>
      <c r="C27" s="102">
        <f>BS!C58</f>
        <v>20992.17</v>
      </c>
      <c r="D27" s="102">
        <f>BS!D58</f>
        <v>14985.35</v>
      </c>
      <c r="E27" s="102">
        <f>BS!E58</f>
        <v>15505.789999999999</v>
      </c>
      <c r="F27" s="102">
        <f>BS!F58</f>
        <v>19036.55</v>
      </c>
      <c r="G27" s="102">
        <f>BS!G58</f>
        <v>23835.66</v>
      </c>
      <c r="H27" s="95">
        <f>WC!H20</f>
        <v>22963.542596465413</v>
      </c>
      <c r="I27" s="95">
        <f>WC!I20</f>
        <v>24688.156988131581</v>
      </c>
      <c r="J27" s="95">
        <f>WC!J20</f>
        <v>26545.228871667874</v>
      </c>
      <c r="K27" s="95">
        <f>WC!K20</f>
        <v>28545.175765188586</v>
      </c>
      <c r="L27" s="95">
        <f>WC!L20</f>
        <v>30699.2550678158</v>
      </c>
    </row>
    <row r="28" spans="1:12" x14ac:dyDescent="0.35">
      <c r="A28" s="89"/>
      <c r="B28" t="s">
        <v>153</v>
      </c>
      <c r="C28" s="102">
        <f>BS!C59+BS!C60+BS!C62</f>
        <v>25593.699999999997</v>
      </c>
      <c r="D28" s="102">
        <f>BS!D59+BS!D60+BS!D62</f>
        <v>27055.100000000002</v>
      </c>
      <c r="E28" s="102">
        <f>BS!E59+BS!E60+BS!E62</f>
        <v>30219.29</v>
      </c>
      <c r="F28" s="102">
        <f>BS!F59+BS!F60+BS!F62</f>
        <v>9735.9900000000016</v>
      </c>
      <c r="G28" s="102">
        <f>BS!G59+BS!G60+BS!G62</f>
        <v>11217.31</v>
      </c>
      <c r="H28" s="95">
        <f>WC!H21</f>
        <v>12058.43378982451</v>
      </c>
      <c r="I28" s="95">
        <f>WC!I21</f>
        <v>12964.04965320989</v>
      </c>
      <c r="J28" s="95">
        <f>WC!J21</f>
        <v>13939.220546659662</v>
      </c>
      <c r="K28" s="95">
        <f>WC!K21</f>
        <v>14989.416834857664</v>
      </c>
      <c r="L28" s="95">
        <f>WC!L21</f>
        <v>16120.549914157011</v>
      </c>
    </row>
    <row r="29" spans="1:12" x14ac:dyDescent="0.35">
      <c r="A29" s="89"/>
      <c r="B29" t="s">
        <v>154</v>
      </c>
      <c r="C29" s="102">
        <f>BS!C61</f>
        <v>1616.45</v>
      </c>
      <c r="D29" s="102">
        <f>BS!D61</f>
        <v>1751.54</v>
      </c>
      <c r="E29" s="102">
        <f>BS!E61</f>
        <v>1074.3399999999999</v>
      </c>
      <c r="F29" s="102">
        <f>BS!F61</f>
        <v>968.19</v>
      </c>
      <c r="G29" s="102">
        <f>BS!G61</f>
        <v>1189.48</v>
      </c>
      <c r="H29" s="95">
        <f>WC!H22</f>
        <v>1278.6725002982409</v>
      </c>
      <c r="I29" s="95">
        <f>WC!I22</f>
        <v>1374.7037196529384</v>
      </c>
      <c r="J29" s="95">
        <f>WC!J22</f>
        <v>1478.110532368343</v>
      </c>
      <c r="K29" s="95">
        <f>WC!K22</f>
        <v>1589.473014183124</v>
      </c>
      <c r="L29" s="95">
        <f>WC!L22</f>
        <v>1709.4180076944904</v>
      </c>
    </row>
    <row r="30" spans="1:12" x14ac:dyDescent="0.35">
      <c r="A30" s="89"/>
      <c r="B30" s="104" t="s">
        <v>155</v>
      </c>
      <c r="C30" s="100">
        <f>SUM(C26:C29)</f>
        <v>58743.329999999994</v>
      </c>
      <c r="D30" s="100">
        <f t="shared" ref="D30:L30" si="13">SUM(D26:D29)</f>
        <v>54009.520000000004</v>
      </c>
      <c r="E30" s="100">
        <f t="shared" si="13"/>
        <v>51446.009999999995</v>
      </c>
      <c r="F30" s="100">
        <f t="shared" si="13"/>
        <v>56288.33</v>
      </c>
      <c r="G30" s="100">
        <f t="shared" si="13"/>
        <v>70579.409999999989</v>
      </c>
      <c r="H30" s="100">
        <f t="shared" ca="1" si="13"/>
        <v>54654.442009742284</v>
      </c>
      <c r="I30" s="100">
        <f t="shared" ca="1" si="13"/>
        <v>44538.408965094648</v>
      </c>
      <c r="J30" s="100">
        <f t="shared" ca="1" si="13"/>
        <v>41962.559950695882</v>
      </c>
      <c r="K30" s="100">
        <f t="shared" ca="1" si="13"/>
        <v>45124.065614229374</v>
      </c>
      <c r="L30" s="100">
        <f t="shared" ca="1" si="13"/>
        <v>48529.222989667302</v>
      </c>
    </row>
    <row r="31" spans="1:12" x14ac:dyDescent="0.35">
      <c r="A31" s="105"/>
      <c r="B31" s="16"/>
      <c r="C31" s="106"/>
      <c r="D31" s="107"/>
      <c r="E31" s="107"/>
      <c r="F31" s="107"/>
      <c r="G31" s="107"/>
      <c r="H31" s="107"/>
      <c r="I31" s="107"/>
      <c r="J31" s="108"/>
      <c r="K31" s="108"/>
      <c r="L31" s="108"/>
    </row>
    <row r="32" spans="1:12" ht="15" thickBot="1" x14ac:dyDescent="0.4">
      <c r="A32" s="109" t="s">
        <v>2</v>
      </c>
      <c r="B32" s="110"/>
      <c r="C32" s="323">
        <f>C14+C23+C30+C16</f>
        <v>163391.56999999998</v>
      </c>
      <c r="D32" s="323">
        <f t="shared" ref="D32:L32" si="14">D14+D23+D30+D16</f>
        <v>167006.65999999997</v>
      </c>
      <c r="E32" s="323">
        <f t="shared" si="14"/>
        <v>166462.49</v>
      </c>
      <c r="F32" s="323">
        <f t="shared" si="14"/>
        <v>174112.8</v>
      </c>
      <c r="G32" s="323">
        <f t="shared" si="14"/>
        <v>205891.77000000002</v>
      </c>
      <c r="H32" s="323">
        <f t="shared" ca="1" si="14"/>
        <v>213266.58340169335</v>
      </c>
      <c r="I32" s="323">
        <f t="shared" ca="1" si="14"/>
        <v>228261.95813828497</v>
      </c>
      <c r="J32" s="323">
        <f t="shared" ca="1" si="14"/>
        <v>253481.3631129851</v>
      </c>
      <c r="K32" s="323">
        <f t="shared" ca="1" si="14"/>
        <v>286513.70177186356</v>
      </c>
      <c r="L32" s="323">
        <f t="shared" ca="1" si="14"/>
        <v>320848.55240853381</v>
      </c>
    </row>
    <row r="33" spans="1:12" ht="15" thickTop="1" x14ac:dyDescent="0.35">
      <c r="A33" s="91"/>
      <c r="B33" s="16"/>
      <c r="C33" s="111"/>
      <c r="D33" s="112"/>
      <c r="E33" s="112"/>
      <c r="F33" s="113"/>
      <c r="G33" s="112"/>
      <c r="H33" s="111"/>
      <c r="I33" s="111"/>
      <c r="J33" s="111"/>
      <c r="K33" s="111"/>
      <c r="L33" s="111"/>
    </row>
    <row r="34" spans="1:12" x14ac:dyDescent="0.35">
      <c r="A34" s="98"/>
      <c r="B34" s="9" t="s">
        <v>156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</row>
    <row r="35" spans="1:12" x14ac:dyDescent="0.35">
      <c r="A35" s="105" t="s">
        <v>157</v>
      </c>
      <c r="B35" s="91" t="s">
        <v>158</v>
      </c>
      <c r="C35" s="114"/>
      <c r="D35" s="114"/>
      <c r="E35" s="114"/>
      <c r="F35" s="114"/>
      <c r="G35" s="114"/>
      <c r="H35" s="114"/>
      <c r="I35" s="114"/>
      <c r="J35" s="114"/>
      <c r="K35" s="114"/>
      <c r="L35" s="114"/>
    </row>
    <row r="36" spans="1:12" x14ac:dyDescent="0.35">
      <c r="A36" s="115"/>
      <c r="B36" s="99" t="s">
        <v>159</v>
      </c>
      <c r="C36" s="107">
        <f>BS!C8</f>
        <v>22227.17</v>
      </c>
      <c r="D36" s="107">
        <f>BS!D8</f>
        <v>24417.18</v>
      </c>
      <c r="E36" s="107">
        <f>BS!E8</f>
        <v>17611.650000000001</v>
      </c>
      <c r="F36" s="107">
        <f>BS!F8</f>
        <v>21902.26</v>
      </c>
      <c r="G36" s="107">
        <f>BS!G8</f>
        <v>20351.330000000002</v>
      </c>
      <c r="H36" s="107">
        <f>Depreciation!H21</f>
        <v>23137.875597773149</v>
      </c>
      <c r="I36" s="107">
        <f>Depreciation!I21</f>
        <v>26017.435386766479</v>
      </c>
      <c r="J36" s="107">
        <f>Depreciation!J21</f>
        <v>28972.056940408143</v>
      </c>
      <c r="K36" s="107">
        <f>Depreciation!K21</f>
        <v>32156.937225384452</v>
      </c>
      <c r="L36" s="107">
        <f>Depreciation!L21</f>
        <v>35404.056112251848</v>
      </c>
    </row>
    <row r="37" spans="1:12" x14ac:dyDescent="0.35">
      <c r="A37" s="105"/>
      <c r="B37" s="116" t="s">
        <v>160</v>
      </c>
      <c r="C37" s="107">
        <f>BS!C9</f>
        <v>2454.34</v>
      </c>
      <c r="D37" s="107">
        <f>BS!D9</f>
        <v>2551.75</v>
      </c>
      <c r="E37" s="107">
        <f>BS!E9</f>
        <v>4477.6400000000003</v>
      </c>
      <c r="F37" s="107">
        <f>BS!F9</f>
        <v>3036.1</v>
      </c>
      <c r="G37" s="107">
        <f>BS!G9</f>
        <v>1222.6600000000001</v>
      </c>
      <c r="H37" s="117">
        <f>G37</f>
        <v>1222.6600000000001</v>
      </c>
      <c r="I37" s="117">
        <f t="shared" ref="I37:L37" si="15">H37</f>
        <v>1222.6600000000001</v>
      </c>
      <c r="J37" s="117">
        <f t="shared" si="15"/>
        <v>1222.6600000000001</v>
      </c>
      <c r="K37" s="117">
        <f t="shared" si="15"/>
        <v>1222.6600000000001</v>
      </c>
      <c r="L37" s="117">
        <f t="shared" si="15"/>
        <v>1222.6600000000001</v>
      </c>
    </row>
    <row r="38" spans="1:12" x14ac:dyDescent="0.35">
      <c r="A38" s="105"/>
      <c r="B38" s="99" t="s">
        <v>161</v>
      </c>
      <c r="C38" s="118">
        <f>C36+C37</f>
        <v>24681.51</v>
      </c>
      <c r="D38" s="118">
        <f t="shared" ref="D38:G38" si="16">D36+D37</f>
        <v>26968.93</v>
      </c>
      <c r="E38" s="118">
        <f t="shared" si="16"/>
        <v>22089.29</v>
      </c>
      <c r="F38" s="118">
        <f t="shared" si="16"/>
        <v>24938.359999999997</v>
      </c>
      <c r="G38" s="118">
        <f t="shared" si="16"/>
        <v>21573.99</v>
      </c>
      <c r="H38" s="118">
        <f t="shared" ref="H38:L38" si="17">H36+H37</f>
        <v>24360.535597773149</v>
      </c>
      <c r="I38" s="118">
        <f t="shared" si="17"/>
        <v>27240.095386766479</v>
      </c>
      <c r="J38" s="118">
        <f t="shared" si="17"/>
        <v>30194.716940408143</v>
      </c>
      <c r="K38" s="118">
        <f t="shared" si="17"/>
        <v>33379.597225384452</v>
      </c>
      <c r="L38" s="118">
        <f t="shared" si="17"/>
        <v>36626.716112251852</v>
      </c>
    </row>
    <row r="39" spans="1:12" x14ac:dyDescent="0.35">
      <c r="A39" s="105"/>
      <c r="B39" s="116" t="s">
        <v>162</v>
      </c>
      <c r="C39" s="94">
        <f>BS!C13</f>
        <v>10790.94</v>
      </c>
      <c r="D39" s="94">
        <f>BS!D13</f>
        <v>11229.4</v>
      </c>
      <c r="E39" s="94">
        <f>BS!E13</f>
        <v>12256.22</v>
      </c>
      <c r="F39" s="94">
        <f>BS!F13</f>
        <v>13149.7</v>
      </c>
      <c r="G39" s="94">
        <f>BS!G13</f>
        <v>14380.57</v>
      </c>
      <c r="H39" s="120">
        <f>G39</f>
        <v>14380.57</v>
      </c>
      <c r="I39" s="120">
        <f t="shared" ref="I39:L39" si="18">H39</f>
        <v>14380.57</v>
      </c>
      <c r="J39" s="120">
        <f t="shared" si="18"/>
        <v>14380.57</v>
      </c>
      <c r="K39" s="120">
        <f t="shared" si="18"/>
        <v>14380.57</v>
      </c>
      <c r="L39" s="120">
        <f t="shared" si="18"/>
        <v>14380.57</v>
      </c>
    </row>
    <row r="40" spans="1:12" x14ac:dyDescent="0.35">
      <c r="A40" s="119"/>
      <c r="B40" s="116" t="s">
        <v>163</v>
      </c>
      <c r="C40" s="94">
        <f>BS!C11</f>
        <v>4681.97</v>
      </c>
      <c r="D40" s="94">
        <f>BS!D11</f>
        <v>3759.78</v>
      </c>
      <c r="E40" s="94">
        <f>BS!E11</f>
        <v>2463.13</v>
      </c>
      <c r="F40" s="94">
        <f>BS!F11</f>
        <v>2775.83</v>
      </c>
      <c r="G40" s="94">
        <f>BS!G11</f>
        <v>4239.75</v>
      </c>
      <c r="H40" s="120">
        <f>Ammortisation!H21</f>
        <v>4153.7431596947508</v>
      </c>
      <c r="I40" s="120">
        <f>Ammortisation!I21</f>
        <v>3947.0078236461391</v>
      </c>
      <c r="J40" s="120">
        <f>Ammortisation!J21</f>
        <v>4456.4589900229812</v>
      </c>
      <c r="K40" s="120">
        <f>Ammortisation!K21</f>
        <v>5303.8789186240574</v>
      </c>
      <c r="L40" s="120">
        <f>Ammortisation!L21</f>
        <v>5890.361876928223</v>
      </c>
    </row>
    <row r="41" spans="1:12" x14ac:dyDescent="0.35">
      <c r="A41" s="105"/>
      <c r="B41" t="s">
        <v>164</v>
      </c>
      <c r="C41" s="94">
        <f>BS!C12</f>
        <v>2305.5</v>
      </c>
      <c r="D41" s="94">
        <f>BS!D12</f>
        <v>4304.7299999999996</v>
      </c>
      <c r="E41" s="94">
        <f>BS!E12</f>
        <v>3394.97</v>
      </c>
      <c r="F41" s="94">
        <f>BS!F12</f>
        <v>3666.71</v>
      </c>
      <c r="G41" s="94">
        <f>BS!G12</f>
        <v>2745.92</v>
      </c>
      <c r="H41" s="338">
        <f>G41</f>
        <v>2745.92</v>
      </c>
      <c r="I41" s="338">
        <f t="shared" ref="I41:L41" si="19">H41</f>
        <v>2745.92</v>
      </c>
      <c r="J41" s="338">
        <f t="shared" si="19"/>
        <v>2745.92</v>
      </c>
      <c r="K41" s="338">
        <f t="shared" si="19"/>
        <v>2745.92</v>
      </c>
      <c r="L41" s="338">
        <f t="shared" si="19"/>
        <v>2745.92</v>
      </c>
    </row>
    <row r="42" spans="1:12" x14ac:dyDescent="0.35">
      <c r="A42" s="105"/>
      <c r="B42" s="36" t="s">
        <v>14</v>
      </c>
      <c r="C42" s="94">
        <f>BS!C10</f>
        <v>2073.6</v>
      </c>
      <c r="D42" s="94">
        <f>BS!D10</f>
        <v>1512.31</v>
      </c>
      <c r="E42" s="94">
        <f>BS!E10</f>
        <v>1304.9000000000001</v>
      </c>
      <c r="F42" s="94">
        <f>BS!F10</f>
        <v>1340.4</v>
      </c>
      <c r="G42" s="94">
        <f>BS!G10</f>
        <v>2548.9</v>
      </c>
      <c r="H42" s="338">
        <f>G42</f>
        <v>2548.9</v>
      </c>
      <c r="I42" s="338">
        <f t="shared" ref="I42:L42" si="20">H42</f>
        <v>2548.9</v>
      </c>
      <c r="J42" s="338">
        <f t="shared" si="20"/>
        <v>2548.9</v>
      </c>
      <c r="K42" s="338">
        <f t="shared" si="20"/>
        <v>2548.9</v>
      </c>
      <c r="L42" s="338">
        <f t="shared" si="20"/>
        <v>2548.9</v>
      </c>
    </row>
    <row r="43" spans="1:12" x14ac:dyDescent="0.35">
      <c r="A43" s="105"/>
      <c r="B43" s="99"/>
      <c r="C43" s="92"/>
      <c r="D43" s="92"/>
      <c r="E43" s="92"/>
      <c r="F43" s="92"/>
      <c r="G43" s="92"/>
      <c r="H43" s="92"/>
      <c r="I43" s="92"/>
      <c r="J43" s="92"/>
      <c r="K43" s="92"/>
      <c r="L43" s="92"/>
    </row>
    <row r="44" spans="1:12" x14ac:dyDescent="0.35">
      <c r="A44" s="89" t="s">
        <v>142</v>
      </c>
      <c r="B44" s="91" t="s">
        <v>165</v>
      </c>
      <c r="C44" s="92"/>
      <c r="D44" s="92"/>
      <c r="E44" s="92"/>
      <c r="F44" s="92"/>
      <c r="G44" s="92"/>
      <c r="H44" s="92"/>
      <c r="I44" s="92"/>
      <c r="J44" s="92"/>
      <c r="K44" s="92"/>
      <c r="L44" s="92"/>
    </row>
    <row r="45" spans="1:12" x14ac:dyDescent="0.35">
      <c r="A45" s="105"/>
      <c r="B45" s="116" t="s">
        <v>166</v>
      </c>
      <c r="C45" s="94">
        <f>BS!C15</f>
        <v>1369.94</v>
      </c>
      <c r="D45" s="94">
        <f>BS!D15</f>
        <v>1685.38</v>
      </c>
      <c r="E45" s="94">
        <f>BS!E15</f>
        <v>6489.62</v>
      </c>
      <c r="F45" s="94">
        <f>BS!F15</f>
        <v>6060.85</v>
      </c>
      <c r="G45" s="94">
        <f>BS!G15</f>
        <v>6625.93</v>
      </c>
      <c r="H45" s="120">
        <f>'Other long Term Items'!H12</f>
        <v>7122.7716984742274</v>
      </c>
      <c r="I45" s="120">
        <f>'Other long Term Items'!I12</f>
        <v>7657.7080885428877</v>
      </c>
      <c r="J45" s="120">
        <f>'Other long Term Items'!J12</f>
        <v>8233.7297976724076</v>
      </c>
      <c r="K45" s="120">
        <f>'Other long Term Items'!K12</f>
        <v>8854.0681044375578</v>
      </c>
      <c r="L45" s="120">
        <f>'Other long Term Items'!L12</f>
        <v>9522.2147995116811</v>
      </c>
    </row>
    <row r="46" spans="1:12" x14ac:dyDescent="0.35">
      <c r="A46" s="105"/>
      <c r="B46" s="116" t="s">
        <v>28</v>
      </c>
      <c r="C46" s="94">
        <f>BS!C19</f>
        <v>1502.91</v>
      </c>
      <c r="D46" s="94">
        <f>BS!D19</f>
        <v>1290.53</v>
      </c>
      <c r="E46" s="94">
        <f>BS!E19</f>
        <v>1717.32</v>
      </c>
      <c r="F46" s="94">
        <f>BS!F19</f>
        <v>1724.31</v>
      </c>
      <c r="G46" s="94">
        <f>BS!G19</f>
        <v>1615.46</v>
      </c>
      <c r="H46" s="120">
        <f>'Other long Term Items'!H13</f>
        <v>1736.5943751318191</v>
      </c>
      <c r="I46" s="120">
        <f>'Other long Term Items'!I13</f>
        <v>1867.0165710651172</v>
      </c>
      <c r="J46" s="120">
        <f>'Other long Term Items'!J13</f>
        <v>2007.4557290746909</v>
      </c>
      <c r="K46" s="120">
        <f>'Other long Term Items'!K13</f>
        <v>2158.6996632917485</v>
      </c>
      <c r="L46" s="120">
        <f>'Other long Term Items'!L13</f>
        <v>2321.5997029879791</v>
      </c>
    </row>
    <row r="47" spans="1:12" x14ac:dyDescent="0.35">
      <c r="A47" s="105"/>
      <c r="B47" s="116" t="s">
        <v>167</v>
      </c>
      <c r="C47" s="94">
        <f>BS!C17</f>
        <v>40515</v>
      </c>
      <c r="D47" s="94">
        <f>BS!D17</f>
        <v>45945.23</v>
      </c>
      <c r="E47" s="94">
        <f>BS!E17</f>
        <v>38525.68</v>
      </c>
      <c r="F47" s="94">
        <f>BS!F17</f>
        <v>38849.4</v>
      </c>
      <c r="G47" s="94">
        <f>BS!G17</f>
        <v>52772.75</v>
      </c>
      <c r="H47" s="120">
        <f>'Other long Term Items'!H14</f>
        <v>56729.885487872001</v>
      </c>
      <c r="I47" s="120">
        <f>'Other long Term Items'!I14</f>
        <v>60990.429197056357</v>
      </c>
      <c r="J47" s="120">
        <f>'Other long Term Items'!J14</f>
        <v>65578.200219458478</v>
      </c>
      <c r="K47" s="120">
        <f>'Other long Term Items'!K14</f>
        <v>70518.934332004268</v>
      </c>
      <c r="L47" s="120">
        <f>'Other long Term Items'!L14</f>
        <v>75840.442181087041</v>
      </c>
    </row>
    <row r="48" spans="1:12" x14ac:dyDescent="0.35">
      <c r="A48" s="105"/>
      <c r="B48" s="116" t="s">
        <v>30</v>
      </c>
      <c r="C48" s="94">
        <f>BS!C16+BS!C18+BS!C20+BS!C21</f>
        <v>6064.16</v>
      </c>
      <c r="D48" s="94">
        <f>BS!D16+BS!D18+BS!D20+BS!D21</f>
        <v>6264.9400000000005</v>
      </c>
      <c r="E48" s="94">
        <f>BS!E16+BS!E18+BS!E20+BS!E21</f>
        <v>6083.4500000000007</v>
      </c>
      <c r="F48" s="94">
        <f>BS!F16+BS!F18+BS!F20+BS!F21</f>
        <v>6459.24</v>
      </c>
      <c r="G48" s="94">
        <f>BS!G16+BS!G18+BS!G20+BS!G21</f>
        <v>8063.0599999999995</v>
      </c>
      <c r="H48" s="120">
        <f>'Other long Term Items'!H15</f>
        <v>8667.664097130455</v>
      </c>
      <c r="I48" s="120">
        <f>'Other long Term Items'!I15</f>
        <v>9318.6254277371791</v>
      </c>
      <c r="J48" s="120">
        <f>'Other long Term Items'!J15</f>
        <v>10019.583270940151</v>
      </c>
      <c r="K48" s="120">
        <f>'Other long Term Items'!K15</f>
        <v>10774.469752950346</v>
      </c>
      <c r="L48" s="120">
        <f>'Other long Term Items'!L15</f>
        <v>11587.534015806183</v>
      </c>
    </row>
    <row r="49" spans="1:12" x14ac:dyDescent="0.35">
      <c r="A49" s="121"/>
      <c r="B49" s="122" t="s">
        <v>168</v>
      </c>
      <c r="C49" s="34">
        <f>SUM(C38:C48)</f>
        <v>93985.53</v>
      </c>
      <c r="D49" s="34">
        <f t="shared" ref="D49:G49" si="21">SUM(D38:D48)</f>
        <v>102961.23</v>
      </c>
      <c r="E49" s="34">
        <f t="shared" si="21"/>
        <v>94324.58</v>
      </c>
      <c r="F49" s="34">
        <f t="shared" si="21"/>
        <v>98964.800000000003</v>
      </c>
      <c r="G49" s="34">
        <f t="shared" si="21"/>
        <v>114566.32999999999</v>
      </c>
      <c r="H49" s="34">
        <f t="shared" ref="H49:L49" si="22">SUM(H38:H48)</f>
        <v>122446.58441607641</v>
      </c>
      <c r="I49" s="34">
        <f t="shared" si="22"/>
        <v>130696.27249481417</v>
      </c>
      <c r="J49" s="34">
        <f t="shared" si="22"/>
        <v>140165.53494757685</v>
      </c>
      <c r="K49" s="34">
        <f t="shared" si="22"/>
        <v>150665.03799669241</v>
      </c>
      <c r="L49" s="34">
        <f t="shared" si="22"/>
        <v>161464.25868857297</v>
      </c>
    </row>
    <row r="50" spans="1:12" x14ac:dyDescent="0.35">
      <c r="A50" s="121"/>
      <c r="B50" s="122"/>
      <c r="C50" s="92"/>
      <c r="D50" s="101"/>
      <c r="E50" s="101"/>
      <c r="F50" s="101"/>
      <c r="G50" s="101"/>
      <c r="H50" s="95"/>
      <c r="I50" s="95"/>
      <c r="J50" s="95"/>
      <c r="K50" s="95"/>
      <c r="L50" s="95"/>
    </row>
    <row r="51" spans="1:12" x14ac:dyDescent="0.35">
      <c r="A51" s="105" t="s">
        <v>149</v>
      </c>
      <c r="B51" s="91" t="s">
        <v>169</v>
      </c>
      <c r="C51" s="92"/>
      <c r="D51" s="101"/>
      <c r="E51" s="101"/>
      <c r="F51" s="101"/>
      <c r="G51" s="101"/>
      <c r="H51" s="95"/>
      <c r="I51" s="95"/>
      <c r="J51" s="95"/>
      <c r="K51" s="95"/>
      <c r="L51" s="95"/>
    </row>
    <row r="52" spans="1:12" x14ac:dyDescent="0.35">
      <c r="A52" s="119"/>
      <c r="B52" s="116" t="s">
        <v>170</v>
      </c>
      <c r="C52" s="94">
        <f>BS!C26</f>
        <v>6107.22</v>
      </c>
      <c r="D52" s="94">
        <f>BS!D26</f>
        <v>6295.56</v>
      </c>
      <c r="E52" s="94">
        <f>BS!E26</f>
        <v>10031.82</v>
      </c>
      <c r="F52" s="94">
        <f>BS!F26</f>
        <v>10849.88</v>
      </c>
      <c r="G52" s="94">
        <f>BS!G26</f>
        <v>14265.92</v>
      </c>
      <c r="H52" s="95">
        <f>WC!H13</f>
        <v>15335.642125512561</v>
      </c>
      <c r="I52" s="95">
        <f>WC!I13</f>
        <v>16487.3838049158</v>
      </c>
      <c r="J52" s="95">
        <f>WC!J13</f>
        <v>17727.583991260206</v>
      </c>
      <c r="K52" s="95">
        <f>WC!K13</f>
        <v>19063.199770063649</v>
      </c>
      <c r="L52" s="95">
        <f>WC!L13</f>
        <v>20501.749120900717</v>
      </c>
    </row>
    <row r="53" spans="1:12" x14ac:dyDescent="0.35">
      <c r="A53" s="357"/>
      <c r="B53" s="116" t="s">
        <v>11</v>
      </c>
      <c r="C53" s="94">
        <f>BS!C24</f>
        <v>12200.16</v>
      </c>
      <c r="D53" s="94">
        <f>BS!D24</f>
        <v>11111.86</v>
      </c>
      <c r="E53" s="94">
        <f>BS!E24</f>
        <v>9615.41</v>
      </c>
      <c r="F53" s="94">
        <f>BS!F24</f>
        <v>11595.82</v>
      </c>
      <c r="G53" s="94">
        <f>BS!G24</f>
        <v>16854.97</v>
      </c>
      <c r="H53" s="95">
        <f>WC!H14</f>
        <v>16238.267434471993</v>
      </c>
      <c r="I53" s="95">
        <f>WC!I14</f>
        <v>17457.798332005415</v>
      </c>
      <c r="J53" s="95">
        <f>WC!J14</f>
        <v>18770.994227770323</v>
      </c>
      <c r="K53" s="95">
        <f>WC!K14</f>
        <v>20185.221687462432</v>
      </c>
      <c r="L53" s="95">
        <f>WC!L14</f>
        <v>21708.441183939667</v>
      </c>
    </row>
    <row r="54" spans="1:12" x14ac:dyDescent="0.35">
      <c r="A54" s="357"/>
      <c r="B54" s="116" t="s">
        <v>171</v>
      </c>
      <c r="C54" s="94">
        <f>BS!C27</f>
        <v>9290.51</v>
      </c>
      <c r="D54" s="94">
        <f>BS!D27</f>
        <v>6928.28</v>
      </c>
      <c r="E54" s="94">
        <f>BS!E27</f>
        <v>6007.76</v>
      </c>
      <c r="F54" s="94">
        <f>BS!F27</f>
        <v>6373.95</v>
      </c>
      <c r="G54" s="94">
        <f>BS!G27</f>
        <v>7028.02</v>
      </c>
      <c r="H54" s="95">
        <f>WC!H15</f>
        <v>7555.0121948633378</v>
      </c>
      <c r="I54" s="95">
        <f>WC!I15</f>
        <v>8122.4108314517625</v>
      </c>
      <c r="J54" s="95">
        <f>WC!J15</f>
        <v>8733.3880214004112</v>
      </c>
      <c r="K54" s="95">
        <f>WC!K15</f>
        <v>9391.3711311995812</v>
      </c>
      <c r="L54" s="95">
        <f>WC!L15</f>
        <v>10100.063848435479</v>
      </c>
    </row>
    <row r="55" spans="1:12" x14ac:dyDescent="0.35">
      <c r="A55" s="119"/>
      <c r="B55" s="116" t="s">
        <v>172</v>
      </c>
      <c r="C55" s="94">
        <f>BS!C28+BS!C29</f>
        <v>8734.91</v>
      </c>
      <c r="D55" s="94">
        <f>BS!D28+BS!D29</f>
        <v>7910.9</v>
      </c>
      <c r="E55" s="94">
        <f>BS!E28+BS!E29</f>
        <v>12851.99</v>
      </c>
      <c r="F55" s="94">
        <f>BS!F28+BS!F29</f>
        <v>11117.61</v>
      </c>
      <c r="G55" s="94">
        <f>BS!G28+BS!G29</f>
        <v>11273.43</v>
      </c>
      <c r="H55" s="480">
        <f ca="1">'Cash Flow'!H65</f>
        <v>999.99999999999636</v>
      </c>
      <c r="I55" s="480">
        <f ca="1">'Cash Flow'!I65</f>
        <v>999.99999999999636</v>
      </c>
      <c r="J55" s="480">
        <f ca="1">'Cash Flow'!J65</f>
        <v>9486.3593319202846</v>
      </c>
      <c r="K55" s="480">
        <f ca="1">'Cash Flow'!K65</f>
        <v>24196.567958381078</v>
      </c>
      <c r="L55" s="480">
        <f ca="1">'Cash Flow'!L65</f>
        <v>39306.694740314008</v>
      </c>
    </row>
    <row r="56" spans="1:12" x14ac:dyDescent="0.35">
      <c r="A56" s="119"/>
      <c r="B56" s="116" t="s">
        <v>173</v>
      </c>
      <c r="C56" s="94">
        <f>BS!C30</f>
        <v>28622.06</v>
      </c>
      <c r="D56" s="94">
        <f>BS!D30</f>
        <v>27963.68</v>
      </c>
      <c r="E56" s="94">
        <f>BS!E30</f>
        <v>29119.55</v>
      </c>
      <c r="F56" s="94">
        <f>BS!F30</f>
        <v>29242.26</v>
      </c>
      <c r="G56" s="94">
        <f>BS!G30</f>
        <v>34684.81</v>
      </c>
      <c r="H56" s="95">
        <f>WC!H16</f>
        <v>42931.527745130123</v>
      </c>
      <c r="I56" s="95">
        <f>WC!I16</f>
        <v>46155.783336114728</v>
      </c>
      <c r="J56" s="95">
        <f>WC!J16</f>
        <v>49627.675042623945</v>
      </c>
      <c r="K56" s="95">
        <f>WC!K16</f>
        <v>53366.678952290167</v>
      </c>
      <c r="L56" s="95">
        <f>WC!L16</f>
        <v>57393.841353625634</v>
      </c>
    </row>
    <row r="57" spans="1:12" x14ac:dyDescent="0.35">
      <c r="A57" s="119"/>
      <c r="B57" s="116" t="s">
        <v>174</v>
      </c>
      <c r="C57" s="94">
        <f>BS!C31+BS!C32+BS!C33</f>
        <v>4451.18</v>
      </c>
      <c r="D57" s="94">
        <f>BS!D31+BS!D32+BS!D33</f>
        <v>3835.1499999999996</v>
      </c>
      <c r="E57" s="94">
        <f>BS!E31+BS!E32+BS!E33</f>
        <v>4511.38</v>
      </c>
      <c r="F57" s="94">
        <f>BS!F31+BS!F32+BS!F33</f>
        <v>5968.4800000000005</v>
      </c>
      <c r="G57" s="94">
        <f>BS!G31+BS!G32+BS!G33</f>
        <v>7218.29</v>
      </c>
      <c r="H57" s="95">
        <f>WC!H17</f>
        <v>7759.5494856389259</v>
      </c>
      <c r="I57" s="95">
        <f>WC!I17</f>
        <v>8342.3093389830919</v>
      </c>
      <c r="J57" s="95">
        <f>WC!J17</f>
        <v>8969.827550433034</v>
      </c>
      <c r="K57" s="95">
        <f>WC!K17</f>
        <v>9645.6242757742039</v>
      </c>
      <c r="L57" s="95">
        <f>WC!L17</f>
        <v>10373.503472745286</v>
      </c>
    </row>
    <row r="58" spans="1:12" x14ac:dyDescent="0.35">
      <c r="A58" s="105"/>
      <c r="B58" s="122" t="s">
        <v>175</v>
      </c>
      <c r="C58" s="123">
        <f>SUM(C52:C57)</f>
        <v>69406.040000000008</v>
      </c>
      <c r="D58" s="123">
        <f t="shared" ref="D58:G58" si="23">SUM(D52:D57)</f>
        <v>64045.43</v>
      </c>
      <c r="E58" s="123">
        <f t="shared" si="23"/>
        <v>72137.91</v>
      </c>
      <c r="F58" s="123">
        <f t="shared" si="23"/>
        <v>75147.999999999985</v>
      </c>
      <c r="G58" s="123">
        <f t="shared" si="23"/>
        <v>91325.439999999988</v>
      </c>
      <c r="H58" s="123">
        <f t="shared" ref="H58:L58" ca="1" si="24">SUM(H52:H57)</f>
        <v>90819.998985616941</v>
      </c>
      <c r="I58" s="123">
        <f t="shared" ca="1" si="24"/>
        <v>97565.685643470788</v>
      </c>
      <c r="J58" s="123">
        <f t="shared" ca="1" si="24"/>
        <v>113315.82816540821</v>
      </c>
      <c r="K58" s="123">
        <f t="shared" ca="1" si="24"/>
        <v>135848.66377517112</v>
      </c>
      <c r="L58" s="123">
        <f t="shared" ca="1" si="24"/>
        <v>159384.29371996078</v>
      </c>
    </row>
    <row r="59" spans="1:12" x14ac:dyDescent="0.35">
      <c r="A59" s="105"/>
      <c r="B59" s="116"/>
      <c r="C59" s="96"/>
      <c r="D59" s="123"/>
      <c r="E59" s="107"/>
      <c r="F59" s="107"/>
      <c r="G59" s="123"/>
      <c r="H59" s="123"/>
      <c r="I59" s="123"/>
      <c r="J59" s="123"/>
      <c r="K59" s="123"/>
      <c r="L59" s="123"/>
    </row>
    <row r="60" spans="1:12" ht="15" thickBot="1" x14ac:dyDescent="0.4">
      <c r="A60" s="109" t="s">
        <v>2</v>
      </c>
      <c r="B60" s="110"/>
      <c r="C60" s="124">
        <f t="shared" ref="C60:G60" si="25">C58+C49</f>
        <v>163391.57</v>
      </c>
      <c r="D60" s="125">
        <f t="shared" si="25"/>
        <v>167006.66</v>
      </c>
      <c r="E60" s="125">
        <f t="shared" si="25"/>
        <v>166462.49</v>
      </c>
      <c r="F60" s="125">
        <f t="shared" si="25"/>
        <v>174112.8</v>
      </c>
      <c r="G60" s="125">
        <f t="shared" si="25"/>
        <v>205891.76999999996</v>
      </c>
      <c r="H60" s="125">
        <f t="shared" ref="H60:L60" ca="1" si="26">H58+H49</f>
        <v>213266.58340169335</v>
      </c>
      <c r="I60" s="125">
        <f t="shared" ca="1" si="26"/>
        <v>228261.95813828497</v>
      </c>
      <c r="J60" s="125">
        <f t="shared" ca="1" si="26"/>
        <v>253481.36311298504</v>
      </c>
      <c r="K60" s="125">
        <f t="shared" ca="1" si="26"/>
        <v>286513.7017718635</v>
      </c>
      <c r="L60" s="125">
        <f t="shared" ca="1" si="26"/>
        <v>320848.55240853375</v>
      </c>
    </row>
    <row r="61" spans="1:12" ht="15" thickTop="1" x14ac:dyDescent="0.35">
      <c r="A61" s="98"/>
      <c r="B61" s="16"/>
      <c r="C61" s="126"/>
      <c r="D61" s="126"/>
      <c r="E61" s="127"/>
      <c r="F61" s="127"/>
      <c r="G61" s="127"/>
      <c r="H61" s="127"/>
      <c r="I61" s="127"/>
      <c r="J61" s="16"/>
    </row>
    <row r="62" spans="1:12" x14ac:dyDescent="0.35">
      <c r="A62" s="98" t="s">
        <v>176</v>
      </c>
      <c r="B62" s="16"/>
      <c r="C62" s="126">
        <f t="shared" ref="C62:L62" si="27">C60-C32</f>
        <v>0</v>
      </c>
      <c r="D62" s="126">
        <f t="shared" si="27"/>
        <v>0</v>
      </c>
      <c r="E62" s="127">
        <f t="shared" si="27"/>
        <v>0</v>
      </c>
      <c r="F62" s="127">
        <f t="shared" si="27"/>
        <v>0</v>
      </c>
      <c r="G62" s="127">
        <f t="shared" si="27"/>
        <v>0</v>
      </c>
      <c r="H62" s="516">
        <f t="shared" ca="1" si="27"/>
        <v>0</v>
      </c>
      <c r="I62" s="516">
        <f t="shared" ca="1" si="27"/>
        <v>0</v>
      </c>
      <c r="J62" s="516">
        <f t="shared" ca="1" si="27"/>
        <v>0</v>
      </c>
      <c r="K62" s="516">
        <f t="shared" ca="1" si="27"/>
        <v>0</v>
      </c>
      <c r="L62" s="516">
        <f t="shared" ca="1" si="27"/>
        <v>0</v>
      </c>
    </row>
    <row r="63" spans="1:12" x14ac:dyDescent="0.35">
      <c r="A63" s="16"/>
      <c r="B63" s="16"/>
      <c r="C63" s="89"/>
      <c r="D63" s="89"/>
      <c r="E63" s="16"/>
      <c r="F63"/>
      <c r="G63"/>
      <c r="H63" s="12">
        <f ca="1">H62</f>
        <v>0</v>
      </c>
      <c r="I63" s="12">
        <f ca="1">I62-H62</f>
        <v>0</v>
      </c>
      <c r="J63" s="12">
        <f t="shared" ref="J63:L63" ca="1" si="28">J62-I62</f>
        <v>0</v>
      </c>
      <c r="K63" s="12">
        <f t="shared" ca="1" si="28"/>
        <v>0</v>
      </c>
      <c r="L63" s="12">
        <f t="shared" ca="1" si="28"/>
        <v>0</v>
      </c>
    </row>
    <row r="64" spans="1:12" x14ac:dyDescent="0.35">
      <c r="A64" s="89"/>
      <c r="B64" s="116"/>
      <c r="C64" s="128"/>
      <c r="D64" s="128"/>
      <c r="E64" s="129"/>
      <c r="F64" s="129"/>
      <c r="G64" s="129"/>
      <c r="H64" s="129"/>
      <c r="I64" s="129"/>
      <c r="J64" s="16"/>
    </row>
    <row r="65" spans="1:10" x14ac:dyDescent="0.35">
      <c r="A65" s="89"/>
      <c r="B65" s="99"/>
      <c r="C65" s="130"/>
      <c r="D65" s="130"/>
      <c r="E65" s="131"/>
      <c r="F65" s="131"/>
      <c r="G65" s="131"/>
      <c r="H65" s="131"/>
      <c r="I65" s="131"/>
      <c r="J65" s="16"/>
    </row>
    <row r="66" spans="1:10" x14ac:dyDescent="0.35">
      <c r="A66" s="89"/>
      <c r="B66" s="98"/>
      <c r="C66" s="126"/>
      <c r="D66" s="126"/>
      <c r="E66" s="127"/>
      <c r="F66" s="127"/>
      <c r="G66" s="127"/>
      <c r="H66" s="127"/>
      <c r="I66" s="127"/>
      <c r="J66" s="16"/>
    </row>
    <row r="67" spans="1:10" x14ac:dyDescent="0.35">
      <c r="A67" s="89"/>
      <c r="B67" s="91"/>
      <c r="C67" s="132"/>
      <c r="D67" s="132"/>
      <c r="E67" s="131"/>
      <c r="F67" s="131"/>
      <c r="G67" s="131"/>
      <c r="H67" s="131"/>
      <c r="I67" s="131"/>
      <c r="J67" s="16"/>
    </row>
    <row r="68" spans="1:10" x14ac:dyDescent="0.35">
      <c r="A68" s="89"/>
      <c r="B68" s="116"/>
      <c r="C68" s="126"/>
      <c r="D68" s="126"/>
      <c r="E68" s="127"/>
      <c r="F68" s="127"/>
      <c r="G68" s="127"/>
      <c r="H68" s="127"/>
      <c r="I68" s="127"/>
      <c r="J68" s="16"/>
    </row>
    <row r="69" spans="1:10" x14ac:dyDescent="0.35">
      <c r="A69" s="89"/>
      <c r="B69" s="116"/>
      <c r="C69" s="126"/>
      <c r="D69" s="126"/>
      <c r="E69" s="127"/>
      <c r="F69" s="127"/>
      <c r="G69" s="127"/>
      <c r="H69" s="127"/>
      <c r="I69" s="127"/>
      <c r="J69" s="16"/>
    </row>
    <row r="70" spans="1:10" x14ac:dyDescent="0.35">
      <c r="A70" s="89"/>
      <c r="B70" s="116"/>
      <c r="C70" s="128"/>
      <c r="D70" s="128"/>
      <c r="E70" s="129"/>
      <c r="F70" s="129"/>
      <c r="G70" s="129"/>
      <c r="H70" s="129"/>
      <c r="I70" s="129"/>
      <c r="J70" s="16"/>
    </row>
    <row r="71" spans="1:10" x14ac:dyDescent="0.35">
      <c r="A71" s="89"/>
      <c r="B71" s="116"/>
      <c r="C71" s="133"/>
      <c r="D71" s="133"/>
      <c r="E71" s="134"/>
      <c r="F71" s="134"/>
      <c r="G71" s="134"/>
      <c r="H71" s="134"/>
      <c r="I71" s="134"/>
      <c r="J71" s="16"/>
    </row>
    <row r="72" spans="1:10" x14ac:dyDescent="0.35">
      <c r="A72" s="89"/>
      <c r="B72" s="104"/>
      <c r="C72" s="135"/>
      <c r="D72" s="135"/>
      <c r="E72" s="136"/>
      <c r="F72" s="136"/>
      <c r="G72" s="136"/>
      <c r="H72" s="136"/>
      <c r="I72" s="136"/>
      <c r="J72" s="16"/>
    </row>
    <row r="73" spans="1:10" x14ac:dyDescent="0.35">
      <c r="A73" s="105"/>
      <c r="B73" s="16"/>
      <c r="C73" s="130"/>
      <c r="D73" s="130"/>
      <c r="E73" s="131"/>
      <c r="F73" s="131"/>
      <c r="G73" s="131"/>
      <c r="H73" s="131"/>
      <c r="I73" s="131"/>
      <c r="J73" s="90"/>
    </row>
    <row r="74" spans="1:10" x14ac:dyDescent="0.35">
      <c r="A74" s="91"/>
      <c r="B74" s="16"/>
      <c r="C74" s="89"/>
      <c r="D74" s="89"/>
      <c r="E74" s="16"/>
      <c r="F74" s="16"/>
      <c r="G74" s="16"/>
      <c r="H74" s="16"/>
      <c r="I74" s="16"/>
      <c r="J74" s="90"/>
    </row>
    <row r="75" spans="1:10" x14ac:dyDescent="0.35">
      <c r="A75" s="98"/>
      <c r="B75" s="16"/>
      <c r="C75" s="137"/>
      <c r="D75" s="137"/>
      <c r="E75" s="138"/>
      <c r="F75" s="138"/>
      <c r="G75" s="138"/>
      <c r="H75" s="138"/>
      <c r="I75" s="138"/>
      <c r="J75" s="90"/>
    </row>
    <row r="76" spans="1:10" x14ac:dyDescent="0.35">
      <c r="A76" s="105"/>
      <c r="B76" s="91"/>
      <c r="C76" s="126"/>
      <c r="D76" s="126"/>
      <c r="E76" s="127"/>
      <c r="F76" s="127"/>
      <c r="G76" s="127"/>
      <c r="H76" s="127"/>
      <c r="I76" s="127"/>
      <c r="J76" s="16"/>
    </row>
    <row r="77" spans="1:10" x14ac:dyDescent="0.35">
      <c r="A77" s="105"/>
      <c r="B77" s="139"/>
      <c r="C77" s="128"/>
      <c r="D77" s="128"/>
      <c r="E77" s="129"/>
      <c r="F77" s="129"/>
      <c r="G77" s="129"/>
      <c r="H77" s="129"/>
      <c r="I77" s="129"/>
      <c r="J77" s="16"/>
    </row>
    <row r="78" spans="1:10" x14ac:dyDescent="0.35">
      <c r="A78" s="105"/>
      <c r="B78" s="140"/>
      <c r="C78" s="133"/>
      <c r="D78" s="133"/>
      <c r="E78" s="134"/>
      <c r="F78" s="134"/>
      <c r="G78" s="134"/>
      <c r="H78" s="134"/>
      <c r="I78" s="134"/>
      <c r="J78" s="16"/>
    </row>
    <row r="79" spans="1:10" x14ac:dyDescent="0.35">
      <c r="A79" s="105"/>
      <c r="B79" s="99"/>
      <c r="C79" s="133"/>
      <c r="D79" s="133"/>
      <c r="E79" s="134"/>
      <c r="F79" s="134"/>
      <c r="G79" s="134"/>
      <c r="H79" s="134"/>
      <c r="I79" s="134"/>
      <c r="J79" s="16"/>
    </row>
    <row r="80" spans="1:10" x14ac:dyDescent="0.35">
      <c r="A80" s="105"/>
      <c r="B80" s="116"/>
      <c r="C80" s="133"/>
      <c r="D80" s="133"/>
      <c r="E80" s="134"/>
      <c r="F80" s="134"/>
      <c r="G80" s="134"/>
      <c r="H80" s="134"/>
      <c r="I80" s="134"/>
      <c r="J80" s="16"/>
    </row>
    <row r="81" spans="1:10" x14ac:dyDescent="0.35">
      <c r="A81" s="105"/>
      <c r="B81" s="99"/>
      <c r="C81" s="133"/>
      <c r="D81" s="133"/>
      <c r="E81" s="134"/>
      <c r="F81" s="134"/>
      <c r="G81" s="134"/>
      <c r="H81" s="134"/>
      <c r="I81" s="134"/>
      <c r="J81" s="16"/>
    </row>
    <row r="82" spans="1:10" x14ac:dyDescent="0.35">
      <c r="A82" s="105"/>
      <c r="B82" s="99"/>
      <c r="C82" s="133"/>
      <c r="D82" s="133"/>
      <c r="E82" s="134"/>
      <c r="F82" s="134"/>
      <c r="G82" s="134"/>
      <c r="H82" s="134"/>
      <c r="I82" s="134"/>
      <c r="J82" s="16"/>
    </row>
    <row r="83" spans="1:10" x14ac:dyDescent="0.35">
      <c r="A83" s="89"/>
      <c r="B83" s="91"/>
      <c r="C83" s="130"/>
      <c r="D83" s="130"/>
      <c r="E83" s="131"/>
      <c r="F83" s="131"/>
      <c r="G83" s="131"/>
      <c r="H83" s="131"/>
      <c r="I83" s="131"/>
      <c r="J83" s="90"/>
    </row>
    <row r="84" spans="1:10" x14ac:dyDescent="0.35">
      <c r="A84" s="105"/>
      <c r="B84" s="116"/>
      <c r="C84" s="126"/>
      <c r="D84" s="126"/>
      <c r="E84" s="127"/>
      <c r="F84" s="127"/>
      <c r="G84" s="127"/>
      <c r="H84" s="127"/>
      <c r="I84" s="127"/>
      <c r="J84" s="16"/>
    </row>
    <row r="85" spans="1:10" x14ac:dyDescent="0.35">
      <c r="A85" s="105"/>
      <c r="B85" s="116"/>
      <c r="C85" s="128"/>
      <c r="D85" s="128"/>
      <c r="E85" s="129"/>
      <c r="F85" s="129"/>
      <c r="G85" s="129"/>
      <c r="H85" s="129"/>
      <c r="I85" s="129"/>
      <c r="J85" s="16"/>
    </row>
    <row r="86" spans="1:10" x14ac:dyDescent="0.35">
      <c r="A86" s="105"/>
      <c r="B86" s="116"/>
      <c r="C86" s="126"/>
      <c r="D86" s="126"/>
      <c r="E86" s="127"/>
      <c r="F86" s="127"/>
      <c r="G86" s="127"/>
      <c r="H86" s="127"/>
      <c r="I86" s="127"/>
      <c r="J86" s="16"/>
    </row>
    <row r="87" spans="1:10" x14ac:dyDescent="0.35">
      <c r="A87" s="121"/>
      <c r="B87" s="122"/>
      <c r="C87" s="126"/>
      <c r="D87" s="126"/>
      <c r="E87" s="127"/>
      <c r="F87" s="127"/>
      <c r="G87" s="127"/>
      <c r="H87" s="127"/>
      <c r="I87" s="127"/>
      <c r="J87" s="16"/>
    </row>
    <row r="88" spans="1:10" x14ac:dyDescent="0.35">
      <c r="A88" s="105"/>
      <c r="B88" s="116"/>
      <c r="C88" s="126"/>
      <c r="D88" s="126"/>
      <c r="E88" s="127"/>
      <c r="F88" s="127"/>
      <c r="G88" s="127"/>
      <c r="H88" s="127"/>
      <c r="I88" s="127"/>
      <c r="J88" s="16"/>
    </row>
    <row r="89" spans="1:10" x14ac:dyDescent="0.35">
      <c r="A89" s="105"/>
      <c r="B89" s="91"/>
      <c r="C89" s="126"/>
      <c r="D89" s="126"/>
      <c r="E89" s="127"/>
      <c r="F89" s="127"/>
      <c r="G89" s="127"/>
      <c r="H89" s="127"/>
      <c r="I89" s="127"/>
      <c r="J89" s="16"/>
    </row>
    <row r="90" spans="1:10" x14ac:dyDescent="0.35">
      <c r="A90" s="105"/>
      <c r="B90" s="116"/>
      <c r="C90" s="126"/>
      <c r="D90" s="126"/>
      <c r="E90" s="141"/>
      <c r="F90" s="141"/>
      <c r="G90" s="141"/>
      <c r="H90" s="141"/>
      <c r="I90" s="141"/>
      <c r="J90" s="16"/>
    </row>
    <row r="91" spans="1:10" x14ac:dyDescent="0.35">
      <c r="A91" s="105"/>
      <c r="B91" s="116"/>
      <c r="C91" s="126"/>
      <c r="D91" s="126"/>
      <c r="E91" s="141"/>
      <c r="F91" s="141"/>
      <c r="G91" s="141"/>
      <c r="H91" s="141"/>
      <c r="I91" s="141"/>
      <c r="J91" s="16"/>
    </row>
    <row r="92" spans="1:10" x14ac:dyDescent="0.35">
      <c r="A92" s="105"/>
      <c r="B92" s="116"/>
      <c r="C92" s="126"/>
      <c r="D92" s="126"/>
      <c r="E92" s="127"/>
      <c r="F92" s="127"/>
      <c r="G92" s="127"/>
      <c r="H92" s="127"/>
      <c r="I92" s="127"/>
      <c r="J92" s="16"/>
    </row>
    <row r="93" spans="1:10" x14ac:dyDescent="0.35">
      <c r="A93" s="105"/>
      <c r="B93" s="116"/>
      <c r="C93" s="126"/>
      <c r="D93" s="126"/>
      <c r="E93" s="127"/>
      <c r="F93" s="127"/>
      <c r="G93" s="127"/>
      <c r="H93" s="127"/>
      <c r="I93" s="127"/>
      <c r="J93" s="16"/>
    </row>
    <row r="94" spans="1:10" x14ac:dyDescent="0.35">
      <c r="A94" s="105"/>
      <c r="B94" s="116"/>
      <c r="C94" s="126"/>
      <c r="D94" s="126"/>
      <c r="E94" s="127"/>
      <c r="F94" s="127"/>
      <c r="G94" s="127"/>
      <c r="H94" s="127"/>
      <c r="I94" s="127"/>
      <c r="J94" s="16"/>
    </row>
    <row r="95" spans="1:10" x14ac:dyDescent="0.35">
      <c r="A95" s="105"/>
      <c r="B95" s="116"/>
      <c r="C95" s="126"/>
      <c r="D95" s="126"/>
      <c r="E95" s="127"/>
      <c r="F95" s="127"/>
      <c r="G95" s="127"/>
      <c r="H95" s="127"/>
      <c r="I95" s="127"/>
      <c r="J95" s="16"/>
    </row>
    <row r="96" spans="1:10" x14ac:dyDescent="0.35">
      <c r="A96" s="105"/>
      <c r="B96" s="91"/>
      <c r="C96" s="142"/>
      <c r="D96" s="142"/>
      <c r="E96" s="143"/>
      <c r="F96" s="143"/>
      <c r="G96" s="143"/>
      <c r="H96" s="143"/>
      <c r="I96" s="143"/>
      <c r="J96" s="16"/>
    </row>
    <row r="97" spans="1:10" x14ac:dyDescent="0.35">
      <c r="A97" s="105"/>
      <c r="B97" s="16"/>
      <c r="C97" s="126"/>
      <c r="D97" s="126"/>
      <c r="E97" s="127"/>
      <c r="F97" s="127"/>
      <c r="G97" s="127"/>
      <c r="H97" s="127"/>
      <c r="I97" s="127"/>
      <c r="J97" s="16"/>
    </row>
    <row r="98" spans="1:10" ht="15" thickBot="1" x14ac:dyDescent="0.4">
      <c r="A98" s="109"/>
      <c r="B98" s="110"/>
      <c r="C98" s="144"/>
      <c r="D98" s="144"/>
      <c r="E98" s="110"/>
      <c r="F98" s="110"/>
      <c r="G98" s="110"/>
      <c r="H98" s="110"/>
      <c r="I98" s="110"/>
      <c r="J98" s="16"/>
    </row>
    <row r="99" spans="1:10" ht="15" thickTop="1" x14ac:dyDescent="0.35"/>
  </sheetData>
  <conditionalFormatting sqref="A70:A98 C70:I98 B76:B96 A64:I65 A67 C67:I67 B67:B71">
    <cfRule type="expression" dxfId="29" priority="2">
      <formula>"="</formula>
    </cfRule>
  </conditionalFormatting>
  <conditionalFormatting sqref="A74:A75 C75:I75 B81:B85 B87 B89 B96">
    <cfRule type="expression" dxfId="28" priority="1">
      <formula>"="</formula>
    </cfRule>
  </conditionalFormatting>
  <conditionalFormatting sqref="B35:B59 C38:L38 F45:L48 C58:L58 C59:F59 B9:B13 B14:L14 B15:B16 B18:B22 B23:L23 B25:B29 A32:A33 F36:L37 A60 C60:L60">
    <cfRule type="expression" dxfId="27" priority="8">
      <formula>"="</formula>
    </cfRule>
  </conditionalFormatting>
  <conditionalFormatting sqref="B58:L58">
    <cfRule type="expression" dxfId="26" priority="6">
      <formula>"="</formula>
    </cfRule>
  </conditionalFormatting>
  <conditionalFormatting sqref="C38:L38 B38:B51 F45:L48 C58:D59">
    <cfRule type="expression" dxfId="25" priority="7">
      <formula>"="</formula>
    </cfRule>
  </conditionalFormatting>
  <conditionalFormatting sqref="D4">
    <cfRule type="expression" dxfId="24" priority="5">
      <formula>"="</formula>
    </cfRule>
  </conditionalFormatting>
  <conditionalFormatting sqref="G59:L59 C32:L33 C35:L35">
    <cfRule type="expression" dxfId="23" priority="4">
      <formula>"="</formula>
    </cfRule>
  </conditionalFormatting>
  <conditionalFormatting sqref="G59:L59">
    <cfRule type="expression" dxfId="22" priority="3">
      <formula>"="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D896-9045-4C9C-89C6-A9BD5641AD71}">
  <dimension ref="A1:L43"/>
  <sheetViews>
    <sheetView zoomScale="89" zoomScaleNormal="89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41" sqref="C41"/>
    </sheetView>
  </sheetViews>
  <sheetFormatPr defaultColWidth="9.08984375" defaultRowHeight="14.5" x14ac:dyDescent="0.35"/>
  <cols>
    <col min="1" max="1" width="43.6328125" style="88" customWidth="1"/>
    <col min="2" max="2" width="0.1796875" style="88" customWidth="1"/>
    <col min="3" max="3" width="11.453125" style="153" bestFit="1" customWidth="1"/>
    <col min="4" max="4" width="11.36328125" style="153" bestFit="1" customWidth="1"/>
    <col min="5" max="5" width="12.1796875" style="153" bestFit="1" customWidth="1"/>
    <col min="6" max="6" width="10.453125" style="153" customWidth="1"/>
    <col min="7" max="7" width="10.08984375" style="153" customWidth="1"/>
    <col min="8" max="8" width="10.453125" style="153" customWidth="1"/>
    <col min="9" max="9" width="10.90625" style="153" customWidth="1"/>
    <col min="10" max="10" width="11.36328125" style="153" customWidth="1"/>
    <col min="11" max="11" width="10" style="88" customWidth="1"/>
    <col min="12" max="12" width="10.90625" style="88" bestFit="1" customWidth="1"/>
    <col min="13" max="16384" width="9.08984375" style="88"/>
  </cols>
  <sheetData>
    <row r="1" spans="1:12" s="17" customFormat="1" x14ac:dyDescent="0.35">
      <c r="A1" s="82"/>
      <c r="B1" s="83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2" s="20" customFormat="1" x14ac:dyDescent="0.35">
      <c r="A2" s="85" t="s">
        <v>80</v>
      </c>
      <c r="B2" s="86"/>
      <c r="C2" s="87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x14ac:dyDescent="0.35">
      <c r="A3" s="1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x14ac:dyDescent="0.35">
      <c r="A4" s="21" t="s">
        <v>219</v>
      </c>
      <c r="B4" s="18"/>
      <c r="C4" s="19"/>
      <c r="D4" s="22"/>
      <c r="E4" s="19"/>
      <c r="F4" s="19"/>
      <c r="G4" s="19"/>
      <c r="H4" s="19"/>
      <c r="I4" s="19"/>
      <c r="J4" s="19"/>
      <c r="K4" s="19"/>
      <c r="L4" s="19"/>
    </row>
    <row r="5" spans="1:12" s="20" customFormat="1" x14ac:dyDescent="0.35">
      <c r="A5" s="18" t="s">
        <v>82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0" customFormat="1" x14ac:dyDescent="0.35">
      <c r="A6" s="18" t="s">
        <v>83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s="17" customFormat="1" x14ac:dyDescent="0.35">
      <c r="A7" s="78" t="s">
        <v>84</v>
      </c>
      <c r="B7" s="79"/>
      <c r="C7" s="80">
        <v>2019</v>
      </c>
      <c r="D7" s="80">
        <f>C7+1</f>
        <v>2020</v>
      </c>
      <c r="E7" s="80">
        <f t="shared" ref="E7:G7" si="0">D7+1</f>
        <v>2021</v>
      </c>
      <c r="F7" s="80">
        <f t="shared" si="0"/>
        <v>2022</v>
      </c>
      <c r="G7" s="80">
        <f t="shared" si="0"/>
        <v>2023</v>
      </c>
      <c r="H7" s="81">
        <v>2024</v>
      </c>
      <c r="I7" s="81">
        <f>H7+1</f>
        <v>2025</v>
      </c>
      <c r="J7" s="81">
        <f t="shared" ref="J7:L7" si="1">I7+1</f>
        <v>2026</v>
      </c>
      <c r="K7" s="81">
        <f t="shared" si="1"/>
        <v>2027</v>
      </c>
      <c r="L7" s="81">
        <f t="shared" si="1"/>
        <v>2028</v>
      </c>
    </row>
    <row r="8" spans="1:12" x14ac:dyDescent="0.35">
      <c r="A8"/>
      <c r="B8"/>
      <c r="C8" s="146"/>
      <c r="D8" s="146"/>
      <c r="E8" s="146"/>
      <c r="F8" s="146"/>
      <c r="G8" s="146"/>
      <c r="H8" s="146"/>
      <c r="I8" s="146"/>
      <c r="J8" s="146"/>
      <c r="K8" s="146"/>
      <c r="L8" s="146"/>
    </row>
    <row r="9" spans="1:12" x14ac:dyDescent="0.35">
      <c r="A9" s="168" t="s">
        <v>198</v>
      </c>
      <c r="B9"/>
      <c r="C9" s="169">
        <f>'Income Statement'!C14</f>
        <v>104720.68</v>
      </c>
      <c r="D9" s="169">
        <f>'Income Statement'!D14</f>
        <v>75381.929999999993</v>
      </c>
      <c r="E9" s="169">
        <f>'Income Statement'!E14</f>
        <v>74277.78</v>
      </c>
      <c r="F9" s="169">
        <f>'Income Statement'!F14</f>
        <v>90170.57</v>
      </c>
      <c r="G9" s="169">
        <f>'Income Statement'!G14</f>
        <v>121268.55</v>
      </c>
      <c r="H9" s="169">
        <f>'Income Statement'!H14</f>
        <v>130361.80518885751</v>
      </c>
      <c r="I9" s="169">
        <f>'Income Statement'!I14</f>
        <v>140152.27390281326</v>
      </c>
      <c r="J9" s="169">
        <f>'Income Statement'!J14</f>
        <v>150694.69095742426</v>
      </c>
      <c r="K9" s="169">
        <f>'Income Statement'!K14</f>
        <v>162048.19559313048</v>
      </c>
      <c r="L9" s="169">
        <f>'Income Statement'!L14</f>
        <v>174276.69497343351</v>
      </c>
    </row>
    <row r="10" spans="1:12" x14ac:dyDescent="0.35">
      <c r="A10" s="168" t="s">
        <v>199</v>
      </c>
      <c r="B10"/>
      <c r="C10" s="169">
        <f>'Income Statement'!C21</f>
        <v>-60351.619999999995</v>
      </c>
      <c r="D10" s="169">
        <f>'Income Statement'!D21</f>
        <v>-38421.920000000006</v>
      </c>
      <c r="E10" s="169">
        <f>'Income Statement'!E21</f>
        <v>-38406.789999999994</v>
      </c>
      <c r="F10" s="169">
        <f>'Income Statement'!F21</f>
        <v>-51803.19</v>
      </c>
      <c r="G10" s="169">
        <f>'Income Statement'!G21</f>
        <v>-73987.56</v>
      </c>
      <c r="H10" s="169">
        <f>'Income Statement'!H21</f>
        <v>-71280.446426427487</v>
      </c>
      <c r="I10" s="169">
        <f>'Income Statement'!I21</f>
        <v>-76633.770428375152</v>
      </c>
      <c r="J10" s="169">
        <f>'Income Statement'!J21</f>
        <v>-82398.251773026597</v>
      </c>
      <c r="K10" s="169">
        <f>'Income Statement'!K21</f>
        <v>-88606.227167086472</v>
      </c>
      <c r="L10" s="169">
        <f>'Income Statement'!L21</f>
        <v>-95292.640366800231</v>
      </c>
    </row>
    <row r="11" spans="1:12" x14ac:dyDescent="0.35">
      <c r="A11" s="168"/>
      <c r="B11"/>
      <c r="C11" s="170"/>
      <c r="D11" s="170"/>
      <c r="E11" s="170"/>
      <c r="F11" s="170"/>
      <c r="G11" s="170"/>
      <c r="H11" s="170"/>
      <c r="I11" s="170"/>
      <c r="J11" s="170"/>
      <c r="K11" s="170"/>
      <c r="L11" s="170"/>
    </row>
    <row r="12" spans="1:12" x14ac:dyDescent="0.35">
      <c r="A12" s="171" t="s">
        <v>200</v>
      </c>
      <c r="B12"/>
      <c r="C12" s="170"/>
      <c r="D12" s="170"/>
      <c r="E12" s="170"/>
      <c r="F12" s="170"/>
      <c r="G12" s="170"/>
      <c r="H12" s="170"/>
      <c r="I12" s="170"/>
      <c r="J12" s="170"/>
      <c r="K12" s="170"/>
      <c r="L12" s="170"/>
    </row>
    <row r="13" spans="1:12" x14ac:dyDescent="0.35">
      <c r="A13" s="116" t="s">
        <v>170</v>
      </c>
      <c r="B13"/>
      <c r="C13" s="169">
        <f>'Bal Sheet'!C52</f>
        <v>6107.22</v>
      </c>
      <c r="D13" s="169">
        <f>'Bal Sheet'!D52</f>
        <v>6295.56</v>
      </c>
      <c r="E13" s="169">
        <f>'Bal Sheet'!E52</f>
        <v>10031.82</v>
      </c>
      <c r="F13" s="169">
        <f>'Bal Sheet'!F52</f>
        <v>10849.88</v>
      </c>
      <c r="G13" s="169">
        <f>'Bal Sheet'!G52</f>
        <v>14265.92</v>
      </c>
      <c r="H13" s="173">
        <f>H9*H30</f>
        <v>15335.642125512561</v>
      </c>
      <c r="I13" s="173">
        <f t="shared" ref="I13:L13" si="2">I9*I30</f>
        <v>16487.3838049158</v>
      </c>
      <c r="J13" s="173">
        <f t="shared" si="2"/>
        <v>17727.583991260206</v>
      </c>
      <c r="K13" s="173">
        <f t="shared" si="2"/>
        <v>19063.199770063649</v>
      </c>
      <c r="L13" s="173">
        <f t="shared" si="2"/>
        <v>20501.749120900717</v>
      </c>
    </row>
    <row r="14" spans="1:12" x14ac:dyDescent="0.35">
      <c r="A14" s="172" t="s">
        <v>11</v>
      </c>
      <c r="B14" s="16"/>
      <c r="C14" s="169">
        <f>'Bal Sheet'!C53</f>
        <v>12200.16</v>
      </c>
      <c r="D14" s="169">
        <f>'Bal Sheet'!D53</f>
        <v>11111.86</v>
      </c>
      <c r="E14" s="169">
        <f>'Bal Sheet'!E53</f>
        <v>9615.41</v>
      </c>
      <c r="F14" s="169">
        <f>'Bal Sheet'!F53</f>
        <v>11595.82</v>
      </c>
      <c r="G14" s="169">
        <f>'Bal Sheet'!G53</f>
        <v>16854.97</v>
      </c>
      <c r="H14" s="173">
        <f>H10/$C29*H31</f>
        <v>16238.267434471993</v>
      </c>
      <c r="I14" s="173">
        <f t="shared" ref="I14:L14" si="3">I10/$C29*I31</f>
        <v>17457.798332005415</v>
      </c>
      <c r="J14" s="173">
        <f t="shared" si="3"/>
        <v>18770.994227770323</v>
      </c>
      <c r="K14" s="173">
        <f t="shared" si="3"/>
        <v>20185.221687462432</v>
      </c>
      <c r="L14" s="173">
        <f t="shared" si="3"/>
        <v>21708.441183939667</v>
      </c>
    </row>
    <row r="15" spans="1:12" x14ac:dyDescent="0.35">
      <c r="A15" s="172" t="s">
        <v>171</v>
      </c>
      <c r="B15" s="16"/>
      <c r="C15" s="169">
        <f>'Bal Sheet'!C54</f>
        <v>9290.51</v>
      </c>
      <c r="D15" s="169">
        <f>'Bal Sheet'!D54</f>
        <v>6928.28</v>
      </c>
      <c r="E15" s="169">
        <f>'Bal Sheet'!E54</f>
        <v>6007.76</v>
      </c>
      <c r="F15" s="169">
        <f>'Bal Sheet'!F54</f>
        <v>6373.95</v>
      </c>
      <c r="G15" s="169">
        <f>'Bal Sheet'!G54</f>
        <v>7028.02</v>
      </c>
      <c r="H15" s="173">
        <f>H9/$C29*H32</f>
        <v>7555.0121948633378</v>
      </c>
      <c r="I15" s="173">
        <f t="shared" ref="I15:L15" si="4">I9/$C29*I32</f>
        <v>8122.4108314517625</v>
      </c>
      <c r="J15" s="173">
        <f t="shared" si="4"/>
        <v>8733.3880214004112</v>
      </c>
      <c r="K15" s="173">
        <f t="shared" si="4"/>
        <v>9391.3711311995812</v>
      </c>
      <c r="L15" s="173">
        <f t="shared" si="4"/>
        <v>10100.063848435479</v>
      </c>
    </row>
    <row r="16" spans="1:12" s="97" customFormat="1" x14ac:dyDescent="0.35">
      <c r="A16" s="172" t="s">
        <v>173</v>
      </c>
      <c r="B16" s="90"/>
      <c r="C16" s="169">
        <f>'Bal Sheet'!C56</f>
        <v>28622.06</v>
      </c>
      <c r="D16" s="169">
        <f>'Bal Sheet'!D56</f>
        <v>27963.68</v>
      </c>
      <c r="E16" s="169">
        <f>'Bal Sheet'!E56</f>
        <v>29119.55</v>
      </c>
      <c r="F16" s="169">
        <f>'Bal Sheet'!F56</f>
        <v>29242.26</v>
      </c>
      <c r="G16" s="169">
        <f>'Bal Sheet'!G56</f>
        <v>34684.81</v>
      </c>
      <c r="H16" s="173">
        <f>H9*H33</f>
        <v>42931.527745130123</v>
      </c>
      <c r="I16" s="173">
        <f t="shared" ref="I16:L16" si="5">I9*I33</f>
        <v>46155.783336114728</v>
      </c>
      <c r="J16" s="173">
        <f t="shared" si="5"/>
        <v>49627.675042623945</v>
      </c>
      <c r="K16" s="173">
        <f t="shared" si="5"/>
        <v>53366.678952290167</v>
      </c>
      <c r="L16" s="173">
        <f t="shared" si="5"/>
        <v>57393.841353625634</v>
      </c>
    </row>
    <row r="17" spans="1:12" x14ac:dyDescent="0.35">
      <c r="A17" s="116" t="s">
        <v>174</v>
      </c>
      <c r="B17"/>
      <c r="C17" s="169">
        <f>'Bal Sheet'!C57</f>
        <v>4451.18</v>
      </c>
      <c r="D17" s="169">
        <f>'Bal Sheet'!D57</f>
        <v>3835.1499999999996</v>
      </c>
      <c r="E17" s="169">
        <f>'Bal Sheet'!E57</f>
        <v>4511.38</v>
      </c>
      <c r="F17" s="169">
        <f>'Bal Sheet'!F57</f>
        <v>5968.4800000000005</v>
      </c>
      <c r="G17" s="169">
        <f>'Bal Sheet'!G57</f>
        <v>7218.29</v>
      </c>
      <c r="H17" s="173">
        <f>H34*H9</f>
        <v>7759.5494856389259</v>
      </c>
      <c r="I17" s="173">
        <f t="shared" ref="I17:L17" si="6">I34*I9</f>
        <v>8342.3093389830919</v>
      </c>
      <c r="J17" s="173">
        <f t="shared" si="6"/>
        <v>8969.827550433034</v>
      </c>
      <c r="K17" s="173">
        <f t="shared" si="6"/>
        <v>9645.6242757742039</v>
      </c>
      <c r="L17" s="173">
        <f t="shared" si="6"/>
        <v>10373.503472745286</v>
      </c>
    </row>
    <row r="18" spans="1:12" x14ac:dyDescent="0.35">
      <c r="A18" s="174" t="s">
        <v>201</v>
      </c>
      <c r="B18"/>
      <c r="C18" s="28">
        <f>SUM(C13:C17)</f>
        <v>60671.13</v>
      </c>
      <c r="D18" s="28">
        <f t="shared" ref="D18:G18" si="7">SUM(D13:D17)</f>
        <v>56134.530000000006</v>
      </c>
      <c r="E18" s="28">
        <f t="shared" si="7"/>
        <v>59285.919999999991</v>
      </c>
      <c r="F18" s="28">
        <f t="shared" si="7"/>
        <v>64030.39</v>
      </c>
      <c r="G18" s="28">
        <f t="shared" si="7"/>
        <v>80052.009999999995</v>
      </c>
      <c r="H18" s="28">
        <f t="shared" ref="H18" si="8">SUM(H13:H17)</f>
        <v>89819.998985616941</v>
      </c>
      <c r="I18" s="28">
        <f t="shared" ref="I18" si="9">SUM(I13:I17)</f>
        <v>96565.685643470788</v>
      </c>
      <c r="J18" s="28">
        <f t="shared" ref="J18" si="10">SUM(J13:J17)</f>
        <v>103829.46883348793</v>
      </c>
      <c r="K18" s="28">
        <f t="shared" ref="K18" si="11">SUM(K13:K17)</f>
        <v>111652.09581679004</v>
      </c>
      <c r="L18" s="28">
        <f t="shared" ref="L18" si="12">SUM(L13:L17)</f>
        <v>120077.59897964679</v>
      </c>
    </row>
    <row r="19" spans="1:12" x14ac:dyDescent="0.35">
      <c r="A19" s="174"/>
      <c r="B19"/>
      <c r="C19" s="175"/>
      <c r="D19" s="175"/>
      <c r="E19" s="175"/>
      <c r="F19" s="175"/>
      <c r="G19" s="175"/>
      <c r="H19" s="176"/>
      <c r="I19" s="176"/>
      <c r="J19" s="176"/>
      <c r="K19" s="176"/>
      <c r="L19" s="176"/>
    </row>
    <row r="20" spans="1:12" x14ac:dyDescent="0.35">
      <c r="A20" s="172" t="s">
        <v>202</v>
      </c>
      <c r="B20"/>
      <c r="C20" s="169">
        <f>'Bal Sheet'!C27</f>
        <v>20992.17</v>
      </c>
      <c r="D20" s="169">
        <f>'Bal Sheet'!D27</f>
        <v>14985.35</v>
      </c>
      <c r="E20" s="169">
        <f>'Bal Sheet'!E27</f>
        <v>15505.789999999999</v>
      </c>
      <c r="F20" s="169">
        <f>'Bal Sheet'!F27</f>
        <v>19036.55</v>
      </c>
      <c r="G20" s="169">
        <f>'Bal Sheet'!G27</f>
        <v>23835.66</v>
      </c>
      <c r="H20" s="148">
        <f>H36*H10/$C29</f>
        <v>22963.542596465413</v>
      </c>
      <c r="I20" s="148">
        <f t="shared" ref="I20:L20" si="13">I36*I10/$C29</f>
        <v>24688.156988131581</v>
      </c>
      <c r="J20" s="148">
        <f t="shared" si="13"/>
        <v>26545.228871667874</v>
      </c>
      <c r="K20" s="148">
        <f t="shared" si="13"/>
        <v>28545.175765188586</v>
      </c>
      <c r="L20" s="148">
        <f t="shared" si="13"/>
        <v>30699.2550678158</v>
      </c>
    </row>
    <row r="21" spans="1:12" x14ac:dyDescent="0.35">
      <c r="A21" s="116" t="s">
        <v>203</v>
      </c>
      <c r="B21"/>
      <c r="C21" s="169">
        <f>'Bal Sheet'!C28</f>
        <v>25593.699999999997</v>
      </c>
      <c r="D21" s="169">
        <f>'Bal Sheet'!D28</f>
        <v>27055.100000000002</v>
      </c>
      <c r="E21" s="169">
        <f>'Bal Sheet'!E28</f>
        <v>30219.29</v>
      </c>
      <c r="F21" s="169">
        <f>'Bal Sheet'!F28</f>
        <v>9735.9900000000016</v>
      </c>
      <c r="G21" s="169">
        <f>'Bal Sheet'!G28</f>
        <v>11217.31</v>
      </c>
      <c r="H21" s="148">
        <f>H37*H9</f>
        <v>12058.43378982451</v>
      </c>
      <c r="I21" s="148">
        <f t="shared" ref="I21:L21" si="14">I37*I9</f>
        <v>12964.04965320989</v>
      </c>
      <c r="J21" s="148">
        <f t="shared" si="14"/>
        <v>13939.220546659662</v>
      </c>
      <c r="K21" s="148">
        <f t="shared" si="14"/>
        <v>14989.416834857664</v>
      </c>
      <c r="L21" s="148">
        <f t="shared" si="14"/>
        <v>16120.549914157011</v>
      </c>
    </row>
    <row r="22" spans="1:12" x14ac:dyDescent="0.35">
      <c r="A22" s="116" t="s">
        <v>204</v>
      </c>
      <c r="B22"/>
      <c r="C22" s="169">
        <f>'Bal Sheet'!C29</f>
        <v>1616.45</v>
      </c>
      <c r="D22" s="169">
        <f>'Bal Sheet'!D29</f>
        <v>1751.54</v>
      </c>
      <c r="E22" s="169">
        <f>'Bal Sheet'!E29</f>
        <v>1074.3399999999999</v>
      </c>
      <c r="F22" s="169">
        <f>'Bal Sheet'!F29</f>
        <v>968.19</v>
      </c>
      <c r="G22" s="169">
        <f>'Bal Sheet'!G29</f>
        <v>1189.48</v>
      </c>
      <c r="H22" s="148">
        <f>H38*H9</f>
        <v>1278.6725002982409</v>
      </c>
      <c r="I22" s="148">
        <f t="shared" ref="I22:L22" si="15">I38*I9</f>
        <v>1374.7037196529384</v>
      </c>
      <c r="J22" s="148">
        <f t="shared" si="15"/>
        <v>1478.110532368343</v>
      </c>
      <c r="K22" s="148">
        <f t="shared" si="15"/>
        <v>1589.473014183124</v>
      </c>
      <c r="L22" s="148">
        <f t="shared" si="15"/>
        <v>1709.4180076944904</v>
      </c>
    </row>
    <row r="23" spans="1:12" x14ac:dyDescent="0.35">
      <c r="A23" s="174" t="s">
        <v>155</v>
      </c>
      <c r="B23"/>
      <c r="C23" s="28">
        <f>SUM(C20:C22)</f>
        <v>48202.319999999992</v>
      </c>
      <c r="D23" s="28">
        <f t="shared" ref="D23:G23" si="16">SUM(D20:D22)</f>
        <v>43791.990000000005</v>
      </c>
      <c r="E23" s="28">
        <f t="shared" si="16"/>
        <v>46799.42</v>
      </c>
      <c r="F23" s="28">
        <f t="shared" si="16"/>
        <v>29740.73</v>
      </c>
      <c r="G23" s="28">
        <f t="shared" si="16"/>
        <v>36242.450000000004</v>
      </c>
      <c r="H23" s="28">
        <f t="shared" ref="H23" si="17">SUM(H20:H22)</f>
        <v>36300.648886588169</v>
      </c>
      <c r="I23" s="28">
        <f t="shared" ref="I23" si="18">SUM(I20:I22)</f>
        <v>39026.910360994414</v>
      </c>
      <c r="J23" s="28">
        <f t="shared" ref="J23" si="19">SUM(J20:J22)</f>
        <v>41962.559950695882</v>
      </c>
      <c r="K23" s="28">
        <f t="shared" ref="K23" si="20">SUM(K20:K22)</f>
        <v>45124.065614229374</v>
      </c>
      <c r="L23" s="28">
        <f t="shared" ref="L23" si="21">SUM(L20:L22)</f>
        <v>48529.222989667302</v>
      </c>
    </row>
    <row r="24" spans="1:12" x14ac:dyDescent="0.35">
      <c r="A24" s="168"/>
      <c r="B24"/>
      <c r="C24" s="175"/>
      <c r="D24" s="175"/>
      <c r="E24" s="175"/>
      <c r="F24" s="175"/>
      <c r="G24" s="175"/>
      <c r="H24" s="175"/>
      <c r="I24" s="175"/>
      <c r="J24" s="175"/>
      <c r="K24" s="175"/>
      <c r="L24" s="175"/>
    </row>
    <row r="25" spans="1:12" x14ac:dyDescent="0.35">
      <c r="A25" s="177" t="s">
        <v>205</v>
      </c>
      <c r="B25" s="15"/>
      <c r="C25" s="178">
        <f>C18-C23</f>
        <v>12468.810000000005</v>
      </c>
      <c r="D25" s="178">
        <f t="shared" ref="D25:G25" si="22">D18-D23</f>
        <v>12342.54</v>
      </c>
      <c r="E25" s="178">
        <f t="shared" si="22"/>
        <v>12486.499999999993</v>
      </c>
      <c r="F25" s="178">
        <f t="shared" si="22"/>
        <v>34289.660000000003</v>
      </c>
      <c r="G25" s="178">
        <f t="shared" si="22"/>
        <v>43809.55999999999</v>
      </c>
      <c r="H25" s="178">
        <f t="shared" ref="H25:L25" si="23">H18-H23</f>
        <v>53519.350099028772</v>
      </c>
      <c r="I25" s="178">
        <f t="shared" si="23"/>
        <v>57538.775282476374</v>
      </c>
      <c r="J25" s="178">
        <f t="shared" si="23"/>
        <v>61866.90888279205</v>
      </c>
      <c r="K25" s="178">
        <f t="shared" si="23"/>
        <v>66528.030202560665</v>
      </c>
      <c r="L25" s="178">
        <f t="shared" si="23"/>
        <v>71548.375989979482</v>
      </c>
    </row>
    <row r="26" spans="1:12" x14ac:dyDescent="0.35">
      <c r="A26" s="168"/>
      <c r="B26"/>
      <c r="C26" s="175"/>
      <c r="D26" s="175"/>
      <c r="E26" s="175"/>
      <c r="F26" s="175"/>
      <c r="G26" s="175"/>
      <c r="H26" s="175"/>
      <c r="I26" s="175"/>
      <c r="J26" s="175"/>
      <c r="K26" s="175"/>
      <c r="L26" s="175"/>
    </row>
    <row r="27" spans="1:12" x14ac:dyDescent="0.35">
      <c r="A27" s="314" t="s">
        <v>206</v>
      </c>
      <c r="B27" s="294"/>
      <c r="C27" s="313"/>
      <c r="D27" s="313">
        <f>C25-D25</f>
        <v>126.27000000000407</v>
      </c>
      <c r="E27" s="313">
        <f t="shared" ref="E27:L27" si="24">D25-E25</f>
        <v>-143.95999999999185</v>
      </c>
      <c r="F27" s="313">
        <f t="shared" si="24"/>
        <v>-21803.160000000011</v>
      </c>
      <c r="G27" s="313">
        <f t="shared" si="24"/>
        <v>-9519.8999999999869</v>
      </c>
      <c r="H27" s="313">
        <f t="shared" si="24"/>
        <v>-9709.7900990287817</v>
      </c>
      <c r="I27" s="313">
        <f t="shared" si="24"/>
        <v>-4019.4251834476017</v>
      </c>
      <c r="J27" s="313">
        <f t="shared" si="24"/>
        <v>-4328.1336003156757</v>
      </c>
      <c r="K27" s="313">
        <f t="shared" si="24"/>
        <v>-4661.1213197686156</v>
      </c>
      <c r="L27" s="313">
        <f t="shared" si="24"/>
        <v>-5020.3457874188171</v>
      </c>
    </row>
    <row r="28" spans="1:12" x14ac:dyDescent="0.35">
      <c r="A28" s="168"/>
      <c r="B28"/>
      <c r="C28" s="146"/>
      <c r="D28" s="146"/>
      <c r="E28" s="146"/>
      <c r="F28" s="146"/>
      <c r="G28" s="146"/>
      <c r="H28" s="146"/>
      <c r="I28" s="146"/>
      <c r="J28" s="146"/>
      <c r="K28" s="146"/>
      <c r="L28" s="146"/>
    </row>
    <row r="29" spans="1:12" x14ac:dyDescent="0.35">
      <c r="A29" s="179" t="s">
        <v>207</v>
      </c>
      <c r="B29"/>
      <c r="C29" s="180">
        <v>365</v>
      </c>
      <c r="D29" s="146"/>
      <c r="E29" s="146"/>
      <c r="F29" s="146"/>
      <c r="G29" s="146"/>
      <c r="H29" s="146"/>
      <c r="I29" s="146"/>
      <c r="J29" s="146"/>
      <c r="K29" s="146"/>
      <c r="L29" s="146"/>
    </row>
    <row r="30" spans="1:12" x14ac:dyDescent="0.35">
      <c r="A30" s="116" t="s">
        <v>208</v>
      </c>
      <c r="B30"/>
      <c r="C30" s="181">
        <f>C13/C9</f>
        <v>5.8319140020863122E-2</v>
      </c>
      <c r="D30" s="181">
        <f t="shared" ref="D30:G30" si="25">D13/D9</f>
        <v>8.351550563908354E-2</v>
      </c>
      <c r="E30" s="181">
        <f t="shared" si="25"/>
        <v>0.13505815601920251</v>
      </c>
      <c r="F30" s="181">
        <f t="shared" si="25"/>
        <v>0.12032617737694237</v>
      </c>
      <c r="G30" s="181">
        <f t="shared" si="25"/>
        <v>0.11763907459930872</v>
      </c>
      <c r="H30" s="477">
        <f>G30</f>
        <v>0.11763907459930872</v>
      </c>
      <c r="I30" s="477">
        <f t="shared" ref="I30:L30" si="26">H30</f>
        <v>0.11763907459930872</v>
      </c>
      <c r="J30" s="477">
        <f t="shared" si="26"/>
        <v>0.11763907459930872</v>
      </c>
      <c r="K30" s="477">
        <f t="shared" si="26"/>
        <v>0.11763907459930872</v>
      </c>
      <c r="L30" s="477">
        <f t="shared" si="26"/>
        <v>0.11763907459930872</v>
      </c>
    </row>
    <row r="31" spans="1:12" ht="29" x14ac:dyDescent="0.35">
      <c r="A31" s="183" t="s">
        <v>209</v>
      </c>
      <c r="B31"/>
      <c r="C31" s="152">
        <f>C14/(C10/$C29)</f>
        <v>-73.785233934068387</v>
      </c>
      <c r="D31" s="152">
        <f t="shared" ref="D31:G31" si="27">D14/(D10/$C29)</f>
        <v>-105.56028694037153</v>
      </c>
      <c r="E31" s="152">
        <f t="shared" si="27"/>
        <v>-91.380317126216497</v>
      </c>
      <c r="F31" s="152">
        <f t="shared" si="27"/>
        <v>-81.702966554762341</v>
      </c>
      <c r="G31" s="152">
        <f t="shared" si="27"/>
        <v>-83.149978861311297</v>
      </c>
      <c r="H31" s="478">
        <f>G31</f>
        <v>-83.149978861311297</v>
      </c>
      <c r="I31" s="478">
        <f t="shared" ref="I31:L31" si="28">H31</f>
        <v>-83.149978861311297</v>
      </c>
      <c r="J31" s="478">
        <f t="shared" si="28"/>
        <v>-83.149978861311297</v>
      </c>
      <c r="K31" s="478">
        <f t="shared" si="28"/>
        <v>-83.149978861311297</v>
      </c>
      <c r="L31" s="478">
        <f t="shared" si="28"/>
        <v>-83.149978861311297</v>
      </c>
    </row>
    <row r="32" spans="1:12" ht="29" x14ac:dyDescent="0.35">
      <c r="A32" s="183" t="s">
        <v>210</v>
      </c>
      <c r="B32"/>
      <c r="C32" s="152">
        <f>C15/(C9/$C29)</f>
        <v>32.381723934565741</v>
      </c>
      <c r="D32" s="152">
        <f t="shared" ref="D32:G32" si="29">D15/(D9/$C29)</f>
        <v>33.5467956312607</v>
      </c>
      <c r="E32" s="152">
        <f t="shared" si="29"/>
        <v>29.522050874433784</v>
      </c>
      <c r="F32" s="152">
        <f t="shared" si="29"/>
        <v>25.801009686419857</v>
      </c>
      <c r="G32" s="152">
        <f t="shared" si="29"/>
        <v>21.153277581038118</v>
      </c>
      <c r="H32" s="478">
        <f>G32</f>
        <v>21.153277581038118</v>
      </c>
      <c r="I32" s="478">
        <f t="shared" ref="I32:L32" si="30">H32</f>
        <v>21.153277581038118</v>
      </c>
      <c r="J32" s="478">
        <f t="shared" si="30"/>
        <v>21.153277581038118</v>
      </c>
      <c r="K32" s="478">
        <f t="shared" si="30"/>
        <v>21.153277581038118</v>
      </c>
      <c r="L32" s="478">
        <f t="shared" si="30"/>
        <v>21.153277581038118</v>
      </c>
    </row>
    <row r="33" spans="1:12" x14ac:dyDescent="0.35">
      <c r="A33" s="183" t="s">
        <v>211</v>
      </c>
      <c r="B33"/>
      <c r="C33" s="181">
        <f>C16/C9</f>
        <v>0.27331812589452248</v>
      </c>
      <c r="D33" s="181">
        <f t="shared" ref="D33:G33" si="31">D16/D9</f>
        <v>0.37095999001352187</v>
      </c>
      <c r="E33" s="181">
        <f t="shared" si="31"/>
        <v>0.39203581474836752</v>
      </c>
      <c r="F33" s="181">
        <f t="shared" si="31"/>
        <v>0.32429938060722024</v>
      </c>
      <c r="G33" s="181">
        <f t="shared" si="31"/>
        <v>0.28601653107916269</v>
      </c>
      <c r="H33" s="476">
        <f>AVERAGE(C33:G33)</f>
        <v>0.32932596846855899</v>
      </c>
      <c r="I33" s="182">
        <f>H33</f>
        <v>0.32932596846855899</v>
      </c>
      <c r="J33" s="182">
        <f t="shared" ref="J33:L33" si="32">I33</f>
        <v>0.32932596846855899</v>
      </c>
      <c r="K33" s="182">
        <f t="shared" si="32"/>
        <v>0.32932596846855899</v>
      </c>
      <c r="L33" s="182">
        <f t="shared" si="32"/>
        <v>0.32932596846855899</v>
      </c>
    </row>
    <row r="34" spans="1:12" x14ac:dyDescent="0.35">
      <c r="A34" s="183" t="s">
        <v>212</v>
      </c>
      <c r="B34"/>
      <c r="C34" s="181">
        <f>C17/C9</f>
        <v>4.2505262570869486E-2</v>
      </c>
      <c r="D34" s="181">
        <f t="shared" ref="D34:G34" si="33">D17/D9</f>
        <v>5.0876251112169722E-2</v>
      </c>
      <c r="E34" s="181">
        <f t="shared" si="33"/>
        <v>6.0736602520969261E-2</v>
      </c>
      <c r="F34" s="181">
        <f t="shared" si="33"/>
        <v>6.6190997794513221E-2</v>
      </c>
      <c r="G34" s="181">
        <f t="shared" si="33"/>
        <v>5.9523182226554207E-2</v>
      </c>
      <c r="H34" s="477">
        <f>G34</f>
        <v>5.9523182226554207E-2</v>
      </c>
      <c r="I34" s="477">
        <f t="shared" ref="I34:L34" si="34">H34</f>
        <v>5.9523182226554207E-2</v>
      </c>
      <c r="J34" s="477">
        <f t="shared" si="34"/>
        <v>5.9523182226554207E-2</v>
      </c>
      <c r="K34" s="477">
        <f t="shared" si="34"/>
        <v>5.9523182226554207E-2</v>
      </c>
      <c r="L34" s="477">
        <f t="shared" si="34"/>
        <v>5.9523182226554207E-2</v>
      </c>
    </row>
    <row r="35" spans="1:12" x14ac:dyDescent="0.35">
      <c r="A35" s="184"/>
      <c r="B35"/>
      <c r="C35" s="146"/>
      <c r="D35" s="146"/>
      <c r="E35" s="146"/>
      <c r="F35" s="146"/>
      <c r="G35" s="146"/>
      <c r="H35" s="146"/>
      <c r="I35" s="185"/>
      <c r="J35" s="185"/>
      <c r="K35" s="185"/>
      <c r="L35" s="185"/>
    </row>
    <row r="36" spans="1:12" ht="29" x14ac:dyDescent="0.35">
      <c r="A36" s="183" t="s">
        <v>213</v>
      </c>
      <c r="B36"/>
      <c r="C36" s="152">
        <f>C20/(C10/$C29)</f>
        <v>-126.95834925392226</v>
      </c>
      <c r="D36" s="152">
        <f t="shared" ref="D36:G36" si="35">D20/(D10/$C29)</f>
        <v>-142.35761122817391</v>
      </c>
      <c r="E36" s="152">
        <f t="shared" si="35"/>
        <v>-147.35970774959324</v>
      </c>
      <c r="F36" s="152">
        <f t="shared" si="35"/>
        <v>-134.12959221237145</v>
      </c>
      <c r="G36" s="152">
        <f t="shared" si="35"/>
        <v>-117.58754985297529</v>
      </c>
      <c r="H36" s="478">
        <f>G36</f>
        <v>-117.58754985297529</v>
      </c>
      <c r="I36" s="478">
        <f t="shared" ref="I36:L36" si="36">H36</f>
        <v>-117.58754985297529</v>
      </c>
      <c r="J36" s="478">
        <f t="shared" si="36"/>
        <v>-117.58754985297529</v>
      </c>
      <c r="K36" s="478">
        <f t="shared" si="36"/>
        <v>-117.58754985297529</v>
      </c>
      <c r="L36" s="478">
        <f t="shared" si="36"/>
        <v>-117.58754985297529</v>
      </c>
    </row>
    <row r="37" spans="1:12" x14ac:dyDescent="0.35">
      <c r="A37" s="116" t="s">
        <v>214</v>
      </c>
      <c r="B37"/>
      <c r="C37" s="181">
        <f>C21/C9</f>
        <v>0.24439967349333483</v>
      </c>
      <c r="D37" s="181">
        <f t="shared" ref="D37:G37" si="37">D21/D9</f>
        <v>0.35890696881865464</v>
      </c>
      <c r="E37" s="181">
        <f t="shared" si="37"/>
        <v>0.40684158842657925</v>
      </c>
      <c r="F37" s="181">
        <f t="shared" si="37"/>
        <v>0.10797303377365809</v>
      </c>
      <c r="G37" s="181">
        <f t="shared" si="37"/>
        <v>9.2499745399775943E-2</v>
      </c>
      <c r="H37" s="477">
        <f>G37</f>
        <v>9.2499745399775943E-2</v>
      </c>
      <c r="I37" s="477">
        <f t="shared" ref="I37:L37" si="38">H37</f>
        <v>9.2499745399775943E-2</v>
      </c>
      <c r="J37" s="477">
        <f t="shared" si="38"/>
        <v>9.2499745399775943E-2</v>
      </c>
      <c r="K37" s="477">
        <f t="shared" si="38"/>
        <v>9.2499745399775943E-2</v>
      </c>
      <c r="L37" s="477">
        <f t="shared" si="38"/>
        <v>9.2499745399775943E-2</v>
      </c>
    </row>
    <row r="38" spans="1:12" x14ac:dyDescent="0.35">
      <c r="A38" s="116" t="s">
        <v>215</v>
      </c>
      <c r="B38"/>
      <c r="C38" s="181">
        <f>C22/C9</f>
        <v>1.5435824137123634E-2</v>
      </c>
      <c r="D38" s="181">
        <f t="shared" ref="D38:G38" si="39">D22/D9</f>
        <v>2.3235541992623433E-2</v>
      </c>
      <c r="E38" s="181">
        <f t="shared" si="39"/>
        <v>1.4463814077372801E-2</v>
      </c>
      <c r="F38" s="181">
        <f t="shared" si="39"/>
        <v>1.073731706475849E-2</v>
      </c>
      <c r="G38" s="181">
        <f t="shared" si="39"/>
        <v>9.8086437085295412E-3</v>
      </c>
      <c r="H38" s="477">
        <f>G38</f>
        <v>9.8086437085295412E-3</v>
      </c>
      <c r="I38" s="477">
        <f t="shared" ref="I38:L38" si="40">H38</f>
        <v>9.8086437085295412E-3</v>
      </c>
      <c r="J38" s="477">
        <f t="shared" si="40"/>
        <v>9.8086437085295412E-3</v>
      </c>
      <c r="K38" s="477">
        <f t="shared" si="40"/>
        <v>9.8086437085295412E-3</v>
      </c>
      <c r="L38" s="477">
        <f t="shared" si="40"/>
        <v>9.8086437085295412E-3</v>
      </c>
    </row>
    <row r="39" spans="1:12" x14ac:dyDescent="0.35">
      <c r="A39" s="179"/>
      <c r="B39"/>
      <c r="C39" s="146"/>
      <c r="D39" s="146"/>
      <c r="E39" s="146"/>
      <c r="F39" s="146"/>
      <c r="G39" s="146"/>
      <c r="H39" s="146"/>
      <c r="I39" s="146"/>
      <c r="J39" s="146"/>
      <c r="K39" s="146"/>
      <c r="L39" s="146"/>
    </row>
    <row r="40" spans="1:12" x14ac:dyDescent="0.35">
      <c r="A40" s="186" t="s">
        <v>216</v>
      </c>
      <c r="B40"/>
      <c r="C40" s="150"/>
      <c r="D40" s="150"/>
      <c r="E40" s="150"/>
      <c r="F40" s="150"/>
      <c r="G40" s="150"/>
      <c r="H40" s="146"/>
      <c r="I40" s="150"/>
      <c r="J40" s="150"/>
      <c r="K40" s="150"/>
      <c r="L40" s="150"/>
    </row>
    <row r="41" spans="1:12" x14ac:dyDescent="0.35">
      <c r="A41" s="186" t="s">
        <v>217</v>
      </c>
      <c r="B41"/>
      <c r="C41" s="150"/>
      <c r="D41" s="150"/>
      <c r="E41" s="150"/>
      <c r="F41" s="150"/>
      <c r="G41" s="150"/>
      <c r="H41" s="150"/>
      <c r="I41" s="150"/>
      <c r="J41" s="150"/>
      <c r="K41" s="150"/>
      <c r="L41" s="150"/>
    </row>
    <row r="42" spans="1:12" x14ac:dyDescent="0.35">
      <c r="A42" s="168" t="s">
        <v>218</v>
      </c>
      <c r="B42"/>
      <c r="C42" s="150"/>
      <c r="D42" s="150"/>
      <c r="E42" s="150"/>
      <c r="F42" s="150"/>
      <c r="G42" s="150"/>
      <c r="H42" s="150"/>
      <c r="I42" s="150"/>
      <c r="J42" s="150"/>
      <c r="K42" s="150"/>
      <c r="L42" s="150"/>
    </row>
    <row r="43" spans="1:12" x14ac:dyDescent="0.35">
      <c r="A43" s="16"/>
      <c r="B43" s="16"/>
      <c r="C43" s="22"/>
      <c r="D43" s="22"/>
      <c r="E43" s="22"/>
      <c r="F43" s="22"/>
      <c r="G43" s="22"/>
      <c r="H43" s="22"/>
      <c r="I43" s="22"/>
      <c r="J43" s="22"/>
      <c r="K43" s="22"/>
      <c r="L43" s="22"/>
    </row>
  </sheetData>
  <conditionalFormatting sqref="A13:A17 A20:A22 A30:A34 A36:A38">
    <cfRule type="expression" dxfId="21" priority="2">
      <formula>"="</formula>
    </cfRule>
  </conditionalFormatting>
  <conditionalFormatting sqref="D4">
    <cfRule type="expression" dxfId="20" priority="1">
      <formula>"="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8BD1-D9A6-48A4-8172-CB91B330A9B1}">
  <dimension ref="A1:L33"/>
  <sheetViews>
    <sheetView topLeftCell="A7" zoomScale="106" zoomScaleNormal="106" workbookViewId="0">
      <selection activeCell="H17" sqref="H17"/>
    </sheetView>
  </sheetViews>
  <sheetFormatPr defaultColWidth="15.81640625" defaultRowHeight="14.5" x14ac:dyDescent="0.35"/>
  <cols>
    <col min="1" max="1" width="36.54296875" style="88" customWidth="1"/>
    <col min="2" max="2" width="0.81640625" style="88" customWidth="1"/>
    <col min="3" max="3" width="11.08984375" style="88" customWidth="1"/>
    <col min="4" max="4" width="10.90625" style="88" customWidth="1"/>
    <col min="5" max="5" width="12" style="88" customWidth="1"/>
    <col min="6" max="6" width="11" style="88" customWidth="1"/>
    <col min="7" max="7" width="11.453125" style="88" customWidth="1"/>
    <col min="8" max="8" width="13.90625" style="88" customWidth="1"/>
    <col min="9" max="9" width="11.90625" style="88" customWidth="1"/>
    <col min="10" max="10" width="10.90625" style="88" bestFit="1" customWidth="1"/>
    <col min="11" max="11" width="11.08984375" style="88" bestFit="1" customWidth="1"/>
    <col min="12" max="12" width="11" style="88" bestFit="1" customWidth="1"/>
    <col min="13" max="13" width="12.81640625" style="88" bestFit="1" customWidth="1"/>
    <col min="14" max="16384" width="15.81640625" style="88"/>
  </cols>
  <sheetData>
    <row r="1" spans="1:12" s="17" customFormat="1" x14ac:dyDescent="0.35">
      <c r="A1" s="82"/>
      <c r="B1" s="83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2" s="20" customFormat="1" x14ac:dyDescent="0.35">
      <c r="A2" s="85" t="s">
        <v>80</v>
      </c>
      <c r="B2" s="86"/>
      <c r="C2" s="87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x14ac:dyDescent="0.35">
      <c r="A3" s="1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x14ac:dyDescent="0.35">
      <c r="A4" s="21" t="s">
        <v>329</v>
      </c>
      <c r="B4" s="18"/>
      <c r="C4" s="19"/>
      <c r="D4" s="22"/>
      <c r="E4" s="19"/>
      <c r="F4" s="19"/>
      <c r="G4" s="19"/>
      <c r="H4" s="19"/>
      <c r="I4" s="19"/>
      <c r="J4" s="19"/>
      <c r="K4" s="19"/>
      <c r="L4" s="19"/>
    </row>
    <row r="5" spans="1:12" s="20" customFormat="1" x14ac:dyDescent="0.35">
      <c r="A5" s="18" t="s">
        <v>82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0" customFormat="1" x14ac:dyDescent="0.35">
      <c r="A6" s="18" t="s">
        <v>83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s="17" customFormat="1" x14ac:dyDescent="0.35">
      <c r="A7" s="78" t="s">
        <v>84</v>
      </c>
      <c r="B7" s="79"/>
      <c r="C7" s="80">
        <v>2019</v>
      </c>
      <c r="D7" s="80">
        <f>C7+1</f>
        <v>2020</v>
      </c>
      <c r="E7" s="80">
        <f t="shared" ref="E7:G7" si="0">D7+1</f>
        <v>2021</v>
      </c>
      <c r="F7" s="80">
        <f t="shared" si="0"/>
        <v>2022</v>
      </c>
      <c r="G7" s="80">
        <f t="shared" si="0"/>
        <v>2023</v>
      </c>
      <c r="H7" s="81">
        <v>2024</v>
      </c>
      <c r="I7" s="81">
        <f>H7+1</f>
        <v>2025</v>
      </c>
      <c r="J7" s="81">
        <f t="shared" ref="J7:L7" si="1">I7+1</f>
        <v>2026</v>
      </c>
      <c r="K7" s="81">
        <f t="shared" si="1"/>
        <v>2027</v>
      </c>
      <c r="L7" s="81">
        <f t="shared" si="1"/>
        <v>2028</v>
      </c>
    </row>
    <row r="8" spans="1:12" x14ac:dyDescent="0.3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35">
      <c r="A9" s="237" t="s">
        <v>220</v>
      </c>
      <c r="B9" s="238"/>
      <c r="C9" s="187"/>
      <c r="D9" s="187"/>
      <c r="E9" s="187"/>
      <c r="F9" s="187"/>
      <c r="G9" s="187"/>
      <c r="H9" s="188">
        <f>G15</f>
        <v>55808.97</v>
      </c>
      <c r="I9" s="188">
        <f t="shared" ref="I9:L9" ca="1" si="2">H15</f>
        <v>66919.741678875347</v>
      </c>
      <c r="J9" s="188">
        <f t="shared" ca="1" si="2"/>
        <v>78894.82041566768</v>
      </c>
      <c r="K9" s="188">
        <f t="shared" ca="1" si="2"/>
        <v>92162.12578806981</v>
      </c>
      <c r="L9" s="188">
        <f t="shared" ca="1" si="2"/>
        <v>106419.15119612406</v>
      </c>
    </row>
    <row r="10" spans="1:12" x14ac:dyDescent="0.35">
      <c r="A10" s="237" t="s">
        <v>221</v>
      </c>
      <c r="B10" s="238"/>
      <c r="C10" s="189"/>
      <c r="D10" s="189"/>
      <c r="E10" s="189"/>
      <c r="F10" s="189"/>
      <c r="G10" s="189"/>
      <c r="H10" s="190">
        <f ca="1">H19</f>
        <v>12836.311317969201</v>
      </c>
      <c r="I10" s="190">
        <f t="shared" ref="I10:L10" ca="1" si="3">I19</f>
        <v>13834.848124448101</v>
      </c>
      <c r="J10" s="190">
        <f t="shared" ca="1" si="3"/>
        <v>15327.761836246958</v>
      </c>
      <c r="K10" s="190">
        <f t="shared" ca="1" si="3"/>
        <v>16471.188671253982</v>
      </c>
      <c r="L10" s="190">
        <f t="shared" ca="1" si="3"/>
        <v>17032.142769666614</v>
      </c>
    </row>
    <row r="11" spans="1:12" x14ac:dyDescent="0.35">
      <c r="A11" s="237" t="s">
        <v>222</v>
      </c>
      <c r="B11" s="238"/>
      <c r="C11" s="191"/>
      <c r="D11" s="191"/>
      <c r="E11" s="191"/>
      <c r="F11" s="191"/>
      <c r="G11" s="191"/>
      <c r="H11" s="326"/>
      <c r="I11" s="326"/>
      <c r="J11" s="326"/>
      <c r="K11" s="326"/>
      <c r="L11" s="326"/>
    </row>
    <row r="12" spans="1:12" x14ac:dyDescent="0.35">
      <c r="A12" s="237" t="s">
        <v>223</v>
      </c>
      <c r="B12" s="238"/>
      <c r="C12" s="192"/>
      <c r="D12" s="192"/>
      <c r="E12" s="192"/>
      <c r="F12" s="192"/>
      <c r="G12" s="192"/>
      <c r="H12" s="193">
        <f ca="1">-H18</f>
        <v>-1725.5396390938481</v>
      </c>
      <c r="I12" s="193">
        <f t="shared" ref="I12:L12" ca="1" si="4">-I18</f>
        <v>-1859.7693876557673</v>
      </c>
      <c r="J12" s="193">
        <f t="shared" ca="1" si="4"/>
        <v>-2060.4564638448182</v>
      </c>
      <c r="K12" s="193">
        <f t="shared" ca="1" si="4"/>
        <v>-2214.1632631997272</v>
      </c>
      <c r="L12" s="193">
        <f t="shared" ca="1" si="4"/>
        <v>-2289.570325910036</v>
      </c>
    </row>
    <row r="13" spans="1:12" x14ac:dyDescent="0.35">
      <c r="A13" s="237" t="s">
        <v>334</v>
      </c>
      <c r="B13" s="238"/>
      <c r="C13" s="191"/>
      <c r="D13" s="191"/>
      <c r="E13" s="191"/>
      <c r="F13" s="191"/>
      <c r="G13" s="191"/>
      <c r="H13" s="194"/>
      <c r="I13" s="194"/>
      <c r="J13" s="194"/>
      <c r="K13" s="194"/>
      <c r="L13" s="194"/>
    </row>
    <row r="14" spans="1:12" x14ac:dyDescent="0.35">
      <c r="A14" s="237" t="s">
        <v>224</v>
      </c>
      <c r="B14" s="238"/>
      <c r="C14" s="194"/>
      <c r="D14" s="194"/>
      <c r="E14" s="194"/>
      <c r="F14" s="194"/>
      <c r="G14" s="194"/>
      <c r="H14" s="194"/>
      <c r="I14" s="194"/>
      <c r="J14" s="194"/>
      <c r="K14" s="194"/>
      <c r="L14" s="194"/>
    </row>
    <row r="15" spans="1:12" x14ac:dyDescent="0.35">
      <c r="A15" s="237" t="s">
        <v>225</v>
      </c>
      <c r="B15" s="238"/>
      <c r="C15" s="195"/>
      <c r="D15" s="196"/>
      <c r="E15" s="196"/>
      <c r="F15" s="196"/>
      <c r="G15" s="196">
        <f>'Bal Sheet'!G11</f>
        <v>55808.97</v>
      </c>
      <c r="H15" s="197">
        <f ca="1">SUM(H9:H14)</f>
        <v>66919.741678875347</v>
      </c>
      <c r="I15" s="197">
        <f t="shared" ref="I15:L15" ca="1" si="5">SUM(I9:I14)</f>
        <v>78894.82041566768</v>
      </c>
      <c r="J15" s="197">
        <f t="shared" ca="1" si="5"/>
        <v>92162.12578806981</v>
      </c>
      <c r="K15" s="197">
        <f t="shared" ca="1" si="5"/>
        <v>106419.15119612406</v>
      </c>
      <c r="L15" s="197">
        <f t="shared" ca="1" si="5"/>
        <v>121161.72363988064</v>
      </c>
    </row>
    <row r="16" spans="1:12" x14ac:dyDescent="0.35">
      <c r="A16" s="168"/>
      <c r="B16" s="16"/>
      <c r="C16" s="16"/>
      <c r="D16" s="16"/>
      <c r="E16" s="16"/>
      <c r="F16" s="198"/>
      <c r="G16" s="199"/>
      <c r="H16" s="198"/>
      <c r="I16" s="198"/>
      <c r="J16" s="198"/>
      <c r="K16" s="198"/>
      <c r="L16" s="198"/>
    </row>
    <row r="17" spans="1:12" x14ac:dyDescent="0.35">
      <c r="A17" s="179" t="s">
        <v>226</v>
      </c>
      <c r="B17" s="208"/>
      <c r="C17" s="208"/>
      <c r="D17" s="208"/>
      <c r="E17" s="209"/>
      <c r="F17" s="210"/>
      <c r="G17" s="210"/>
      <c r="H17" s="210"/>
      <c r="I17" s="210"/>
      <c r="J17" s="210"/>
      <c r="K17" s="210"/>
      <c r="L17" s="210"/>
    </row>
    <row r="18" spans="1:12" x14ac:dyDescent="0.35">
      <c r="A18" s="168" t="s">
        <v>227</v>
      </c>
      <c r="B18" s="208"/>
      <c r="C18" s="364">
        <v>1133.52</v>
      </c>
      <c r="D18" s="364">
        <v>1398.02</v>
      </c>
      <c r="E18" s="481">
        <v>268.87</v>
      </c>
      <c r="F18" s="482">
        <v>1036.19</v>
      </c>
      <c r="G18" s="482">
        <v>1522.15</v>
      </c>
      <c r="H18" s="364">
        <f ca="1">H19*H20</f>
        <v>1725.5396390938481</v>
      </c>
      <c r="I18" s="364">
        <f t="shared" ref="I18:L18" ca="1" si="6">I19*I20</f>
        <v>1859.7693876557673</v>
      </c>
      <c r="J18" s="364">
        <f t="shared" ca="1" si="6"/>
        <v>2060.4564638448182</v>
      </c>
      <c r="K18" s="364">
        <f t="shared" ca="1" si="6"/>
        <v>2214.1632631997272</v>
      </c>
      <c r="L18" s="364">
        <f t="shared" ca="1" si="6"/>
        <v>2289.570325910036</v>
      </c>
    </row>
    <row r="19" spans="1:12" x14ac:dyDescent="0.35">
      <c r="A19" s="168" t="s">
        <v>221</v>
      </c>
      <c r="B19" s="208"/>
      <c r="C19" s="155">
        <f>'Income Statement'!C50</f>
        <v>6016.8499999999967</v>
      </c>
      <c r="D19" s="155">
        <f>'Income Statement'!D50</f>
        <v>2712.8199999999861</v>
      </c>
      <c r="E19" s="155">
        <f>'Income Statement'!E50</f>
        <v>3701.920000000001</v>
      </c>
      <c r="F19" s="155">
        <f>'Income Statement'!F50</f>
        <v>7253.0100000000057</v>
      </c>
      <c r="G19" s="155">
        <f>'Income Statement'!G50</f>
        <v>11374.480000000003</v>
      </c>
      <c r="H19" s="155">
        <f ca="1">'Income Statement'!H50</f>
        <v>12836.311317969201</v>
      </c>
      <c r="I19" s="155">
        <f ca="1">'Income Statement'!I50</f>
        <v>13834.848124448101</v>
      </c>
      <c r="J19" s="155">
        <f ca="1">'Income Statement'!J50</f>
        <v>15327.761836246958</v>
      </c>
      <c r="K19" s="155">
        <f ca="1">'Income Statement'!K50</f>
        <v>16471.188671253982</v>
      </c>
      <c r="L19" s="155">
        <f ca="1">'Income Statement'!L50</f>
        <v>17032.142769666614</v>
      </c>
    </row>
    <row r="20" spans="1:12" x14ac:dyDescent="0.35">
      <c r="A20" s="168" t="s">
        <v>228</v>
      </c>
      <c r="B20" s="208"/>
      <c r="C20" s="308">
        <f>C18/C19</f>
        <v>0.18839093545626043</v>
      </c>
      <c r="D20" s="308">
        <f t="shared" ref="D20:G20" si="7">D18/D19</f>
        <v>0.51533828267264592</v>
      </c>
      <c r="E20" s="308">
        <f t="shared" si="7"/>
        <v>7.2629878549509419E-2</v>
      </c>
      <c r="F20" s="308">
        <f t="shared" si="7"/>
        <v>0.14286344565911246</v>
      </c>
      <c r="G20" s="308">
        <f t="shared" si="7"/>
        <v>0.13382150216976949</v>
      </c>
      <c r="H20" s="324">
        <f>AVERAGE(C20,E20,F20,G20)</f>
        <v>0.13442644045866295</v>
      </c>
      <c r="I20" s="324">
        <f>H20</f>
        <v>0.13442644045866295</v>
      </c>
      <c r="J20" s="324">
        <f t="shared" ref="J20:L20" si="8">I20</f>
        <v>0.13442644045866295</v>
      </c>
      <c r="K20" s="324">
        <f t="shared" si="8"/>
        <v>0.13442644045866295</v>
      </c>
      <c r="L20" s="324">
        <f t="shared" si="8"/>
        <v>0.13442644045866295</v>
      </c>
    </row>
    <row r="21" spans="1:12" x14ac:dyDescent="0.35">
      <c r="A21" s="16"/>
      <c r="B21" s="208"/>
      <c r="C21" s="208"/>
      <c r="D21" s="208"/>
      <c r="E21" s="209"/>
      <c r="F21" s="210"/>
      <c r="G21" s="210"/>
      <c r="H21" s="210"/>
      <c r="I21" s="210"/>
      <c r="J21" s="210"/>
      <c r="K21" s="210"/>
      <c r="L21" s="210"/>
    </row>
    <row r="22" spans="1:12" x14ac:dyDescent="0.35">
      <c r="A22" s="200" t="s">
        <v>229</v>
      </c>
      <c r="B22" s="201"/>
      <c r="C22" s="201"/>
      <c r="D22" s="201"/>
      <c r="E22" s="201"/>
      <c r="F22" s="201"/>
      <c r="G22" s="201"/>
      <c r="H22" s="201"/>
      <c r="I22" s="201"/>
      <c r="J22" s="201"/>
      <c r="K22" s="201"/>
      <c r="L22" s="3"/>
    </row>
    <row r="23" spans="1:12" x14ac:dyDescent="0.35">
      <c r="A23" t="s">
        <v>230</v>
      </c>
      <c r="B23" s="202"/>
      <c r="C23" s="202"/>
      <c r="D23" s="202"/>
      <c r="E23" s="202"/>
      <c r="F23" s="202"/>
      <c r="G23" s="202"/>
      <c r="H23" s="202"/>
      <c r="I23" s="202"/>
      <c r="J23" s="202"/>
      <c r="K23" s="202"/>
      <c r="L23" s="202"/>
    </row>
    <row r="24" spans="1:12" x14ac:dyDescent="0.35">
      <c r="A24" t="s">
        <v>231</v>
      </c>
      <c r="B24" s="201"/>
      <c r="C24" s="203"/>
      <c r="D24" s="203"/>
      <c r="E24" s="203"/>
      <c r="F24" s="203"/>
      <c r="G24" s="203"/>
      <c r="H24" s="204"/>
      <c r="I24" s="204"/>
      <c r="J24" s="204"/>
      <c r="K24" s="204"/>
      <c r="L24" s="204"/>
    </row>
    <row r="25" spans="1:12" x14ac:dyDescent="0.35">
      <c r="A25" t="s">
        <v>232</v>
      </c>
      <c r="B25" s="205"/>
      <c r="C25" s="205"/>
      <c r="D25" s="205"/>
      <c r="E25" s="206"/>
      <c r="F25" s="206"/>
      <c r="G25" s="206"/>
      <c r="H25" s="207"/>
      <c r="I25" s="207"/>
      <c r="J25" s="207"/>
      <c r="K25" s="207"/>
      <c r="L25" s="207"/>
    </row>
    <row r="26" spans="1:12" x14ac:dyDescent="0.35">
      <c r="A26" t="s">
        <v>333</v>
      </c>
      <c r="B26" s="208"/>
      <c r="C26" s="208"/>
      <c r="D26" s="208"/>
      <c r="E26" s="209"/>
      <c r="F26" s="210"/>
      <c r="G26" s="210"/>
      <c r="H26" s="210"/>
      <c r="I26" s="210"/>
      <c r="J26" s="210"/>
      <c r="K26" s="210"/>
      <c r="L26" s="210"/>
    </row>
    <row r="27" spans="1:12" x14ac:dyDescent="0.35">
      <c r="A27" t="s">
        <v>332</v>
      </c>
      <c r="B27" s="208"/>
      <c r="C27" s="208"/>
      <c r="D27" s="208"/>
      <c r="E27" s="209"/>
      <c r="F27" s="210"/>
      <c r="G27" s="210"/>
      <c r="H27" s="325"/>
      <c r="I27" s="325"/>
      <c r="J27" s="210"/>
      <c r="K27" s="210"/>
      <c r="L27" s="210"/>
    </row>
    <row r="28" spans="1:12" x14ac:dyDescent="0.35">
      <c r="A28" t="s">
        <v>331</v>
      </c>
      <c r="B28" s="211"/>
      <c r="C28" s="211">
        <v>5</v>
      </c>
      <c r="D28" s="211">
        <v>5</v>
      </c>
      <c r="E28" s="211">
        <v>5</v>
      </c>
      <c r="F28" s="211">
        <v>5</v>
      </c>
      <c r="G28" s="211">
        <v>5</v>
      </c>
      <c r="H28" s="211">
        <v>5</v>
      </c>
      <c r="I28" s="211">
        <v>5</v>
      </c>
      <c r="J28" s="211">
        <v>5</v>
      </c>
      <c r="K28" s="211">
        <v>5</v>
      </c>
      <c r="L28" s="211">
        <v>5</v>
      </c>
    </row>
    <row r="33" spans="6:6" x14ac:dyDescent="0.35">
      <c r="F33" s="97"/>
    </row>
  </sheetData>
  <conditionalFormatting sqref="D4">
    <cfRule type="expression" dxfId="19" priority="1">
      <formula>"="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3C5F-E87E-4D02-B7E8-FD844BF8F040}">
  <dimension ref="A1:O37"/>
  <sheetViews>
    <sheetView zoomScale="82" zoomScaleNormal="82" workbookViewId="0">
      <selection activeCell="C30" sqref="C30"/>
    </sheetView>
  </sheetViews>
  <sheetFormatPr defaultRowHeight="14.5" x14ac:dyDescent="0.35"/>
  <cols>
    <col min="1" max="1" width="25" customWidth="1"/>
    <col min="2" max="2" width="6.6328125" customWidth="1"/>
    <col min="13" max="13" width="42.6328125" customWidth="1"/>
    <col min="14" max="14" width="10.36328125" bestFit="1" customWidth="1"/>
  </cols>
  <sheetData>
    <row r="1" spans="1:15" s="17" customFormat="1" x14ac:dyDescent="0.35">
      <c r="A1" s="82"/>
      <c r="B1" s="83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5" s="20" customFormat="1" x14ac:dyDescent="0.35">
      <c r="A2" s="85" t="s">
        <v>80</v>
      </c>
      <c r="B2" s="86"/>
      <c r="C2" s="87"/>
      <c r="D2" s="19"/>
      <c r="E2" s="19"/>
      <c r="F2" s="19"/>
      <c r="G2" s="19"/>
      <c r="H2" s="19"/>
      <c r="I2" s="19"/>
      <c r="J2" s="19"/>
      <c r="K2" s="19"/>
      <c r="L2" s="19"/>
    </row>
    <row r="3" spans="1:15" s="20" customFormat="1" x14ac:dyDescent="0.35">
      <c r="A3" s="1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5" s="20" customFormat="1" x14ac:dyDescent="0.35">
      <c r="A4" s="21" t="s">
        <v>466</v>
      </c>
      <c r="B4" s="18"/>
      <c r="C4" s="19"/>
      <c r="D4" s="22"/>
      <c r="E4" s="19"/>
      <c r="F4" s="19"/>
      <c r="G4" s="19"/>
      <c r="H4" s="19"/>
      <c r="I4" s="19"/>
      <c r="J4" s="19"/>
      <c r="K4" s="19"/>
      <c r="L4" s="19"/>
    </row>
    <row r="5" spans="1:15" s="20" customFormat="1" x14ac:dyDescent="0.35">
      <c r="A5" s="18" t="s">
        <v>82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5" s="20" customFormat="1" x14ac:dyDescent="0.35">
      <c r="A6" s="18" t="s">
        <v>83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5" s="17" customFormat="1" x14ac:dyDescent="0.35">
      <c r="A7" s="78" t="s">
        <v>84</v>
      </c>
      <c r="B7" s="79"/>
      <c r="C7" s="80">
        <v>2019</v>
      </c>
      <c r="D7" s="80">
        <f>C7+1</f>
        <v>2020</v>
      </c>
      <c r="E7" s="80">
        <f t="shared" ref="E7:G7" si="0">D7+1</f>
        <v>2021</v>
      </c>
      <c r="F7" s="80">
        <f t="shared" si="0"/>
        <v>2022</v>
      </c>
      <c r="G7" s="80">
        <f t="shared" si="0"/>
        <v>2023</v>
      </c>
      <c r="H7" s="81">
        <v>2024</v>
      </c>
      <c r="I7" s="81">
        <f>H7+1</f>
        <v>2025</v>
      </c>
      <c r="J7" s="81">
        <f t="shared" ref="J7:L7" si="1">I7+1</f>
        <v>2026</v>
      </c>
      <c r="K7" s="81">
        <f t="shared" si="1"/>
        <v>2027</v>
      </c>
      <c r="L7" s="81">
        <f t="shared" si="1"/>
        <v>2028</v>
      </c>
    </row>
    <row r="8" spans="1:15" x14ac:dyDescent="0.35">
      <c r="A8" s="462" t="s">
        <v>466</v>
      </c>
      <c r="B8" s="463"/>
      <c r="C8" s="463"/>
      <c r="D8" s="463"/>
      <c r="E8" s="463"/>
      <c r="F8" s="463"/>
      <c r="G8" s="463"/>
      <c r="H8" s="463"/>
      <c r="I8" s="463"/>
      <c r="J8" s="463"/>
      <c r="K8" s="463"/>
      <c r="L8" s="463"/>
      <c r="M8" s="216" t="s">
        <v>467</v>
      </c>
    </row>
    <row r="9" spans="1:15" x14ac:dyDescent="0.35">
      <c r="A9" s="464" t="s">
        <v>468</v>
      </c>
      <c r="B9" s="216"/>
      <c r="C9" s="216"/>
      <c r="D9" s="216"/>
      <c r="E9" s="216"/>
      <c r="F9" s="216"/>
      <c r="G9" s="216"/>
      <c r="H9" s="216"/>
      <c r="I9" s="216"/>
      <c r="J9" s="216"/>
      <c r="K9" s="216"/>
      <c r="L9" s="216"/>
      <c r="M9" s="216"/>
      <c r="N9" t="s">
        <v>660</v>
      </c>
    </row>
    <row r="10" spans="1:15" x14ac:dyDescent="0.35">
      <c r="A10" s="465" t="s">
        <v>469</v>
      </c>
      <c r="B10" s="466"/>
      <c r="C10" s="466">
        <f>'Income Statement'!C31/'Income Statement'!C14</f>
        <v>0.14521019153045989</v>
      </c>
      <c r="D10" s="466">
        <f>'Income Statement'!D31/'Income Statement'!D14</f>
        <v>0.17499644808775772</v>
      </c>
      <c r="E10" s="466">
        <f>'Income Statement'!E31/'Income Statement'!E14</f>
        <v>0.18412707003359555</v>
      </c>
      <c r="F10" s="466">
        <f>'Income Statement'!F31/'Income Statement'!F14</f>
        <v>0.16283417083866725</v>
      </c>
      <c r="G10" s="466">
        <f>'Income Statement'!G31/'Income Statement'!G14</f>
        <v>0.16727576935652322</v>
      </c>
      <c r="H10" s="466">
        <f>'Income Statement'!H31/'Income Statement'!H14</f>
        <v>0.19731340216833956</v>
      </c>
      <c r="I10" s="466">
        <f>'Income Statement'!I31/'Income Statement'!I14</f>
        <v>0.19731340216833962</v>
      </c>
      <c r="J10" s="466">
        <f>'Income Statement'!J31/'Income Statement'!J14</f>
        <v>0.19731340216833959</v>
      </c>
      <c r="K10" s="466">
        <f>'Income Statement'!K31/'Income Statement'!K14</f>
        <v>0.19731340216833954</v>
      </c>
      <c r="L10" s="466">
        <f>'Income Statement'!L31/'Income Statement'!L14</f>
        <v>0.19731340216833956</v>
      </c>
      <c r="M10" s="467" t="s">
        <v>470</v>
      </c>
      <c r="N10" t="s">
        <v>661</v>
      </c>
    </row>
    <row r="11" spans="1:15" x14ac:dyDescent="0.35">
      <c r="A11" s="465" t="s">
        <v>471</v>
      </c>
      <c r="B11" s="466"/>
      <c r="C11" s="466">
        <f>'Income Statement'!C50/'Income Statement'!C14</f>
        <v>5.745617771007596E-2</v>
      </c>
      <c r="D11" s="466">
        <f>'Income Statement'!D50/'Income Statement'!D14</f>
        <v>3.5987669724030495E-2</v>
      </c>
      <c r="E11" s="466">
        <f>'Income Statement'!E50/'Income Statement'!E14</f>
        <v>4.983886163533699E-2</v>
      </c>
      <c r="F11" s="466">
        <f>'Income Statement'!F50/'Income Statement'!F14</f>
        <v>8.0436554853762207E-2</v>
      </c>
      <c r="G11" s="466">
        <f>'Income Statement'!G50/'Income Statement'!G14</f>
        <v>9.3795794540299224E-2</v>
      </c>
      <c r="H11" s="466">
        <f ca="1">'Income Statement'!H50/'Income Statement'!H14</f>
        <v>9.8466811650644179E-2</v>
      </c>
      <c r="I11" s="466">
        <f ca="1">'Income Statement'!I50/'Income Statement'!I14</f>
        <v>9.8712976530382177E-2</v>
      </c>
      <c r="J11" s="466">
        <f ca="1">'Income Statement'!J50/'Income Statement'!J14</f>
        <v>0.1017140135386555</v>
      </c>
      <c r="K11" s="466">
        <f ca="1">'Income Statement'!K50/'Income Statement'!K14</f>
        <v>0.10164376475138132</v>
      </c>
      <c r="L11" s="466">
        <f ca="1">'Income Statement'!L50/'Income Statement'!L14</f>
        <v>9.7730466900711938E-2</v>
      </c>
      <c r="M11" s="467" t="s">
        <v>472</v>
      </c>
      <c r="N11" t="s">
        <v>661</v>
      </c>
      <c r="O11" t="s">
        <v>662</v>
      </c>
    </row>
    <row r="12" spans="1:15" x14ac:dyDescent="0.35">
      <c r="A12" s="465" t="s">
        <v>473</v>
      </c>
      <c r="B12" s="466"/>
      <c r="C12" s="466">
        <f>'Income Statement'!C50/'Bal Sheet'!C32</f>
        <v>3.6824727248780324E-2</v>
      </c>
      <c r="D12" s="466">
        <f>'Income Statement'!D50/'Bal Sheet'!D32</f>
        <v>1.6243783331754472E-2</v>
      </c>
      <c r="E12" s="466">
        <f>'Income Statement'!E50/'Bal Sheet'!E32</f>
        <v>2.2238763820005343E-2</v>
      </c>
      <c r="F12" s="466">
        <f>'Income Statement'!F50/'Bal Sheet'!F32</f>
        <v>4.165696031538179E-2</v>
      </c>
      <c r="G12" s="466">
        <f>'Income Statement'!G50/'Bal Sheet'!G32</f>
        <v>5.524494738182105E-2</v>
      </c>
      <c r="H12" s="466">
        <f ca="1">'Income Statement'!H50/'Bal Sheet'!H32</f>
        <v>6.018904187062285E-2</v>
      </c>
      <c r="I12" s="466">
        <f ca="1">'Income Statement'!I50/'Bal Sheet'!I32</f>
        <v>6.0609521784907826E-2</v>
      </c>
      <c r="J12" s="466">
        <f ca="1">'Income Statement'!J50/'Bal Sheet'!J32</f>
        <v>6.0468989309540928E-2</v>
      </c>
      <c r="K12" s="466">
        <f ca="1">'Income Statement'!K50/'Bal Sheet'!K32</f>
        <v>5.7488310574302516E-2</v>
      </c>
      <c r="L12" s="466">
        <f ca="1">'Income Statement'!L50/'Bal Sheet'!L32</f>
        <v>5.3084680114061186E-2</v>
      </c>
      <c r="M12" s="467" t="s">
        <v>474</v>
      </c>
      <c r="N12" t="s">
        <v>661</v>
      </c>
    </row>
    <row r="13" spans="1:15" ht="43.5" x14ac:dyDescent="0.35">
      <c r="A13" s="465" t="s">
        <v>475</v>
      </c>
      <c r="B13" s="466"/>
      <c r="C13" s="466">
        <f>'Income Statement'!C50/('Bal Sheet'!C14+'Bal Sheet'!C19+'Bal Sheet'!C26)</f>
        <v>6.3974611961498576E-2</v>
      </c>
      <c r="D13" s="466">
        <f>'Income Statement'!D50/('Bal Sheet'!D14+'Bal Sheet'!D19+'Bal Sheet'!D26)</f>
        <v>2.6470438715404641E-2</v>
      </c>
      <c r="E13" s="466">
        <f>'Income Statement'!E50/('Bal Sheet'!E14+'Bal Sheet'!E19+'Bal Sheet'!E26)</f>
        <v>3.6603722131205343E-2</v>
      </c>
      <c r="F13" s="466">
        <f>'Income Statement'!F50/('Bal Sheet'!F14+'Bal Sheet'!F19+'Bal Sheet'!F26)</f>
        <v>5.8150685672846966E-2</v>
      </c>
      <c r="G13" s="466">
        <f>'Income Statement'!G50/('Bal Sheet'!G14+'Bal Sheet'!G19+'Bal Sheet'!G26)</f>
        <v>7.6537769600217076E-2</v>
      </c>
      <c r="H13" s="466">
        <f ca="1">'Income Statement'!H50/('Bal Sheet'!H14+'Bal Sheet'!H19+'Bal Sheet'!H26)</f>
        <v>8.2731972645912616E-2</v>
      </c>
      <c r="I13" s="466">
        <f ca="1">'Income Statement'!I50/('Bal Sheet'!I14+'Bal Sheet'!I19+'Bal Sheet'!I26)</f>
        <v>8.3046642642760876E-2</v>
      </c>
      <c r="J13" s="466">
        <f ca="1">'Income Statement'!J50/('Bal Sheet'!J14+'Bal Sheet'!J19+'Bal Sheet'!J26)</f>
        <v>8.1540250750808396E-2</v>
      </c>
      <c r="K13" s="466">
        <f ca="1">'Income Statement'!K50/('Bal Sheet'!K14+'Bal Sheet'!K19+'Bal Sheet'!K26)</f>
        <v>7.5945227594536938E-2</v>
      </c>
      <c r="L13" s="466">
        <f ca="1">'Income Statement'!L50/('Bal Sheet'!L14+'Bal Sheet'!L19+'Bal Sheet'!L26)</f>
        <v>6.9019899963635167E-2</v>
      </c>
      <c r="M13" s="467" t="s">
        <v>657</v>
      </c>
      <c r="N13" t="s">
        <v>661</v>
      </c>
      <c r="O13" t="s">
        <v>663</v>
      </c>
    </row>
    <row r="14" spans="1:15" x14ac:dyDescent="0.35">
      <c r="A14" s="465" t="s">
        <v>476</v>
      </c>
      <c r="B14" s="466"/>
      <c r="C14" s="466">
        <f>'Income Statement'!C50/SUM('Bal Sheet'!C38:C42)</f>
        <v>0.13510834086324183</v>
      </c>
      <c r="D14" s="466">
        <f>'Income Statement'!D50/SUM('Bal Sheet'!D38:D42)</f>
        <v>5.6783076557582475E-2</v>
      </c>
      <c r="E14" s="466">
        <f>'Income Statement'!E50/SUM('Bal Sheet'!E38:E42)</f>
        <v>8.9184603350011854E-2</v>
      </c>
      <c r="F14" s="466">
        <f>'Income Statement'!F50/SUM('Bal Sheet'!F38:F42)</f>
        <v>0.15811754703407394</v>
      </c>
      <c r="G14" s="466">
        <f>'Income Statement'!G50/SUM('Bal Sheet'!G38:G42)</f>
        <v>0.25004830824418939</v>
      </c>
      <c r="H14" s="466">
        <f ca="1">'Income Statement'!H50/SUM('Bal Sheet'!H38:H42)</f>
        <v>0.26637060699820586</v>
      </c>
      <c r="I14" s="466">
        <f ca="1">'Income Statement'!I50/SUM('Bal Sheet'!I38:I42)</f>
        <v>0.27200491464731846</v>
      </c>
      <c r="J14" s="466">
        <f ca="1">'Income Statement'!J50/SUM('Bal Sheet'!J38:J42)</f>
        <v>0.28214118771790586</v>
      </c>
      <c r="K14" s="466">
        <f ca="1">'Income Statement'!K50/SUM('Bal Sheet'!K38:K42)</f>
        <v>0.28223969654600667</v>
      </c>
      <c r="L14" s="466">
        <f ca="1">'Income Statement'!L50/SUM('Bal Sheet'!L38:L42)</f>
        <v>0.27386182475713583</v>
      </c>
      <c r="M14" s="467" t="s">
        <v>477</v>
      </c>
      <c r="N14" t="s">
        <v>661</v>
      </c>
    </row>
    <row r="15" spans="1:15" x14ac:dyDescent="0.35">
      <c r="A15" s="465" t="s">
        <v>478</v>
      </c>
      <c r="B15" s="466"/>
      <c r="C15" s="466">
        <f>'Income Statement'!C50/'Bal Sheet'!C14</f>
        <v>0.15048366309927036</v>
      </c>
      <c r="D15" s="466">
        <f>'Income Statement'!D50/'Bal Sheet'!D14</f>
        <v>6.7872575233347443E-2</v>
      </c>
      <c r="E15" s="466">
        <f>'Income Statement'!E50/'Bal Sheet'!E14</f>
        <v>8.902715410928598E-2</v>
      </c>
      <c r="F15" s="466">
        <f>'Income Statement'!F50/'Bal Sheet'!F14</f>
        <v>0.15391773466002767</v>
      </c>
      <c r="G15" s="466">
        <f>'Income Statement'!G50/'Bal Sheet'!G14</f>
        <v>0.20179757970215628</v>
      </c>
      <c r="H15" s="466">
        <f ca="1">'Income Statement'!H50/'Bal Sheet'!H14</f>
        <v>0.19023363073918775</v>
      </c>
      <c r="I15" s="466">
        <f ca="1">'Income Statement'!I50/'Bal Sheet'!I14</f>
        <v>0.17412916904003783</v>
      </c>
      <c r="J15" s="466">
        <f ca="1">'Income Statement'!J50/'Bal Sheet'!J14</f>
        <v>0.16531423762390521</v>
      </c>
      <c r="K15" s="466">
        <f ca="1">'Income Statement'!K50/'Bal Sheet'!K14</f>
        <v>0.15397091970360877</v>
      </c>
      <c r="L15" s="466">
        <f ca="1">'Income Statement'!L50/'Bal Sheet'!L14</f>
        <v>0.13993055010630354</v>
      </c>
      <c r="M15" s="468" t="s">
        <v>479</v>
      </c>
      <c r="N15" t="s">
        <v>661</v>
      </c>
    </row>
    <row r="16" spans="1:15" x14ac:dyDescent="0.35">
      <c r="A16" s="467"/>
      <c r="B16" s="216"/>
      <c r="C16" s="216"/>
      <c r="D16" s="216"/>
      <c r="E16" s="216"/>
      <c r="F16" s="216"/>
      <c r="G16" s="216"/>
      <c r="H16" s="216"/>
      <c r="I16" s="216"/>
      <c r="J16" s="216"/>
      <c r="K16" s="216"/>
      <c r="L16" s="216"/>
      <c r="M16" s="467"/>
    </row>
    <row r="17" spans="1:15" x14ac:dyDescent="0.35">
      <c r="A17" s="464" t="s">
        <v>480</v>
      </c>
      <c r="B17" s="216"/>
      <c r="C17" s="216"/>
      <c r="D17" s="216"/>
      <c r="E17" s="216"/>
      <c r="F17" s="216"/>
      <c r="G17" s="216"/>
      <c r="H17" s="216"/>
      <c r="I17" s="216"/>
      <c r="J17" s="216"/>
      <c r="K17" s="216"/>
      <c r="L17" s="216"/>
      <c r="M17" s="467"/>
    </row>
    <row r="18" spans="1:15" x14ac:dyDescent="0.35">
      <c r="A18" s="469" t="s">
        <v>481</v>
      </c>
      <c r="B18" s="470"/>
      <c r="C18" s="470">
        <f>'Bal Sheet'!C58/'Bal Sheet'!C30</f>
        <v>1.1815135437504141</v>
      </c>
      <c r="D18" s="470">
        <f>'Bal Sheet'!D58/'Bal Sheet'!D30</f>
        <v>1.1858174262611481</v>
      </c>
      <c r="E18" s="470">
        <f>'Bal Sheet'!E58/'Bal Sheet'!E30</f>
        <v>1.4022061186086154</v>
      </c>
      <c r="F18" s="470">
        <f>'Bal Sheet'!F58/'Bal Sheet'!F30</f>
        <v>1.335054708498191</v>
      </c>
      <c r="G18" s="470">
        <f>'Bal Sheet'!G58/'Bal Sheet'!G30</f>
        <v>1.293938841370309</v>
      </c>
      <c r="H18" s="470">
        <f ca="1">'Bal Sheet'!H58/'Bal Sheet'!H30</f>
        <v>1.661713040075097</v>
      </c>
      <c r="I18" s="470">
        <f ca="1">'Bal Sheet'!I58/'Bal Sheet'!I30</f>
        <v>2.1905965639664933</v>
      </c>
      <c r="J18" s="470">
        <f ca="1">'Bal Sheet'!J58/'Bal Sheet'!J30</f>
        <v>2.7004031283732259</v>
      </c>
      <c r="K18" s="470">
        <f ca="1">'Bal Sheet'!K58/'Bal Sheet'!K30</f>
        <v>3.0105590426305193</v>
      </c>
      <c r="L18" s="470">
        <f ca="1">'Bal Sheet'!L58/'Bal Sheet'!L30</f>
        <v>3.2842951916600112</v>
      </c>
      <c r="M18" s="467" t="s">
        <v>482</v>
      </c>
      <c r="N18" t="s">
        <v>661</v>
      </c>
      <c r="O18" t="s">
        <v>664</v>
      </c>
    </row>
    <row r="19" spans="1:15" x14ac:dyDescent="0.35">
      <c r="A19" s="469" t="s">
        <v>483</v>
      </c>
      <c r="B19" s="471"/>
      <c r="C19" s="471">
        <f>('Bal Sheet'!C58-'Bal Sheet'!C53)/'Bal Sheet'!C30</f>
        <v>0.97382766690277878</v>
      </c>
      <c r="D19" s="471">
        <f>('Bal Sheet'!D58-'Bal Sheet'!D53)/'Bal Sheet'!D30</f>
        <v>0.98007851208453611</v>
      </c>
      <c r="E19" s="471">
        <f>('Bal Sheet'!E58-'Bal Sheet'!E53)/'Bal Sheet'!E30</f>
        <v>1.2153031887215355</v>
      </c>
      <c r="F19" s="471">
        <f>('Bal Sheet'!F58-'Bal Sheet'!F53)/'Bal Sheet'!F30</f>
        <v>1.1290471754980114</v>
      </c>
      <c r="G19" s="471">
        <f>('Bal Sheet'!G58-'Bal Sheet'!G53)/'Bal Sheet'!G30</f>
        <v>1.0551302426585885</v>
      </c>
      <c r="H19" s="471">
        <f ca="1">('Bal Sheet'!H58-'Bal Sheet'!H53)/'Bal Sheet'!H30</f>
        <v>1.3646051228160114</v>
      </c>
      <c r="I19" s="471">
        <f ca="1">('Bal Sheet'!I58-'Bal Sheet'!I53)/'Bal Sheet'!I30</f>
        <v>1.7986248088531183</v>
      </c>
      <c r="J19" s="471">
        <f ca="1">('Bal Sheet'!J58-'Bal Sheet'!J53)/'Bal Sheet'!J30</f>
        <v>2.2530759336113859</v>
      </c>
      <c r="K19" s="471">
        <f ca="1">('Bal Sheet'!K58-'Bal Sheet'!K53)/'Bal Sheet'!K30</f>
        <v>2.5632318478686793</v>
      </c>
      <c r="L19" s="471">
        <f ca="1">('Bal Sheet'!L58-'Bal Sheet'!L53)/'Bal Sheet'!L30</f>
        <v>2.8369679968981711</v>
      </c>
      <c r="M19" s="467" t="s">
        <v>484</v>
      </c>
    </row>
    <row r="20" spans="1:15" x14ac:dyDescent="0.35">
      <c r="A20" s="469" t="s">
        <v>485</v>
      </c>
      <c r="B20" s="471"/>
      <c r="C20" s="471"/>
      <c r="D20" s="471"/>
      <c r="E20" s="471"/>
      <c r="F20" s="471"/>
      <c r="G20" s="471"/>
      <c r="H20" s="471"/>
      <c r="I20" s="471"/>
      <c r="J20" s="471"/>
      <c r="K20" s="471"/>
      <c r="L20" s="471"/>
      <c r="M20" s="467" t="s">
        <v>486</v>
      </c>
    </row>
    <row r="21" spans="1:15" x14ac:dyDescent="0.35">
      <c r="A21" s="467"/>
      <c r="B21" s="216"/>
      <c r="C21" s="216"/>
      <c r="D21" s="216"/>
      <c r="E21" s="216"/>
      <c r="F21" s="216"/>
      <c r="G21" s="216"/>
      <c r="H21" s="216"/>
      <c r="I21" s="216"/>
      <c r="J21" s="216"/>
      <c r="K21" s="216"/>
      <c r="L21" s="216"/>
      <c r="M21" s="467"/>
    </row>
    <row r="22" spans="1:15" x14ac:dyDescent="0.35">
      <c r="A22" s="464" t="s">
        <v>487</v>
      </c>
      <c r="B22" s="216"/>
      <c r="C22" s="216"/>
      <c r="D22" s="216"/>
      <c r="E22" s="216"/>
      <c r="F22" s="216"/>
      <c r="G22" s="216"/>
      <c r="H22" s="216"/>
      <c r="I22" s="216"/>
      <c r="J22" s="216"/>
      <c r="K22" s="216"/>
      <c r="L22" s="216"/>
      <c r="M22" s="467"/>
    </row>
    <row r="23" spans="1:15" x14ac:dyDescent="0.35">
      <c r="A23" s="469" t="s">
        <v>488</v>
      </c>
      <c r="B23" s="470"/>
      <c r="C23" s="470">
        <f>('Bal Sheet'!C19+'Bal Sheet'!C26)/'Bal Sheet'!C14</f>
        <v>1.3522403416817126</v>
      </c>
      <c r="D23" s="470">
        <f>('Bal Sheet'!D19+'Bal Sheet'!D26)/'Bal Sheet'!D14</f>
        <v>1.5640895477054773</v>
      </c>
      <c r="E23" s="470">
        <f>('Bal Sheet'!E19+'Bal Sheet'!E26)/'Bal Sheet'!E14</f>
        <v>1.4321885569497512</v>
      </c>
      <c r="F23" s="470">
        <f>('Bal Sheet'!F19+'Bal Sheet'!F26)/'Bal Sheet'!F14</f>
        <v>1.6468773820821583</v>
      </c>
      <c r="G23" s="470">
        <f>('Bal Sheet'!G19+'Bal Sheet'!G26)/'Bal Sheet'!G14</f>
        <v>1.6365751282825984</v>
      </c>
      <c r="H23" s="470">
        <f ca="1">('Bal Sheet'!H19+'Bal Sheet'!H26)/'Bal Sheet'!H14</f>
        <v>1.2993967707427352</v>
      </c>
      <c r="I23" s="470">
        <f ca="1">('Bal Sheet'!I19+'Bal Sheet'!I26)/'Bal Sheet'!I14</f>
        <v>1.0967634993877333</v>
      </c>
      <c r="J23" s="470">
        <f ca="1">('Bal Sheet'!J19+'Bal Sheet'!J26)/'Bal Sheet'!J14</f>
        <v>1.0273942758542016</v>
      </c>
      <c r="K23" s="470">
        <f ca="1">('Bal Sheet'!K19+'Bal Sheet'!K26)/'Bal Sheet'!K14</f>
        <v>1.0273942758542016</v>
      </c>
      <c r="L23" s="470">
        <f ca="1">('Bal Sheet'!L19+'Bal Sheet'!L26)/'Bal Sheet'!L14</f>
        <v>1.0273942758542016</v>
      </c>
      <c r="M23" s="467" t="s">
        <v>489</v>
      </c>
      <c r="N23" t="s">
        <v>665</v>
      </c>
      <c r="O23" t="s">
        <v>666</v>
      </c>
    </row>
    <row r="24" spans="1:15" x14ac:dyDescent="0.35">
      <c r="A24" s="469" t="s">
        <v>490</v>
      </c>
      <c r="B24" s="470"/>
      <c r="C24" s="470">
        <f>('Bal Sheet'!C19+'Bal Sheet'!C26)/'Bal Sheet'!C60</f>
        <v>0.33090556630308404</v>
      </c>
      <c r="D24" s="470">
        <f>('Bal Sheet'!D19+'Bal Sheet'!D26)/'Bal Sheet'!D60</f>
        <v>0.37432986205460311</v>
      </c>
      <c r="E24" s="470">
        <f>('Bal Sheet'!E19+'Bal Sheet'!E26)/'Bal Sheet'!E60</f>
        <v>0.35775717400358481</v>
      </c>
      <c r="F24" s="470">
        <f>('Bal Sheet'!F19+'Bal Sheet'!F26)/'Bal Sheet'!F60</f>
        <v>0.44571800579853976</v>
      </c>
      <c r="G24" s="470">
        <f>('Bal Sheet'!G19+'Bal Sheet'!G26)/'Bal Sheet'!G60</f>
        <v>0.44803563542146452</v>
      </c>
      <c r="H24" s="470">
        <f ca="1">('Bal Sheet'!H19+'Bal Sheet'!H26)/'Bal Sheet'!H60</f>
        <v>0.4111231349414371</v>
      </c>
      <c r="I24" s="470">
        <f ca="1">('Bal Sheet'!I19+'Bal Sheet'!I26)/'Bal Sheet'!I60</f>
        <v>0.38175287676097508</v>
      </c>
      <c r="J24" s="470">
        <f ca="1">('Bal Sheet'!J19+'Bal Sheet'!J26)/'Bal Sheet'!J60</f>
        <v>0.37580243768627247</v>
      </c>
      <c r="K24" s="470">
        <f ca="1">('Bal Sheet'!K19+'Bal Sheet'!K26)/'Bal Sheet'!K60</f>
        <v>0.38359945713296062</v>
      </c>
      <c r="L24" s="470">
        <f ca="1">('Bal Sheet'!L19+'Bal Sheet'!L26)/'Bal Sheet'!L60</f>
        <v>0.3897568932824555</v>
      </c>
      <c r="M24" s="467" t="s">
        <v>491</v>
      </c>
    </row>
    <row r="25" spans="1:15" ht="29" x14ac:dyDescent="0.35">
      <c r="A25" s="469" t="s">
        <v>492</v>
      </c>
      <c r="B25" s="470"/>
      <c r="C25" s="470">
        <f>('Bal Sheet'!C19)/'Bal Sheet'!C60</f>
        <v>0.26639177284360505</v>
      </c>
      <c r="D25" s="470">
        <f>('Bal Sheet'!D19)/'Bal Sheet'!D60</f>
        <v>0.31314948757133398</v>
      </c>
      <c r="E25" s="470">
        <f>('Bal Sheet'!E19)/'Bal Sheet'!E60</f>
        <v>0.32984343800215893</v>
      </c>
      <c r="F25" s="470">
        <f>('Bal Sheet'!F19)/'Bal Sheet'!F60</f>
        <v>0.29324443693973107</v>
      </c>
      <c r="G25" s="470">
        <f>('Bal Sheet'!G19)/'Bal Sheet'!G60</f>
        <v>0.28126374356779782</v>
      </c>
      <c r="H25" s="470">
        <f ca="1">('Bal Sheet'!H19)/'Bal Sheet'!H60</f>
        <v>0.32506280223294032</v>
      </c>
      <c r="I25" s="470">
        <f ca="1">('Bal Sheet'!I19)/'Bal Sheet'!I60</f>
        <v>0.35760737897828598</v>
      </c>
      <c r="J25" s="470">
        <f ca="1">('Bal Sheet'!J19)/'Bal Sheet'!J60</f>
        <v>0.37580243768627247</v>
      </c>
      <c r="K25" s="470">
        <f ca="1">('Bal Sheet'!K19)/'Bal Sheet'!K60</f>
        <v>0.38359945713296062</v>
      </c>
      <c r="L25" s="470">
        <f ca="1">('Bal Sheet'!L19)/'Bal Sheet'!L60</f>
        <v>0.3897568932824555</v>
      </c>
      <c r="M25" s="467" t="s">
        <v>493</v>
      </c>
    </row>
    <row r="26" spans="1:15" x14ac:dyDescent="0.35">
      <c r="A26" s="467" t="s">
        <v>494</v>
      </c>
      <c r="B26" s="470"/>
      <c r="C26" s="470">
        <f>'Bal Sheet'!C60/'Bal Sheet'!C14</f>
        <v>4.0864841192884755</v>
      </c>
      <c r="D26" s="470">
        <f>'Bal Sheet'!D60/'Bal Sheet'!D14</f>
        <v>4.1783723561902875</v>
      </c>
      <c r="E26" s="470">
        <f>'Bal Sheet'!E60/'Bal Sheet'!E14</f>
        <v>4.0032420340378705</v>
      </c>
      <c r="F26" s="470">
        <f>'Bal Sheet'!F60/'Bal Sheet'!F14</f>
        <v>3.6948863646009644</v>
      </c>
      <c r="G26" s="470">
        <f>'Bal Sheet'!G60/'Bal Sheet'!G14</f>
        <v>3.652778928495457</v>
      </c>
      <c r="H26" s="470">
        <f ca="1">'Bal Sheet'!H60/'Bal Sheet'!H14</f>
        <v>3.1606024091245297</v>
      </c>
      <c r="I26" s="470">
        <f ca="1">'Bal Sheet'!I60/'Bal Sheet'!I14</f>
        <v>2.8729672155802617</v>
      </c>
      <c r="J26" s="470">
        <f ca="1">'Bal Sheet'!J60/'Bal Sheet'!J14</f>
        <v>2.733868045613614</v>
      </c>
      <c r="K26" s="470">
        <f ca="1">'Bal Sheet'!K60/'Bal Sheet'!K14</f>
        <v>2.6782996084848296</v>
      </c>
      <c r="L26" s="470">
        <f ca="1">'Bal Sheet'!L60/'Bal Sheet'!L14</f>
        <v>2.6359874413039632</v>
      </c>
      <c r="M26" s="467" t="s">
        <v>495</v>
      </c>
    </row>
    <row r="27" spans="1:15" x14ac:dyDescent="0.35">
      <c r="A27" s="467" t="s">
        <v>496</v>
      </c>
      <c r="B27" s="471"/>
      <c r="C27" s="471">
        <f>'Income Statement'!C37/-'Income Statement'!C38</f>
        <v>2.2336104832365793</v>
      </c>
      <c r="D27" s="471">
        <f>'Income Statement'!D37/-'Income Statement'!D38</f>
        <v>1.6317298190544971</v>
      </c>
      <c r="E27" s="471">
        <f>'Income Statement'!E37/-'Income Statement'!E38</f>
        <v>1.6876546568298099</v>
      </c>
      <c r="F27" s="471">
        <f>'Income Statement'!F37/-'Income Statement'!F38</f>
        <v>2.2270304201831399</v>
      </c>
      <c r="G27" s="471">
        <f>'Income Statement'!G37/-'Income Statement'!G38</f>
        <v>2.7322984030053012</v>
      </c>
      <c r="H27" s="471">
        <f ca="1">'Income Statement'!H37/-'Income Statement'!H38</f>
        <v>3.0256241613411321</v>
      </c>
      <c r="I27" s="471">
        <f ca="1">'Income Statement'!I37/-'Income Statement'!I38</f>
        <v>3.2431922066849257</v>
      </c>
      <c r="J27" s="471">
        <f ca="1">'Income Statement'!J37/-'Income Statement'!J38</f>
        <v>3.4838958275897158</v>
      </c>
      <c r="K27" s="471">
        <f ca="1">'Income Statement'!K37/-'Income Statement'!K38</f>
        <v>3.5125298030564971</v>
      </c>
      <c r="L27" s="471">
        <f ca="1">'Income Statement'!L37/-'Income Statement'!L38</f>
        <v>3.385063432793276</v>
      </c>
      <c r="M27" s="467" t="s">
        <v>497</v>
      </c>
      <c r="N27" t="s">
        <v>667</v>
      </c>
      <c r="O27" t="s">
        <v>668</v>
      </c>
    </row>
    <row r="28" spans="1:15" x14ac:dyDescent="0.35">
      <c r="A28" s="467"/>
      <c r="B28" s="216"/>
      <c r="C28" s="216"/>
      <c r="D28" s="216"/>
      <c r="E28" s="216"/>
      <c r="F28" s="216"/>
      <c r="G28" s="216"/>
      <c r="H28" s="216"/>
      <c r="I28" s="216"/>
      <c r="J28" s="216"/>
      <c r="K28" s="216"/>
      <c r="L28" s="216"/>
      <c r="M28" s="467"/>
    </row>
    <row r="29" spans="1:15" x14ac:dyDescent="0.35">
      <c r="A29" s="464" t="s">
        <v>498</v>
      </c>
      <c r="B29" s="216"/>
      <c r="C29" s="216"/>
      <c r="D29" s="216"/>
      <c r="E29" s="216"/>
      <c r="F29" s="216"/>
      <c r="G29" s="216"/>
      <c r="H29" s="216"/>
      <c r="I29" s="216"/>
      <c r="J29" s="216"/>
      <c r="K29" s="216"/>
      <c r="L29" s="216"/>
      <c r="M29" s="467"/>
    </row>
    <row r="30" spans="1:15" x14ac:dyDescent="0.35">
      <c r="A30" s="467" t="s">
        <v>499</v>
      </c>
      <c r="B30" s="471"/>
      <c r="C30" s="471">
        <f>-'Income Statement'!C21/'Bal Sheet'!C53</f>
        <v>4.9467892224364265</v>
      </c>
      <c r="D30" s="471">
        <f>365/('Bal Sheet'!D53/(-'Income Statement'!D21/365))</f>
        <v>3.4577397483409622</v>
      </c>
      <c r="E30" s="471">
        <f>365/('Bal Sheet'!E53/(-'Income Statement'!E21/365))</f>
        <v>3.9942956150595759</v>
      </c>
      <c r="F30" s="471">
        <f>365/('Bal Sheet'!F53/(-'Income Statement'!F21/365))</f>
        <v>4.4674020465995516</v>
      </c>
      <c r="G30" s="471">
        <f>365/('Bal Sheet'!G53/(-'Income Statement'!G21/365))</f>
        <v>4.3896583618956297</v>
      </c>
      <c r="H30" s="471">
        <f>365/('Bal Sheet'!H53/(-'Income Statement'!H21/365))</f>
        <v>4.3896583618956297</v>
      </c>
      <c r="I30" s="471">
        <f>365/('Bal Sheet'!I53/(-'Income Statement'!I21/365))</f>
        <v>4.3896583618956297</v>
      </c>
      <c r="J30" s="471">
        <f>365/('Bal Sheet'!J53/(-'Income Statement'!J21/365))</f>
        <v>4.3896583618956297</v>
      </c>
      <c r="K30" s="471">
        <f>365/('Bal Sheet'!K53/(-'Income Statement'!K21/365))</f>
        <v>4.3896583618956289</v>
      </c>
      <c r="L30" s="471">
        <f>365/('Bal Sheet'!L53/(-'Income Statement'!L21/365))</f>
        <v>4.3896583618956297</v>
      </c>
      <c r="M30" s="467" t="s">
        <v>671</v>
      </c>
      <c r="N30" t="s">
        <v>669</v>
      </c>
    </row>
    <row r="31" spans="1:15" x14ac:dyDescent="0.35">
      <c r="A31" s="467" t="s">
        <v>500</v>
      </c>
      <c r="B31" s="216"/>
      <c r="C31" s="471"/>
      <c r="D31" s="471"/>
      <c r="E31" s="471"/>
      <c r="F31" s="471"/>
      <c r="G31" s="471"/>
      <c r="H31" s="471"/>
      <c r="I31" s="471"/>
      <c r="J31" s="471"/>
      <c r="K31" s="471"/>
      <c r="L31" s="471"/>
      <c r="M31" s="467" t="s">
        <v>501</v>
      </c>
      <c r="N31" t="s">
        <v>669</v>
      </c>
    </row>
    <row r="32" spans="1:15" x14ac:dyDescent="0.35">
      <c r="A32" s="467" t="s">
        <v>502</v>
      </c>
      <c r="B32" s="216"/>
      <c r="C32" s="471"/>
      <c r="D32" s="471"/>
      <c r="E32" s="471"/>
      <c r="F32" s="471"/>
      <c r="G32" s="471"/>
      <c r="H32" s="471"/>
      <c r="I32" s="471"/>
      <c r="J32" s="471"/>
      <c r="K32" s="471"/>
      <c r="L32" s="471"/>
      <c r="M32" s="467" t="s">
        <v>503</v>
      </c>
      <c r="N32" t="s">
        <v>670</v>
      </c>
    </row>
    <row r="33" spans="1:13" x14ac:dyDescent="0.35">
      <c r="A33" s="467"/>
      <c r="B33" s="216"/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467"/>
    </row>
    <row r="34" spans="1:13" x14ac:dyDescent="0.35">
      <c r="A34" s="464" t="s">
        <v>498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467"/>
    </row>
    <row r="35" spans="1:13" x14ac:dyDescent="0.35">
      <c r="A35" s="467" t="s">
        <v>504</v>
      </c>
      <c r="B35" s="216"/>
      <c r="C35" s="471"/>
      <c r="D35" s="471"/>
      <c r="E35" s="471"/>
      <c r="F35" s="471"/>
      <c r="G35" s="471"/>
      <c r="H35" s="471"/>
      <c r="I35" s="471"/>
      <c r="J35" s="471"/>
      <c r="K35" s="471"/>
      <c r="L35" s="471"/>
      <c r="M35" s="467" t="s">
        <v>505</v>
      </c>
    </row>
    <row r="36" spans="1:13" ht="29" x14ac:dyDescent="0.35">
      <c r="A36" s="467" t="s">
        <v>506</v>
      </c>
      <c r="B36" s="216"/>
      <c r="C36" s="471"/>
      <c r="D36" s="471"/>
      <c r="E36" s="471"/>
      <c r="F36" s="471"/>
      <c r="G36" s="471"/>
      <c r="H36" s="471"/>
      <c r="I36" s="471"/>
      <c r="J36" s="471"/>
      <c r="K36" s="471"/>
      <c r="L36" s="471"/>
      <c r="M36" s="467" t="s">
        <v>507</v>
      </c>
    </row>
    <row r="37" spans="1:13" x14ac:dyDescent="0.35">
      <c r="A37" s="467" t="s">
        <v>508</v>
      </c>
      <c r="B37" s="216"/>
      <c r="C37" s="471"/>
      <c r="D37" s="471"/>
      <c r="E37" s="471"/>
      <c r="F37" s="471"/>
      <c r="G37" s="471"/>
      <c r="H37" s="471"/>
      <c r="I37" s="471"/>
      <c r="J37" s="471"/>
      <c r="K37" s="471"/>
      <c r="L37" s="471"/>
      <c r="M37" s="467" t="s">
        <v>509</v>
      </c>
    </row>
  </sheetData>
  <conditionalFormatting sqref="D4">
    <cfRule type="expression" dxfId="18" priority="1">
      <formula>"="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051-7FFA-4FBE-9ECE-5715F53FBDD2}">
  <dimension ref="A1:L51"/>
  <sheetViews>
    <sheetView showGridLines="0" topLeftCell="A6" zoomScale="96" zoomScaleNormal="96" workbookViewId="0">
      <selection activeCell="H17" sqref="H17"/>
    </sheetView>
  </sheetViews>
  <sheetFormatPr defaultRowHeight="14.5" x14ac:dyDescent="0.35"/>
  <cols>
    <col min="1" max="1" width="36.6328125" customWidth="1"/>
    <col min="2" max="2" width="1.1796875" customWidth="1"/>
    <col min="3" max="3" width="10.90625" bestFit="1" customWidth="1"/>
    <col min="7" max="12" width="9.1796875" bestFit="1" customWidth="1"/>
  </cols>
  <sheetData>
    <row r="1" spans="1:12" s="17" customFormat="1" x14ac:dyDescent="0.35">
      <c r="A1" s="82"/>
      <c r="B1" s="83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2" s="20" customFormat="1" x14ac:dyDescent="0.35">
      <c r="A2" s="85" t="s">
        <v>80</v>
      </c>
      <c r="B2" s="86"/>
      <c r="C2" s="87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x14ac:dyDescent="0.35">
      <c r="A3" s="1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x14ac:dyDescent="0.35">
      <c r="A4" s="21" t="s">
        <v>400</v>
      </c>
      <c r="B4" s="18"/>
      <c r="C4" s="19"/>
      <c r="D4" s="22"/>
      <c r="E4" s="19"/>
      <c r="F4" s="19"/>
      <c r="G4" s="19"/>
      <c r="H4" s="19"/>
      <c r="I4" s="19"/>
      <c r="J4" s="19"/>
      <c r="K4" s="19"/>
      <c r="L4" s="19"/>
    </row>
    <row r="5" spans="1:12" s="20" customFormat="1" x14ac:dyDescent="0.35">
      <c r="A5" s="18" t="s">
        <v>82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0" customFormat="1" x14ac:dyDescent="0.35">
      <c r="A6" s="18" t="s">
        <v>83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s="17" customFormat="1" x14ac:dyDescent="0.35">
      <c r="A7" s="78" t="s">
        <v>84</v>
      </c>
      <c r="B7" s="79"/>
      <c r="C7" s="80">
        <v>2019</v>
      </c>
      <c r="D7" s="80">
        <f>C7+1</f>
        <v>2020</v>
      </c>
      <c r="E7" s="80">
        <f t="shared" ref="E7:G7" si="0">D7+1</f>
        <v>2021</v>
      </c>
      <c r="F7" s="80">
        <f t="shared" si="0"/>
        <v>2022</v>
      </c>
      <c r="G7" s="80">
        <f t="shared" si="0"/>
        <v>2023</v>
      </c>
      <c r="H7" s="81">
        <v>2024</v>
      </c>
      <c r="I7" s="81">
        <f>H7+1</f>
        <v>2025</v>
      </c>
      <c r="J7" s="81">
        <f t="shared" ref="J7:L7" si="1">I7+1</f>
        <v>2026</v>
      </c>
      <c r="K7" s="81">
        <f t="shared" si="1"/>
        <v>2027</v>
      </c>
      <c r="L7" s="81">
        <f t="shared" si="1"/>
        <v>2028</v>
      </c>
    </row>
    <row r="9" spans="1:12" x14ac:dyDescent="0.35">
      <c r="A9" t="s">
        <v>198</v>
      </c>
      <c r="C9" s="155">
        <f>'Income Statement'!C14</f>
        <v>104720.68</v>
      </c>
      <c r="D9" s="155">
        <f>'Income Statement'!D14</f>
        <v>75381.929999999993</v>
      </c>
      <c r="E9" s="155">
        <f>'Income Statement'!E14</f>
        <v>74277.78</v>
      </c>
      <c r="F9" s="155">
        <f>'Income Statement'!F14</f>
        <v>90170.57</v>
      </c>
      <c r="G9" s="155">
        <f>'Income Statement'!G14</f>
        <v>121268.55</v>
      </c>
      <c r="H9" s="155">
        <f>'Income Statement'!H14</f>
        <v>130361.80518885751</v>
      </c>
      <c r="I9" s="155">
        <f>'Income Statement'!I14</f>
        <v>140152.27390281326</v>
      </c>
      <c r="J9" s="155">
        <f>'Income Statement'!J14</f>
        <v>150694.69095742426</v>
      </c>
      <c r="K9" s="155">
        <f>'Income Statement'!K14</f>
        <v>162048.19559313048</v>
      </c>
      <c r="L9" s="155">
        <f>'Income Statement'!L14</f>
        <v>174276.69497343351</v>
      </c>
    </row>
    <row r="10" spans="1:12" x14ac:dyDescent="0.35"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9" t="s">
        <v>393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347" t="s">
        <v>166</v>
      </c>
      <c r="C12" s="155">
        <f>'Bal Sheet'!C45</f>
        <v>1369.94</v>
      </c>
      <c r="D12" s="155">
        <f>'Bal Sheet'!D45</f>
        <v>1685.38</v>
      </c>
      <c r="E12" s="155">
        <f>'Bal Sheet'!E45</f>
        <v>6489.62</v>
      </c>
      <c r="F12" s="155">
        <f>'Bal Sheet'!F45</f>
        <v>6060.85</v>
      </c>
      <c r="G12" s="155">
        <f>'Bal Sheet'!G45</f>
        <v>6625.93</v>
      </c>
      <c r="H12" s="3">
        <f>H$9*H28</f>
        <v>7122.7716984742274</v>
      </c>
      <c r="I12" s="3">
        <f t="shared" ref="I12:L12" si="2">I$9*I28</f>
        <v>7657.7080885428877</v>
      </c>
      <c r="J12" s="3">
        <f t="shared" si="2"/>
        <v>8233.7297976724076</v>
      </c>
      <c r="K12" s="3">
        <f t="shared" si="2"/>
        <v>8854.0681044375578</v>
      </c>
      <c r="L12" s="3">
        <f t="shared" si="2"/>
        <v>9522.2147995116811</v>
      </c>
    </row>
    <row r="13" spans="1:12" x14ac:dyDescent="0.35">
      <c r="A13" s="347" t="s">
        <v>28</v>
      </c>
      <c r="C13" s="155">
        <f>'Bal Sheet'!C46</f>
        <v>1502.91</v>
      </c>
      <c r="D13" s="155">
        <f>'Bal Sheet'!D46</f>
        <v>1290.53</v>
      </c>
      <c r="E13" s="155">
        <f>'Bal Sheet'!E46</f>
        <v>1717.32</v>
      </c>
      <c r="F13" s="155">
        <f>'Bal Sheet'!F46</f>
        <v>1724.31</v>
      </c>
      <c r="G13" s="155">
        <f>'Bal Sheet'!G46</f>
        <v>1615.46</v>
      </c>
      <c r="H13" s="3">
        <f t="shared" ref="H13:L13" si="3">H$9*H29</f>
        <v>1736.5943751318191</v>
      </c>
      <c r="I13" s="3">
        <f t="shared" si="3"/>
        <v>1867.0165710651172</v>
      </c>
      <c r="J13" s="3">
        <f t="shared" si="3"/>
        <v>2007.4557290746909</v>
      </c>
      <c r="K13" s="3">
        <f t="shared" si="3"/>
        <v>2158.6996632917485</v>
      </c>
      <c r="L13" s="3">
        <f t="shared" si="3"/>
        <v>2321.5997029879791</v>
      </c>
    </row>
    <row r="14" spans="1:12" x14ac:dyDescent="0.35">
      <c r="A14" s="347" t="s">
        <v>167</v>
      </c>
      <c r="C14" s="155">
        <f>'Bal Sheet'!C47</f>
        <v>40515</v>
      </c>
      <c r="D14" s="155">
        <f>'Bal Sheet'!D47</f>
        <v>45945.23</v>
      </c>
      <c r="E14" s="155">
        <f>'Bal Sheet'!E47</f>
        <v>38525.68</v>
      </c>
      <c r="F14" s="155">
        <f>'Bal Sheet'!F47</f>
        <v>38849.4</v>
      </c>
      <c r="G14" s="155">
        <f>'Bal Sheet'!G47</f>
        <v>52772.75</v>
      </c>
      <c r="H14" s="3">
        <f t="shared" ref="H14:L14" si="4">H$9*H30</f>
        <v>56729.885487872001</v>
      </c>
      <c r="I14" s="3">
        <f t="shared" si="4"/>
        <v>60990.429197056357</v>
      </c>
      <c r="J14" s="3">
        <f t="shared" si="4"/>
        <v>65578.200219458478</v>
      </c>
      <c r="K14" s="3">
        <f t="shared" si="4"/>
        <v>70518.934332004268</v>
      </c>
      <c r="L14" s="3">
        <f t="shared" si="4"/>
        <v>75840.442181087041</v>
      </c>
    </row>
    <row r="15" spans="1:12" x14ac:dyDescent="0.35">
      <c r="A15" s="347" t="s">
        <v>30</v>
      </c>
      <c r="C15" s="155">
        <f>'Bal Sheet'!C48</f>
        <v>6064.16</v>
      </c>
      <c r="D15" s="155">
        <f>'Bal Sheet'!D48</f>
        <v>6264.9400000000005</v>
      </c>
      <c r="E15" s="155">
        <f>'Bal Sheet'!E48</f>
        <v>6083.4500000000007</v>
      </c>
      <c r="F15" s="155">
        <f>'Bal Sheet'!F48</f>
        <v>6459.24</v>
      </c>
      <c r="G15" s="155">
        <f>'Bal Sheet'!G48</f>
        <v>8063.0599999999995</v>
      </c>
      <c r="H15" s="3">
        <f t="shared" ref="H15:L15" si="5">H$9*H31</f>
        <v>8667.664097130455</v>
      </c>
      <c r="I15" s="3">
        <f t="shared" si="5"/>
        <v>9318.6254277371791</v>
      </c>
      <c r="J15" s="3">
        <f t="shared" si="5"/>
        <v>10019.583270940151</v>
      </c>
      <c r="K15" s="3">
        <f t="shared" si="5"/>
        <v>10774.469752950346</v>
      </c>
      <c r="L15" s="3">
        <f t="shared" si="5"/>
        <v>11587.534015806183</v>
      </c>
    </row>
    <row r="16" spans="1:12" x14ac:dyDescent="0.35">
      <c r="A16" s="116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9" t="s">
        <v>394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339" t="s">
        <v>397</v>
      </c>
      <c r="C18" s="155">
        <f>'Bal Sheet'!C20</f>
        <v>2171.31</v>
      </c>
      <c r="D18" s="155">
        <f>'Bal Sheet'!D20</f>
        <v>1511.89</v>
      </c>
      <c r="E18" s="155">
        <f>'Bal Sheet'!E20</f>
        <v>1494.16</v>
      </c>
      <c r="F18" s="155">
        <f>'Bal Sheet'!F20</f>
        <v>1786.1</v>
      </c>
      <c r="G18" s="155">
        <f>'Bal Sheet'!G20</f>
        <v>1608.64</v>
      </c>
      <c r="H18" s="3">
        <f t="shared" ref="H18:L18" si="6">H$9*H34</f>
        <v>1729.2629812016698</v>
      </c>
      <c r="I18" s="3">
        <f t="shared" si="6"/>
        <v>1859.1345727397709</v>
      </c>
      <c r="J18" s="3">
        <f t="shared" si="6"/>
        <v>1998.9808376677297</v>
      </c>
      <c r="K18" s="3">
        <f t="shared" si="6"/>
        <v>2149.5862641957328</v>
      </c>
      <c r="L18" s="3">
        <f t="shared" si="6"/>
        <v>2311.7985875320855</v>
      </c>
    </row>
    <row r="19" spans="1:12" x14ac:dyDescent="0.35">
      <c r="A19" s="339" t="s">
        <v>395</v>
      </c>
      <c r="C19" s="155">
        <f>'Bal Sheet'!C21</f>
        <v>6506.14</v>
      </c>
      <c r="D19" s="155">
        <f>'Bal Sheet'!D21</f>
        <v>7142.02</v>
      </c>
      <c r="E19" s="155">
        <f>'Bal Sheet'!E21</f>
        <v>6362.65</v>
      </c>
      <c r="F19" s="155">
        <f>'Bal Sheet'!F21</f>
        <v>6657.51</v>
      </c>
      <c r="G19" s="155">
        <f>'Bal Sheet'!G21</f>
        <v>6895.7699999999995</v>
      </c>
      <c r="H19" s="3">
        <f t="shared" ref="H19:L19" si="7">H$9*H35</f>
        <v>7412.8455017163797</v>
      </c>
      <c r="I19" s="3">
        <f t="shared" si="7"/>
        <v>7969.5670955973546</v>
      </c>
      <c r="J19" s="3">
        <f t="shared" si="7"/>
        <v>8569.0472019619046</v>
      </c>
      <c r="K19" s="3">
        <f t="shared" si="7"/>
        <v>9214.6486927174556</v>
      </c>
      <c r="L19" s="3">
        <f t="shared" si="7"/>
        <v>9910.0055611859261</v>
      </c>
    </row>
    <row r="20" spans="1:12" x14ac:dyDescent="0.35">
      <c r="A20" s="339" t="s">
        <v>396</v>
      </c>
      <c r="C20" s="155">
        <f>'Bal Sheet'!C22</f>
        <v>4100.6400000000003</v>
      </c>
      <c r="D20" s="155">
        <f>'Bal Sheet'!D22</f>
        <v>4384.13</v>
      </c>
      <c r="E20" s="155">
        <f>'Bal Sheet'!E22</f>
        <v>1600.88</v>
      </c>
      <c r="F20" s="155">
        <f>'Bal Sheet'!F22</f>
        <v>1497.99</v>
      </c>
      <c r="G20" s="155">
        <f>'Bal Sheet'!G22</f>
        <v>1815.95</v>
      </c>
      <c r="H20" s="3">
        <f t="shared" ref="H20:L20" si="8">H$9*H36</f>
        <v>1952.1180069581585</v>
      </c>
      <c r="I20" s="3">
        <f t="shared" si="8"/>
        <v>2098.72651890217</v>
      </c>
      <c r="J20" s="3">
        <f t="shared" si="8"/>
        <v>2256.5951686907656</v>
      </c>
      <c r="K20" s="3">
        <f t="shared" si="8"/>
        <v>2426.6095437551226</v>
      </c>
      <c r="L20" s="3">
        <f t="shared" si="8"/>
        <v>2609.7266293445955</v>
      </c>
    </row>
    <row r="21" spans="1:12" x14ac:dyDescent="0.35"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5">
      <c r="A22" s="348" t="s">
        <v>398</v>
      </c>
      <c r="B22" s="349"/>
      <c r="C22" s="350">
        <f>SUM(C12:C15)-SUM(C18:C20)</f>
        <v>36673.919999999998</v>
      </c>
      <c r="D22" s="350">
        <f t="shared" ref="D22:L22" si="9">SUM(D12:D15)-SUM(D18:D20)</f>
        <v>42148.04</v>
      </c>
      <c r="E22" s="350">
        <f t="shared" si="9"/>
        <v>43358.380000000005</v>
      </c>
      <c r="F22" s="350">
        <f t="shared" si="9"/>
        <v>43152.2</v>
      </c>
      <c r="G22" s="350">
        <f t="shared" si="9"/>
        <v>58756.84</v>
      </c>
      <c r="H22" s="350">
        <f t="shared" si="9"/>
        <v>63162.689168732293</v>
      </c>
      <c r="I22" s="350">
        <f t="shared" si="9"/>
        <v>67906.351097162231</v>
      </c>
      <c r="J22" s="350">
        <f t="shared" si="9"/>
        <v>73014.34580882531</v>
      </c>
      <c r="K22" s="350">
        <f t="shared" si="9"/>
        <v>78515.327352015622</v>
      </c>
      <c r="L22" s="350">
        <f t="shared" si="9"/>
        <v>84440.259921330289</v>
      </c>
    </row>
    <row r="23" spans="1:12" x14ac:dyDescent="0.35"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5">
      <c r="A24" s="351" t="s">
        <v>399</v>
      </c>
      <c r="B24" s="352"/>
      <c r="C24" s="353"/>
      <c r="D24" s="353">
        <f>C22-D22</f>
        <v>-5474.1200000000026</v>
      </c>
      <c r="E24" s="353">
        <f t="shared" ref="E24:L24" si="10">D22-E22</f>
        <v>-1210.3400000000038</v>
      </c>
      <c r="F24" s="353">
        <f t="shared" si="10"/>
        <v>206.18000000000757</v>
      </c>
      <c r="G24" s="353">
        <f t="shared" si="10"/>
        <v>-15604.64</v>
      </c>
      <c r="H24" s="353">
        <f t="shared" si="10"/>
        <v>-4405.8491687322967</v>
      </c>
      <c r="I24" s="353">
        <f t="shared" si="10"/>
        <v>-4743.6619284299377</v>
      </c>
      <c r="J24" s="353">
        <f t="shared" si="10"/>
        <v>-5107.9947116630792</v>
      </c>
      <c r="K24" s="353">
        <f t="shared" si="10"/>
        <v>-5500.9815431903116</v>
      </c>
      <c r="L24" s="353">
        <f t="shared" si="10"/>
        <v>-5924.9325693146675</v>
      </c>
    </row>
    <row r="25" spans="1:12" x14ac:dyDescent="0.35"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5">
      <c r="A26" s="1" t="s">
        <v>401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5">
      <c r="A27" s="1" t="s">
        <v>393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5">
      <c r="A28" s="354" t="s">
        <v>166</v>
      </c>
      <c r="C28" s="296">
        <f>C12/C$9</f>
        <v>1.3081847826045439E-2</v>
      </c>
      <c r="D28" s="296">
        <f t="shared" ref="D28:G28" si="11">D12/D$9</f>
        <v>2.2357878075024085E-2</v>
      </c>
      <c r="E28" s="296">
        <f t="shared" si="11"/>
        <v>8.7369600976227341E-2</v>
      </c>
      <c r="F28" s="296">
        <f t="shared" si="11"/>
        <v>6.7215389677585488E-2</v>
      </c>
      <c r="G28" s="296">
        <f t="shared" si="11"/>
        <v>5.4638486235714046E-2</v>
      </c>
      <c r="H28" s="324">
        <f>G28</f>
        <v>5.4638486235714046E-2</v>
      </c>
      <c r="I28" s="324">
        <f t="shared" ref="I28:L28" si="12">H28</f>
        <v>5.4638486235714046E-2</v>
      </c>
      <c r="J28" s="324">
        <f t="shared" si="12"/>
        <v>5.4638486235714046E-2</v>
      </c>
      <c r="K28" s="324">
        <f t="shared" si="12"/>
        <v>5.4638486235714046E-2</v>
      </c>
      <c r="L28" s="324">
        <f t="shared" si="12"/>
        <v>5.4638486235714046E-2</v>
      </c>
    </row>
    <row r="29" spans="1:12" x14ac:dyDescent="0.35">
      <c r="A29" s="354" t="s">
        <v>28</v>
      </c>
      <c r="C29" s="296">
        <f t="shared" ref="C29:G29" si="13">C13/C$9</f>
        <v>1.4351606578566909E-2</v>
      </c>
      <c r="D29" s="296">
        <f t="shared" si="13"/>
        <v>1.7119885362446942E-2</v>
      </c>
      <c r="E29" s="296">
        <f t="shared" si="13"/>
        <v>2.3120238650105051E-2</v>
      </c>
      <c r="F29" s="296">
        <f t="shared" si="13"/>
        <v>1.912275812385349E-2</v>
      </c>
      <c r="G29" s="296">
        <f t="shared" si="13"/>
        <v>1.3321343415089898E-2</v>
      </c>
      <c r="H29" s="324">
        <f t="shared" ref="H29:L29" si="14">G29</f>
        <v>1.3321343415089898E-2</v>
      </c>
      <c r="I29" s="324">
        <f t="shared" si="14"/>
        <v>1.3321343415089898E-2</v>
      </c>
      <c r="J29" s="324">
        <f t="shared" si="14"/>
        <v>1.3321343415089898E-2</v>
      </c>
      <c r="K29" s="324">
        <f t="shared" si="14"/>
        <v>1.3321343415089898E-2</v>
      </c>
      <c r="L29" s="324">
        <f t="shared" si="14"/>
        <v>1.3321343415089898E-2</v>
      </c>
    </row>
    <row r="30" spans="1:12" x14ac:dyDescent="0.35">
      <c r="A30" s="354" t="s">
        <v>167</v>
      </c>
      <c r="C30" s="296">
        <f t="shared" ref="C30:G30" si="15">C14/C$9</f>
        <v>0.38688633419874663</v>
      </c>
      <c r="D30" s="296">
        <f t="shared" si="15"/>
        <v>0.60949925267235805</v>
      </c>
      <c r="E30" s="296">
        <f t="shared" si="15"/>
        <v>0.51867032105698363</v>
      </c>
      <c r="F30" s="296">
        <f t="shared" si="15"/>
        <v>0.430843455908064</v>
      </c>
      <c r="G30" s="296">
        <f t="shared" si="15"/>
        <v>0.4351725983365019</v>
      </c>
      <c r="H30" s="324">
        <f t="shared" ref="H30:L30" si="16">G30</f>
        <v>0.4351725983365019</v>
      </c>
      <c r="I30" s="324">
        <f t="shared" si="16"/>
        <v>0.4351725983365019</v>
      </c>
      <c r="J30" s="324">
        <f t="shared" si="16"/>
        <v>0.4351725983365019</v>
      </c>
      <c r="K30" s="324">
        <f t="shared" si="16"/>
        <v>0.4351725983365019</v>
      </c>
      <c r="L30" s="324">
        <f t="shared" si="16"/>
        <v>0.4351725983365019</v>
      </c>
    </row>
    <row r="31" spans="1:12" x14ac:dyDescent="0.35">
      <c r="A31" s="354" t="s">
        <v>30</v>
      </c>
      <c r="C31" s="296">
        <f t="shared" ref="C31:G31" si="17">C15/C$9</f>
        <v>5.7907950941495034E-2</v>
      </c>
      <c r="D31" s="296">
        <f t="shared" si="17"/>
        <v>8.3109307495841528E-2</v>
      </c>
      <c r="E31" s="296">
        <f t="shared" si="17"/>
        <v>8.1901343847379404E-2</v>
      </c>
      <c r="F31" s="296">
        <f t="shared" si="17"/>
        <v>7.1633571796207995E-2</v>
      </c>
      <c r="G31" s="296">
        <f t="shared" si="17"/>
        <v>6.6489291741345963E-2</v>
      </c>
      <c r="H31" s="324">
        <f t="shared" ref="H31:L31" si="18">G31</f>
        <v>6.6489291741345963E-2</v>
      </c>
      <c r="I31" s="324">
        <f t="shared" si="18"/>
        <v>6.6489291741345963E-2</v>
      </c>
      <c r="J31" s="324">
        <f t="shared" si="18"/>
        <v>6.6489291741345963E-2</v>
      </c>
      <c r="K31" s="324">
        <f t="shared" si="18"/>
        <v>6.6489291741345963E-2</v>
      </c>
      <c r="L31" s="324">
        <f t="shared" si="18"/>
        <v>6.6489291741345963E-2</v>
      </c>
    </row>
    <row r="32" spans="1:12" x14ac:dyDescent="0.35">
      <c r="A32" s="355"/>
      <c r="C32" s="296"/>
      <c r="D32" s="296"/>
      <c r="E32" s="296"/>
      <c r="F32" s="296"/>
      <c r="G32" s="296"/>
      <c r="H32" s="324"/>
      <c r="I32" s="324"/>
      <c r="J32" s="324"/>
      <c r="K32" s="324"/>
      <c r="L32" s="324"/>
    </row>
    <row r="33" spans="1:12" x14ac:dyDescent="0.35">
      <c r="A33" s="1" t="s">
        <v>394</v>
      </c>
      <c r="C33" s="296"/>
      <c r="D33" s="296"/>
      <c r="E33" s="296"/>
      <c r="F33" s="296"/>
      <c r="G33" s="296"/>
      <c r="H33" s="324"/>
      <c r="I33" s="324"/>
      <c r="J33" s="324"/>
      <c r="K33" s="324"/>
      <c r="L33" s="324"/>
    </row>
    <row r="34" spans="1:12" x14ac:dyDescent="0.35">
      <c r="A34" s="356" t="s">
        <v>397</v>
      </c>
      <c r="C34" s="296">
        <f t="shared" ref="C34:G34" si="19">C18/C$9</f>
        <v>2.0734300044652116E-2</v>
      </c>
      <c r="D34" s="296">
        <f t="shared" si="19"/>
        <v>2.0056398131488545E-2</v>
      </c>
      <c r="E34" s="296">
        <f t="shared" si="19"/>
        <v>2.0115840834230642E-2</v>
      </c>
      <c r="F34" s="296">
        <f t="shared" si="19"/>
        <v>1.980801496541499E-2</v>
      </c>
      <c r="G34" s="296">
        <f t="shared" si="19"/>
        <v>1.3265104596368968E-2</v>
      </c>
      <c r="H34" s="324">
        <f t="shared" ref="H34:L34" si="20">G34</f>
        <v>1.3265104596368968E-2</v>
      </c>
      <c r="I34" s="324">
        <f t="shared" si="20"/>
        <v>1.3265104596368968E-2</v>
      </c>
      <c r="J34" s="324">
        <f t="shared" si="20"/>
        <v>1.3265104596368968E-2</v>
      </c>
      <c r="K34" s="324">
        <f t="shared" si="20"/>
        <v>1.3265104596368968E-2</v>
      </c>
      <c r="L34" s="324">
        <f t="shared" si="20"/>
        <v>1.3265104596368968E-2</v>
      </c>
    </row>
    <row r="35" spans="1:12" x14ac:dyDescent="0.35">
      <c r="A35" s="356" t="s">
        <v>395</v>
      </c>
      <c r="C35" s="296">
        <f t="shared" ref="C35:G35" si="21">C19/C$9</f>
        <v>6.212851177055001E-2</v>
      </c>
      <c r="D35" s="296">
        <f t="shared" si="21"/>
        <v>9.4744456662226625E-2</v>
      </c>
      <c r="E35" s="296">
        <f t="shared" si="21"/>
        <v>8.5660206861325153E-2</v>
      </c>
      <c r="F35" s="296">
        <f t="shared" si="21"/>
        <v>7.383240451956774E-2</v>
      </c>
      <c r="G35" s="296">
        <f t="shared" si="21"/>
        <v>5.6863630347687009E-2</v>
      </c>
      <c r="H35" s="324">
        <f t="shared" ref="H35:L35" si="22">G35</f>
        <v>5.6863630347687009E-2</v>
      </c>
      <c r="I35" s="324">
        <f t="shared" si="22"/>
        <v>5.6863630347687009E-2</v>
      </c>
      <c r="J35" s="324">
        <f t="shared" si="22"/>
        <v>5.6863630347687009E-2</v>
      </c>
      <c r="K35" s="324">
        <f t="shared" si="22"/>
        <v>5.6863630347687009E-2</v>
      </c>
      <c r="L35" s="324">
        <f t="shared" si="22"/>
        <v>5.6863630347687009E-2</v>
      </c>
    </row>
    <row r="36" spans="1:12" x14ac:dyDescent="0.35">
      <c r="A36" s="356" t="s">
        <v>396</v>
      </c>
      <c r="C36" s="296">
        <f t="shared" ref="C36:G36" si="23">C20/C$9</f>
        <v>3.9157881709706244E-2</v>
      </c>
      <c r="D36" s="296">
        <f t="shared" si="23"/>
        <v>5.8158898292999403E-2</v>
      </c>
      <c r="E36" s="296">
        <f t="shared" si="23"/>
        <v>2.1552609676810483E-2</v>
      </c>
      <c r="F36" s="296">
        <f t="shared" si="23"/>
        <v>1.6612848294071999E-2</v>
      </c>
      <c r="G36" s="296">
        <f t="shared" si="23"/>
        <v>1.497461625458538E-2</v>
      </c>
      <c r="H36" s="324">
        <f t="shared" ref="H36:L36" si="24">G36</f>
        <v>1.497461625458538E-2</v>
      </c>
      <c r="I36" s="324">
        <f t="shared" si="24"/>
        <v>1.497461625458538E-2</v>
      </c>
      <c r="J36" s="324">
        <f t="shared" si="24"/>
        <v>1.497461625458538E-2</v>
      </c>
      <c r="K36" s="324">
        <f t="shared" si="24"/>
        <v>1.497461625458538E-2</v>
      </c>
      <c r="L36" s="324">
        <f t="shared" si="24"/>
        <v>1.497461625458538E-2</v>
      </c>
    </row>
    <row r="37" spans="1:12" x14ac:dyDescent="0.35">
      <c r="A37" s="1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5">
      <c r="A38" s="1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5">
      <c r="A39" s="1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5">
      <c r="A40" s="1"/>
    </row>
    <row r="41" spans="1:12" x14ac:dyDescent="0.35">
      <c r="A41" s="1"/>
    </row>
    <row r="42" spans="1:12" x14ac:dyDescent="0.35">
      <c r="A42" s="1"/>
    </row>
    <row r="43" spans="1:12" x14ac:dyDescent="0.35">
      <c r="A43" s="1"/>
    </row>
    <row r="44" spans="1:12" x14ac:dyDescent="0.35">
      <c r="A44" s="1"/>
    </row>
    <row r="45" spans="1:12" x14ac:dyDescent="0.35">
      <c r="A45" s="1"/>
    </row>
    <row r="46" spans="1:12" x14ac:dyDescent="0.35">
      <c r="A46" s="1"/>
    </row>
    <row r="47" spans="1:12" x14ac:dyDescent="0.35">
      <c r="A47" s="1"/>
    </row>
    <row r="48" spans="1:12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</sheetData>
  <conditionalFormatting sqref="A12:A16">
    <cfRule type="expression" dxfId="17" priority="5">
      <formula>"="</formula>
    </cfRule>
    <cfRule type="expression" dxfId="16" priority="6">
      <formula>"="</formula>
    </cfRule>
  </conditionalFormatting>
  <conditionalFormatting sqref="A18:A20 A22 A24">
    <cfRule type="expression" dxfId="15" priority="4">
      <formula>"="</formula>
    </cfRule>
  </conditionalFormatting>
  <conditionalFormatting sqref="A28:A32">
    <cfRule type="expression" dxfId="14" priority="2">
      <formula>"="</formula>
    </cfRule>
    <cfRule type="expression" dxfId="13" priority="3">
      <formula>"="</formula>
    </cfRule>
  </conditionalFormatting>
  <conditionalFormatting sqref="A34:A36">
    <cfRule type="expression" dxfId="12" priority="1">
      <formula>"="</formula>
    </cfRule>
  </conditionalFormatting>
  <conditionalFormatting sqref="D4">
    <cfRule type="expression" dxfId="11" priority="7">
      <formula>"="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FD45-87F5-4F3F-B4EE-518C9BFE419E}">
  <dimension ref="A1:S38"/>
  <sheetViews>
    <sheetView zoomScale="91" zoomScaleNormal="91" workbookViewId="0">
      <selection activeCell="H32" sqref="H32"/>
    </sheetView>
  </sheetViews>
  <sheetFormatPr defaultColWidth="9.08984375" defaultRowHeight="14.5" x14ac:dyDescent="0.35"/>
  <cols>
    <col min="1" max="1" width="37.81640625" style="88" customWidth="1"/>
    <col min="2" max="2" width="1.36328125" style="88" hidden="1" customWidth="1"/>
    <col min="3" max="3" width="11.36328125" style="88" bestFit="1" customWidth="1"/>
    <col min="4" max="7" width="11.6328125" style="88" bestFit="1" customWidth="1"/>
    <col min="8" max="8" width="11.6328125" style="88" customWidth="1"/>
    <col min="9" max="9" width="10.90625" style="88" customWidth="1"/>
    <col min="10" max="11" width="9.6328125" style="88" bestFit="1" customWidth="1"/>
    <col min="12" max="12" width="11.36328125" style="88" bestFit="1" customWidth="1"/>
    <col min="13" max="14" width="9.08984375" style="88"/>
    <col min="15" max="15" width="20.1796875" style="88" customWidth="1"/>
    <col min="16" max="16384" width="9.08984375" style="88"/>
  </cols>
  <sheetData>
    <row r="1" spans="1:19" s="17" customFormat="1" x14ac:dyDescent="0.35">
      <c r="A1" s="82"/>
      <c r="B1" s="83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9" s="20" customFormat="1" x14ac:dyDescent="0.35">
      <c r="A2" s="85" t="s">
        <v>80</v>
      </c>
      <c r="B2" s="86"/>
      <c r="C2" s="87"/>
      <c r="D2" s="19"/>
      <c r="E2" s="19"/>
      <c r="F2" s="19"/>
      <c r="G2" s="19"/>
      <c r="H2" s="19"/>
      <c r="I2" s="19"/>
      <c r="J2" s="19"/>
      <c r="K2" s="19"/>
      <c r="L2" s="19"/>
    </row>
    <row r="3" spans="1:19" s="20" customFormat="1" x14ac:dyDescent="0.35">
      <c r="A3" s="1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9" s="20" customFormat="1" x14ac:dyDescent="0.35">
      <c r="A4" s="21" t="s">
        <v>180</v>
      </c>
      <c r="B4" s="18"/>
      <c r="C4" s="19"/>
      <c r="D4" s="22"/>
      <c r="E4" s="19"/>
      <c r="F4" s="19"/>
      <c r="G4" s="19"/>
      <c r="H4" s="19"/>
      <c r="I4" s="19"/>
      <c r="J4" s="19"/>
      <c r="K4" s="19"/>
      <c r="L4" s="19"/>
    </row>
    <row r="5" spans="1:19" s="20" customFormat="1" x14ac:dyDescent="0.35">
      <c r="A5" s="18" t="s">
        <v>82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9" s="20" customFormat="1" x14ac:dyDescent="0.35">
      <c r="A6" s="18" t="s">
        <v>83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9" s="17" customFormat="1" x14ac:dyDescent="0.35">
      <c r="A7" s="78" t="s">
        <v>84</v>
      </c>
      <c r="B7" s="79"/>
      <c r="C7" s="80">
        <v>2019</v>
      </c>
      <c r="D7" s="80">
        <f>C7+1</f>
        <v>2020</v>
      </c>
      <c r="E7" s="80">
        <f t="shared" ref="E7:G7" si="0">D7+1</f>
        <v>2021</v>
      </c>
      <c r="F7" s="80">
        <f t="shared" si="0"/>
        <v>2022</v>
      </c>
      <c r="G7" s="80">
        <f t="shared" si="0"/>
        <v>2023</v>
      </c>
      <c r="H7" s="81">
        <v>2024</v>
      </c>
      <c r="I7" s="81">
        <f>H7+1</f>
        <v>2025</v>
      </c>
      <c r="J7" s="81">
        <f t="shared" ref="J7:L7" si="1">I7+1</f>
        <v>2026</v>
      </c>
      <c r="K7" s="81">
        <f t="shared" si="1"/>
        <v>2027</v>
      </c>
      <c r="L7" s="81">
        <f t="shared" si="1"/>
        <v>2028</v>
      </c>
    </row>
    <row r="8" spans="1:19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 x14ac:dyDescent="0.35">
      <c r="A9" s="154" t="s">
        <v>181</v>
      </c>
      <c r="B9"/>
      <c r="C9" s="155">
        <f>'Income Statement'!C14</f>
        <v>104720.68</v>
      </c>
      <c r="D9" s="155">
        <f>'Income Statement'!D14</f>
        <v>75381.929999999993</v>
      </c>
      <c r="E9" s="155">
        <f>'Income Statement'!E14</f>
        <v>74277.78</v>
      </c>
      <c r="F9" s="155">
        <f>'Income Statement'!F14</f>
        <v>90170.57</v>
      </c>
      <c r="G9" s="155">
        <f>'Income Statement'!G14</f>
        <v>121268.55</v>
      </c>
      <c r="H9" s="155">
        <f>'Income Statement'!H14</f>
        <v>130361.80518885751</v>
      </c>
      <c r="I9" s="155">
        <f>'Income Statement'!I14</f>
        <v>140152.27390281326</v>
      </c>
      <c r="J9" s="155">
        <f>'Income Statement'!J14</f>
        <v>150694.69095742426</v>
      </c>
      <c r="K9" s="155">
        <f>'Income Statement'!K14</f>
        <v>162048.19559313048</v>
      </c>
      <c r="L9" s="155">
        <f>'Income Statement'!L14</f>
        <v>174276.69497343351</v>
      </c>
      <c r="M9"/>
      <c r="N9"/>
      <c r="O9"/>
      <c r="P9"/>
      <c r="Q9"/>
      <c r="R9"/>
      <c r="S9"/>
    </row>
    <row r="10" spans="1:19" x14ac:dyDescent="0.35">
      <c r="A10" s="154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x14ac:dyDescent="0.35">
      <c r="A11" s="154" t="s">
        <v>182</v>
      </c>
      <c r="B11"/>
      <c r="C11"/>
      <c r="D11" s="42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x14ac:dyDescent="0.35">
      <c r="A12" t="s">
        <v>95</v>
      </c>
      <c r="B12"/>
      <c r="C12" s="155">
        <f>'Income Statement'!C18</f>
        <v>-56120.2</v>
      </c>
      <c r="D12" s="155">
        <f>'Income Statement'!D18</f>
        <v>-32321.8</v>
      </c>
      <c r="E12" s="155">
        <f>'Income Statement'!E18</f>
        <v>-32797.56</v>
      </c>
      <c r="F12" s="155">
        <f>'Income Statement'!F18</f>
        <v>-46265.48</v>
      </c>
      <c r="G12" s="155">
        <f>'Income Statement'!G18</f>
        <v>-68477.97</v>
      </c>
      <c r="H12" s="3">
        <f>H$9*H13</f>
        <v>-64763.723125782075</v>
      </c>
      <c r="I12" s="3">
        <f t="shared" ref="I12:L12" si="2">I$9*I13</f>
        <v>-69627.626353753469</v>
      </c>
      <c r="J12" s="3">
        <f t="shared" si="2"/>
        <v>-74865.097392239113</v>
      </c>
      <c r="K12" s="3">
        <f t="shared" si="2"/>
        <v>-80505.516606048914</v>
      </c>
      <c r="L12" s="3">
        <f t="shared" si="2"/>
        <v>-86580.633063376357</v>
      </c>
      <c r="M12"/>
      <c r="N12"/>
      <c r="O12"/>
      <c r="P12"/>
      <c r="Q12"/>
      <c r="R12"/>
      <c r="S12"/>
    </row>
    <row r="13" spans="1:19" x14ac:dyDescent="0.35">
      <c r="A13" s="156" t="s">
        <v>183</v>
      </c>
      <c r="B13"/>
      <c r="C13" s="157">
        <f>C12/C9</f>
        <v>-0.53590370116007646</v>
      </c>
      <c r="D13" s="157">
        <f t="shared" ref="D13:G13" si="3">D12/D9</f>
        <v>-0.42877384540300312</v>
      </c>
      <c r="E13" s="157">
        <f t="shared" si="3"/>
        <v>-0.44155277661771797</v>
      </c>
      <c r="F13" s="157">
        <f t="shared" si="3"/>
        <v>-0.51308847221438214</v>
      </c>
      <c r="G13" s="157">
        <f t="shared" si="3"/>
        <v>-0.56468037261103554</v>
      </c>
      <c r="H13" s="373">
        <f>AVERAGE(C13:G13)</f>
        <v>-0.49679983360124302</v>
      </c>
      <c r="I13" s="158">
        <f>H13</f>
        <v>-0.49679983360124302</v>
      </c>
      <c r="J13" s="158">
        <f t="shared" ref="J13:L13" si="4">I13</f>
        <v>-0.49679983360124302</v>
      </c>
      <c r="K13" s="158">
        <f t="shared" si="4"/>
        <v>-0.49679983360124302</v>
      </c>
      <c r="L13" s="158">
        <f t="shared" si="4"/>
        <v>-0.49679983360124302</v>
      </c>
      <c r="M13"/>
      <c r="N13"/>
      <c r="O13"/>
      <c r="P13"/>
      <c r="Q13"/>
      <c r="R13"/>
      <c r="S13"/>
    </row>
    <row r="14" spans="1:19" x14ac:dyDescent="0.35">
      <c r="A14" s="156"/>
      <c r="B14"/>
      <c r="C14" s="3"/>
      <c r="D14" s="3"/>
      <c r="E14" s="3"/>
      <c r="F14" s="3"/>
      <c r="G14" s="3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35">
      <c r="A15" s="147" t="s">
        <v>184</v>
      </c>
      <c r="B15"/>
      <c r="C15" s="155">
        <f>'Income Statement'!C19</f>
        <v>-5961.9</v>
      </c>
      <c r="D15" s="155">
        <f>'Income Statement'!D19</f>
        <v>-5273.5</v>
      </c>
      <c r="E15" s="155">
        <f>'Income Statement'!E19</f>
        <v>-5473.64</v>
      </c>
      <c r="F15" s="155">
        <f>'Income Statement'!F19</f>
        <v>-6399.37</v>
      </c>
      <c r="G15" s="155">
        <f>'Income Statement'!G19</f>
        <v>-7541.9</v>
      </c>
      <c r="H15" s="3">
        <f>H$9*H16</f>
        <v>-8701.4249426075457</v>
      </c>
      <c r="I15" s="3">
        <f t="shared" ref="I15" si="5">I$9*I16</f>
        <v>-9354.9217896634436</v>
      </c>
      <c r="J15" s="3">
        <f t="shared" ref="J15" si="6">J$9*J16</f>
        <v>-10058.609887426945</v>
      </c>
      <c r="K15" s="3">
        <f t="shared" ref="K15" si="7">K$9*K16</f>
        <v>-10816.436677873911</v>
      </c>
      <c r="L15" s="3">
        <f t="shared" ref="L15" si="8">L$9*L16</f>
        <v>-11632.667853595038</v>
      </c>
      <c r="M15"/>
      <c r="N15"/>
      <c r="O15"/>
      <c r="P15"/>
      <c r="Q15"/>
      <c r="R15"/>
      <c r="S15"/>
    </row>
    <row r="16" spans="1:19" x14ac:dyDescent="0.35">
      <c r="A16" s="156" t="s">
        <v>185</v>
      </c>
      <c r="B16"/>
      <c r="C16" s="157">
        <f>C15/C9</f>
        <v>-5.6931448497087679E-2</v>
      </c>
      <c r="D16" s="157">
        <f t="shared" ref="D16:G16" si="9">D15/D9</f>
        <v>-6.9957083879385956E-2</v>
      </c>
      <c r="E16" s="157">
        <f t="shared" si="9"/>
        <v>-7.3691486202199369E-2</v>
      </c>
      <c r="F16" s="157">
        <f t="shared" si="9"/>
        <v>-7.0969607933053985E-2</v>
      </c>
      <c r="G16" s="157">
        <f t="shared" si="9"/>
        <v>-6.2191722421023415E-2</v>
      </c>
      <c r="H16" s="373">
        <f>AVERAGE(C16:G16)</f>
        <v>-6.6748269786550088E-2</v>
      </c>
      <c r="I16" s="158">
        <f>H16</f>
        <v>-6.6748269786550088E-2</v>
      </c>
      <c r="J16" s="158">
        <f t="shared" ref="J16:L16" si="10">I16</f>
        <v>-6.6748269786550088E-2</v>
      </c>
      <c r="K16" s="158">
        <f t="shared" si="10"/>
        <v>-6.6748269786550088E-2</v>
      </c>
      <c r="L16" s="158">
        <f t="shared" si="10"/>
        <v>-6.6748269786550088E-2</v>
      </c>
      <c r="M16"/>
      <c r="N16"/>
      <c r="O16"/>
      <c r="P16"/>
      <c r="Q16"/>
      <c r="R16"/>
      <c r="S16"/>
    </row>
    <row r="17" spans="1:19" x14ac:dyDescent="0.35">
      <c r="A17" s="156"/>
      <c r="B17"/>
      <c r="C17" s="3"/>
      <c r="D17" s="3"/>
      <c r="E17" s="3"/>
      <c r="F17" s="3"/>
      <c r="G17" s="3"/>
      <c r="H17"/>
      <c r="I17"/>
      <c r="J17"/>
      <c r="K17"/>
      <c r="L17"/>
      <c r="M17"/>
      <c r="N17"/>
      <c r="O17"/>
      <c r="P17"/>
      <c r="Q17"/>
      <c r="R17"/>
      <c r="S17"/>
    </row>
    <row r="18" spans="1:19" x14ac:dyDescent="0.35">
      <c r="A18" s="147" t="s">
        <v>186</v>
      </c>
      <c r="B18"/>
      <c r="C18" s="155">
        <f>'Income Statement'!C20</f>
        <v>1730.48</v>
      </c>
      <c r="D18" s="155">
        <f>'Income Statement'!D20</f>
        <v>-826.62</v>
      </c>
      <c r="E18" s="155">
        <f>'Income Statement'!E20</f>
        <v>-135.59</v>
      </c>
      <c r="F18" s="155">
        <f>'Income Statement'!F20</f>
        <v>861.66</v>
      </c>
      <c r="G18" s="155">
        <f>'Income Statement'!G20</f>
        <v>2032.31</v>
      </c>
      <c r="H18" s="3">
        <f>H$9*H19</f>
        <v>2184.7016419621327</v>
      </c>
      <c r="I18" s="3">
        <f t="shared" ref="I18" si="11">I$9*I19</f>
        <v>2348.7777150417519</v>
      </c>
      <c r="J18" s="3">
        <f t="shared" ref="J18" si="12">J$9*J19</f>
        <v>2525.4555066394619</v>
      </c>
      <c r="K18" s="3">
        <f t="shared" ref="K18" si="13">K$9*K19</f>
        <v>2715.726116836352</v>
      </c>
      <c r="L18" s="3">
        <f t="shared" ref="L18" si="14">L$9*L19</f>
        <v>2920.6605501711583</v>
      </c>
      <c r="M18"/>
      <c r="N18"/>
      <c r="O18"/>
      <c r="P18"/>
      <c r="Q18"/>
      <c r="R18"/>
      <c r="S18"/>
    </row>
    <row r="19" spans="1:19" x14ac:dyDescent="0.35">
      <c r="A19" s="156" t="s">
        <v>187</v>
      </c>
      <c r="B19"/>
      <c r="C19" s="157">
        <f>C18/C$9</f>
        <v>1.6524720809681526E-2</v>
      </c>
      <c r="D19" s="157">
        <f t="shared" ref="D19:G19" si="15">D18/D$9</f>
        <v>-1.0965757974092731E-2</v>
      </c>
      <c r="E19" s="157">
        <f t="shared" si="15"/>
        <v>-1.8254449715648475E-3</v>
      </c>
      <c r="F19" s="157">
        <f t="shared" si="15"/>
        <v>9.5558894659310677E-3</v>
      </c>
      <c r="G19" s="157">
        <f t="shared" si="15"/>
        <v>1.6758755670781913E-2</v>
      </c>
      <c r="H19" s="158">
        <f>G19</f>
        <v>1.6758755670781913E-2</v>
      </c>
      <c r="I19" s="158">
        <f t="shared" ref="I19:L19" si="16">H19</f>
        <v>1.6758755670781913E-2</v>
      </c>
      <c r="J19" s="158">
        <f t="shared" si="16"/>
        <v>1.6758755670781913E-2</v>
      </c>
      <c r="K19" s="158">
        <f t="shared" si="16"/>
        <v>1.6758755670781913E-2</v>
      </c>
      <c r="L19" s="158">
        <f t="shared" si="16"/>
        <v>1.6758755670781913E-2</v>
      </c>
      <c r="M19"/>
      <c r="N19"/>
      <c r="O19"/>
      <c r="P19"/>
      <c r="Q19"/>
      <c r="R19"/>
      <c r="S19"/>
    </row>
    <row r="20" spans="1:19" x14ac:dyDescent="0.35">
      <c r="A20" s="147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35">
      <c r="A21" s="147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ht="15" thickBot="1" x14ac:dyDescent="0.4">
      <c r="A22" s="159" t="s">
        <v>188</v>
      </c>
      <c r="B22"/>
      <c r="C22" s="160">
        <f>C12+C15+C18</f>
        <v>-60351.619999999995</v>
      </c>
      <c r="D22" s="160">
        <f t="shared" ref="D22:G22" si="17">D12+D15+D18</f>
        <v>-38421.920000000006</v>
      </c>
      <c r="E22" s="160">
        <f t="shared" si="17"/>
        <v>-38406.789999999994</v>
      </c>
      <c r="F22" s="160">
        <f t="shared" si="17"/>
        <v>-51803.19</v>
      </c>
      <c r="G22" s="160">
        <f t="shared" si="17"/>
        <v>-73987.56</v>
      </c>
      <c r="H22" s="160">
        <f>H12+H15+H18</f>
        <v>-71280.446426427487</v>
      </c>
      <c r="I22" s="160">
        <f t="shared" ref="I22:L22" si="18">I12+I15+I18</f>
        <v>-76633.770428375152</v>
      </c>
      <c r="J22" s="160">
        <f t="shared" si="18"/>
        <v>-82398.251773026597</v>
      </c>
      <c r="K22" s="160">
        <f t="shared" si="18"/>
        <v>-88606.227167086472</v>
      </c>
      <c r="L22" s="160">
        <f t="shared" si="18"/>
        <v>-95292.640366800231</v>
      </c>
      <c r="M22"/>
      <c r="N22"/>
      <c r="O22"/>
      <c r="P22"/>
      <c r="Q22"/>
      <c r="R22"/>
      <c r="S22"/>
    </row>
    <row r="23" spans="1:19" ht="15" thickTop="1" x14ac:dyDescent="0.35">
      <c r="A23" s="147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35">
      <c r="A24" s="149" t="s">
        <v>189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35">
      <c r="A25" s="147" t="s">
        <v>190</v>
      </c>
      <c r="B25"/>
      <c r="C25" s="155">
        <f>'Income Statement'!C26</f>
        <v>-11563.89</v>
      </c>
      <c r="D25" s="155">
        <f>'Income Statement'!D26</f>
        <v>-8214.82</v>
      </c>
      <c r="E25" s="155">
        <f>'Income Statement'!E26</f>
        <v>-7813.26</v>
      </c>
      <c r="F25" s="155">
        <f>'Income Statement'!F26</f>
        <v>-8386.74</v>
      </c>
      <c r="G25" s="155">
        <f>'Income Statement'!G26</f>
        <v>-9677.9500000000007</v>
      </c>
      <c r="H25" s="3">
        <f>H$9*H26</f>
        <v>-10403.64573112735</v>
      </c>
      <c r="I25" s="3">
        <f t="shared" ref="I25" si="19">I$9*I26</f>
        <v>-11184.983239411469</v>
      </c>
      <c r="J25" s="3">
        <f t="shared" ref="J25" si="20">J$9*J26</f>
        <v>-12026.330687976431</v>
      </c>
      <c r="K25" s="3">
        <f t="shared" ref="K25" si="21">K$9*K26</f>
        <v>-12932.407739191549</v>
      </c>
      <c r="L25" s="3">
        <f t="shared" ref="L25" si="22">L$9*L26</f>
        <v>-13908.314563983331</v>
      </c>
      <c r="M25"/>
      <c r="N25"/>
      <c r="O25"/>
      <c r="P25"/>
      <c r="Q25"/>
      <c r="R25"/>
      <c r="S25"/>
    </row>
    <row r="26" spans="1:19" x14ac:dyDescent="0.35">
      <c r="A26" s="147" t="s">
        <v>191</v>
      </c>
      <c r="B26"/>
      <c r="C26" s="157">
        <f>C25/C$9</f>
        <v>-0.11042604001425507</v>
      </c>
      <c r="D26" s="157">
        <f t="shared" ref="D26" si="23">D25/D$9</f>
        <v>-0.10897598403224752</v>
      </c>
      <c r="E26" s="157">
        <f t="shared" ref="E26" si="24">E25/E$9</f>
        <v>-0.10518973507285759</v>
      </c>
      <c r="F26" s="157">
        <f t="shared" ref="F26" si="25">F25/F$9</f>
        <v>-9.3009725900590395E-2</v>
      </c>
      <c r="G26" s="157">
        <f t="shared" ref="G26" si="26">G25/G$9</f>
        <v>-7.9805934844607282E-2</v>
      </c>
      <c r="H26" s="374">
        <f>G26</f>
        <v>-7.9805934844607282E-2</v>
      </c>
      <c r="I26" s="374">
        <f t="shared" ref="I26:L26" si="27">H26</f>
        <v>-7.9805934844607282E-2</v>
      </c>
      <c r="J26" s="374">
        <f t="shared" si="27"/>
        <v>-7.9805934844607282E-2</v>
      </c>
      <c r="K26" s="374">
        <f t="shared" si="27"/>
        <v>-7.9805934844607282E-2</v>
      </c>
      <c r="L26" s="374">
        <f t="shared" si="27"/>
        <v>-7.9805934844607282E-2</v>
      </c>
      <c r="M26"/>
      <c r="N26"/>
      <c r="O26"/>
      <c r="P26"/>
      <c r="Q26"/>
      <c r="R26"/>
      <c r="S26"/>
    </row>
    <row r="27" spans="1:19" x14ac:dyDescent="0.35">
      <c r="A27" s="14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x14ac:dyDescent="0.35">
      <c r="A28" s="147" t="s">
        <v>192</v>
      </c>
      <c r="B28"/>
      <c r="C28" s="120"/>
      <c r="D28" s="120"/>
      <c r="E28" s="120"/>
      <c r="F28" s="120"/>
      <c r="G28" s="120"/>
      <c r="H28" s="120"/>
      <c r="I28" s="3"/>
      <c r="J28" s="3"/>
      <c r="K28" s="3"/>
      <c r="L28" s="3"/>
      <c r="M28"/>
      <c r="N28"/>
      <c r="O28"/>
      <c r="P28"/>
      <c r="Q28"/>
      <c r="R28"/>
      <c r="S28"/>
    </row>
    <row r="29" spans="1:19" x14ac:dyDescent="0.35">
      <c r="A29" s="147" t="s">
        <v>193</v>
      </c>
      <c r="B29"/>
      <c r="C29" s="157"/>
      <c r="D29" s="157"/>
      <c r="E29" s="157"/>
      <c r="F29" s="157"/>
      <c r="G29" s="157"/>
      <c r="H29" s="157"/>
      <c r="I29" s="158"/>
      <c r="J29" s="158"/>
      <c r="K29" s="158"/>
      <c r="L29" s="158"/>
      <c r="M29"/>
      <c r="N29"/>
      <c r="O29"/>
      <c r="P29"/>
      <c r="Q29"/>
      <c r="R29"/>
      <c r="S29"/>
    </row>
    <row r="30" spans="1:19" x14ac:dyDescent="0.35">
      <c r="A30" s="147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35">
      <c r="A31" s="161" t="s">
        <v>194</v>
      </c>
      <c r="B31"/>
      <c r="C31" s="155">
        <f>'Income Statement'!C28</f>
        <v>-17598.66</v>
      </c>
      <c r="D31" s="155">
        <f>'Income Statement'!D28</f>
        <v>-15553.62</v>
      </c>
      <c r="E31" s="155">
        <f>'Income Statement'!E28</f>
        <v>-14381.18</v>
      </c>
      <c r="F31" s="155">
        <f>'Income Statement'!F28</f>
        <v>-15297.79</v>
      </c>
      <c r="G31" s="155">
        <f>'Income Statement'!G28</f>
        <v>-17317.75</v>
      </c>
      <c r="H31" s="3">
        <f>H$9*H32</f>
        <v>-22955.581736682896</v>
      </c>
      <c r="I31" s="3">
        <f t="shared" ref="I31" si="28">I$9*I32</f>
        <v>-24679.59824963356</v>
      </c>
      <c r="J31" s="3">
        <f t="shared" ref="J31" si="29">J$9*J32</f>
        <v>-26536.026334905331</v>
      </c>
      <c r="K31" s="3">
        <f t="shared" ref="K31" si="30">K$9*K32</f>
        <v>-28535.279899131361</v>
      </c>
      <c r="L31" s="3">
        <f t="shared" ref="L31" si="31">L$9*L32</f>
        <v>-30688.612438787812</v>
      </c>
      <c r="M31"/>
      <c r="N31"/>
      <c r="O31"/>
      <c r="P31"/>
      <c r="Q31"/>
      <c r="R31"/>
      <c r="S31"/>
    </row>
    <row r="32" spans="1:19" x14ac:dyDescent="0.35">
      <c r="A32" s="161" t="s">
        <v>195</v>
      </c>
      <c r="B32"/>
      <c r="C32" s="157">
        <f>C31/C$9</f>
        <v>-0.16805333960780242</v>
      </c>
      <c r="D32" s="157">
        <f t="shared" ref="D32" si="32">D31/D$9</f>
        <v>-0.20633088062351285</v>
      </c>
      <c r="E32" s="157">
        <f t="shared" ref="E32" si="33">E31/E$9</f>
        <v>-0.19361348710206472</v>
      </c>
      <c r="F32" s="157">
        <f t="shared" ref="F32" si="34">F31/F$9</f>
        <v>-0.16965391257923731</v>
      </c>
      <c r="G32" s="157">
        <f t="shared" ref="G32" si="35">G31/G$9</f>
        <v>-0.14280495643759242</v>
      </c>
      <c r="H32" s="373">
        <f>AVERAGE(C32:G32)</f>
        <v>-0.17609131527004193</v>
      </c>
      <c r="I32" s="158">
        <f>H32</f>
        <v>-0.17609131527004193</v>
      </c>
      <c r="J32" s="158">
        <f t="shared" ref="J32:L32" si="36">I32</f>
        <v>-0.17609131527004193</v>
      </c>
      <c r="K32" s="158">
        <f t="shared" si="36"/>
        <v>-0.17609131527004193</v>
      </c>
      <c r="L32" s="158">
        <f t="shared" si="36"/>
        <v>-0.17609131527004193</v>
      </c>
      <c r="M32"/>
      <c r="N32"/>
      <c r="O32"/>
      <c r="P32"/>
      <c r="Q32"/>
      <c r="R32"/>
      <c r="S32"/>
    </row>
    <row r="33" spans="1:19" x14ac:dyDescent="0.35">
      <c r="A33" s="161"/>
      <c r="B33"/>
      <c r="C33" s="162"/>
      <c r="D33" s="162"/>
      <c r="E33" s="162"/>
      <c r="F33" s="162"/>
      <c r="G33" s="162"/>
      <c r="H33" s="162"/>
      <c r="I33" s="163"/>
      <c r="J33" s="163"/>
      <c r="K33" s="163"/>
      <c r="L33" s="163"/>
      <c r="M33"/>
      <c r="N33"/>
      <c r="O33"/>
      <c r="P33"/>
      <c r="Q33"/>
      <c r="R33"/>
      <c r="S33"/>
    </row>
    <row r="34" spans="1:19" ht="15" thickBot="1" x14ac:dyDescent="0.4">
      <c r="A34" s="166" t="s">
        <v>196</v>
      </c>
      <c r="B34"/>
      <c r="C34" s="160">
        <f>C25+C28+C31</f>
        <v>-29162.55</v>
      </c>
      <c r="D34" s="160">
        <f t="shared" ref="D34:L34" si="37">D25+D28+D31</f>
        <v>-23768.440000000002</v>
      </c>
      <c r="E34" s="160">
        <f t="shared" si="37"/>
        <v>-22194.440000000002</v>
      </c>
      <c r="F34" s="160">
        <f t="shared" si="37"/>
        <v>-23684.53</v>
      </c>
      <c r="G34" s="160">
        <f t="shared" si="37"/>
        <v>-26995.7</v>
      </c>
      <c r="H34" s="160">
        <f t="shared" si="37"/>
        <v>-33359.227467810248</v>
      </c>
      <c r="I34" s="160">
        <f t="shared" si="37"/>
        <v>-35864.581489045027</v>
      </c>
      <c r="J34" s="160">
        <f t="shared" si="37"/>
        <v>-38562.357022881763</v>
      </c>
      <c r="K34" s="160">
        <f t="shared" si="37"/>
        <v>-41467.68763832291</v>
      </c>
      <c r="L34" s="160">
        <f t="shared" si="37"/>
        <v>-44596.927002771146</v>
      </c>
      <c r="M34"/>
      <c r="N34"/>
      <c r="O34"/>
      <c r="P34"/>
      <c r="Q34"/>
      <c r="R34"/>
      <c r="S34"/>
    </row>
    <row r="35" spans="1:19" ht="15" thickTop="1" x14ac:dyDescent="0.35">
      <c r="A35"/>
      <c r="B35"/>
      <c r="C35" s="3"/>
      <c r="D35" s="3"/>
      <c r="E35" s="3"/>
      <c r="F35" s="3"/>
      <c r="G35" s="3"/>
      <c r="H35" s="3"/>
      <c r="I35" s="3"/>
      <c r="J35" s="3"/>
      <c r="K35" s="3"/>
      <c r="L35" s="3"/>
      <c r="M35"/>
      <c r="N35"/>
      <c r="O35"/>
      <c r="P35"/>
      <c r="Q35"/>
      <c r="R35"/>
      <c r="S35"/>
    </row>
    <row r="36" spans="1:19" ht="15" thickBot="1" x14ac:dyDescent="0.4">
      <c r="A36" s="166" t="s">
        <v>197</v>
      </c>
      <c r="B36"/>
      <c r="C36" s="167">
        <f t="shared" ref="C36:L36" si="38">C22+C34</f>
        <v>-89514.17</v>
      </c>
      <c r="D36" s="167">
        <f t="shared" si="38"/>
        <v>-62190.360000000008</v>
      </c>
      <c r="E36" s="167">
        <f t="shared" si="38"/>
        <v>-60601.229999999996</v>
      </c>
      <c r="F36" s="167">
        <f t="shared" si="38"/>
        <v>-75487.72</v>
      </c>
      <c r="G36" s="167">
        <f t="shared" si="38"/>
        <v>-100983.26</v>
      </c>
      <c r="H36" s="167">
        <f t="shared" si="38"/>
        <v>-104639.67389423773</v>
      </c>
      <c r="I36" s="167">
        <f t="shared" si="38"/>
        <v>-112498.35191742018</v>
      </c>
      <c r="J36" s="167">
        <f t="shared" si="38"/>
        <v>-120960.60879590837</v>
      </c>
      <c r="K36" s="167">
        <f t="shared" si="38"/>
        <v>-130073.91480540938</v>
      </c>
      <c r="L36" s="167">
        <f t="shared" si="38"/>
        <v>-139889.56736957136</v>
      </c>
      <c r="M36"/>
      <c r="N36"/>
      <c r="O36"/>
      <c r="P36"/>
      <c r="Q36"/>
      <c r="R36"/>
      <c r="S36"/>
    </row>
    <row r="37" spans="1:19" ht="15" thickTop="1" x14ac:dyDescent="0.35">
      <c r="A37"/>
      <c r="B37"/>
      <c r="C37" s="164"/>
      <c r="D37" s="164"/>
      <c r="E37" s="164"/>
      <c r="F37" s="164"/>
      <c r="G37" s="164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</sheetData>
  <conditionalFormatting sqref="D4">
    <cfRule type="expression" dxfId="10" priority="1">
      <formula>"="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CA83-C3A6-48D7-A117-5AA208DEF3B8}">
  <dimension ref="A1:L97"/>
  <sheetViews>
    <sheetView topLeftCell="A5" zoomScale="91" zoomScaleNormal="91" workbookViewId="0">
      <pane xSplit="5" ySplit="3" topLeftCell="G8" activePane="bottomRight" state="frozen"/>
      <selection activeCell="A5" sqref="A5"/>
      <selection pane="topRight" activeCell="F5" sqref="F5"/>
      <selection pane="bottomLeft" activeCell="A8" sqref="A8"/>
      <selection pane="bottomRight" activeCell="L33" sqref="L33"/>
    </sheetView>
  </sheetViews>
  <sheetFormatPr defaultRowHeight="14.5" x14ac:dyDescent="0.35"/>
  <cols>
    <col min="1" max="1" width="39.54296875" customWidth="1"/>
    <col min="2" max="2" width="6.1796875" customWidth="1"/>
    <col min="3" max="5" width="1.6328125" customWidth="1"/>
    <col min="6" max="6" width="10.453125" bestFit="1" customWidth="1"/>
    <col min="7" max="7" width="10.81640625" bestFit="1" customWidth="1"/>
    <col min="8" max="12" width="10.453125" bestFit="1" customWidth="1"/>
  </cols>
  <sheetData>
    <row r="1" spans="1:12" s="17" customFormat="1" x14ac:dyDescent="0.35">
      <c r="A1" s="82"/>
      <c r="B1" s="83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2" s="20" customFormat="1" x14ac:dyDescent="0.35">
      <c r="A2" s="85" t="s">
        <v>80</v>
      </c>
      <c r="B2" s="86"/>
      <c r="C2" s="87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x14ac:dyDescent="0.35">
      <c r="A3" s="1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x14ac:dyDescent="0.35">
      <c r="A4" s="21" t="s">
        <v>392</v>
      </c>
      <c r="B4" s="18"/>
      <c r="C4" s="19"/>
      <c r="D4" s="22"/>
      <c r="E4" s="19"/>
      <c r="F4" s="19"/>
      <c r="G4" s="19"/>
      <c r="H4" s="19"/>
      <c r="I4" s="19"/>
      <c r="J4" s="19"/>
      <c r="K4" s="19"/>
      <c r="L4" s="19"/>
    </row>
    <row r="5" spans="1:12" s="20" customFormat="1" x14ac:dyDescent="0.35">
      <c r="A5" s="18" t="s">
        <v>82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0" customFormat="1" x14ac:dyDescent="0.35">
      <c r="A6" s="18" t="s">
        <v>83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s="17" customFormat="1" x14ac:dyDescent="0.35">
      <c r="A7" s="78" t="s">
        <v>84</v>
      </c>
      <c r="B7" s="79"/>
      <c r="C7" s="80">
        <v>2019</v>
      </c>
      <c r="D7" s="80">
        <f>C7+1</f>
        <v>2020</v>
      </c>
      <c r="E7" s="80">
        <f t="shared" ref="E7:G7" si="0">D7+1</f>
        <v>2021</v>
      </c>
      <c r="F7" s="80">
        <f t="shared" si="0"/>
        <v>2022</v>
      </c>
      <c r="G7" s="80">
        <f t="shared" si="0"/>
        <v>2023</v>
      </c>
      <c r="H7" s="81">
        <v>2024</v>
      </c>
      <c r="I7" s="81">
        <f>H7+1</f>
        <v>2025</v>
      </c>
      <c r="J7" s="81">
        <f t="shared" ref="J7:L7" si="1">I7+1</f>
        <v>2026</v>
      </c>
      <c r="K7" s="81">
        <f t="shared" si="1"/>
        <v>2027</v>
      </c>
      <c r="L7" s="81">
        <f t="shared" si="1"/>
        <v>2028</v>
      </c>
    </row>
    <row r="8" spans="1:12" x14ac:dyDescent="0.35">
      <c r="A8" s="8" t="s">
        <v>389</v>
      </c>
    </row>
    <row r="9" spans="1:12" ht="43.5" x14ac:dyDescent="0.35">
      <c r="A9" s="340" t="s">
        <v>335</v>
      </c>
      <c r="B9" s="341"/>
      <c r="C9" s="341"/>
      <c r="D9" s="341"/>
      <c r="E9" s="341"/>
      <c r="F9" s="327">
        <v>7091.81</v>
      </c>
      <c r="G9" s="327">
        <v>11305.27</v>
      </c>
      <c r="H9" s="492">
        <f ca="1">'Income Statement'!H44</f>
        <v>18167.001544854804</v>
      </c>
      <c r="I9" s="492">
        <f ca="1">'Income Statement'!I44</f>
        <v>19580.212805982621</v>
      </c>
      <c r="J9" s="492">
        <f ca="1">'Income Statement'!J44</f>
        <v>21693.106848262334</v>
      </c>
      <c r="K9" s="492">
        <f ca="1">'Income Statement'!K44</f>
        <v>23311.378372179177</v>
      </c>
      <c r="L9" s="492">
        <f ca="1">'Income Statement'!L44</f>
        <v>24105.286662498456</v>
      </c>
    </row>
    <row r="10" spans="1:12" x14ac:dyDescent="0.35">
      <c r="A10" s="6" t="s">
        <v>336</v>
      </c>
      <c r="F10" s="12"/>
      <c r="G10" s="12"/>
      <c r="H10" s="3"/>
      <c r="I10" s="3"/>
      <c r="J10" s="3"/>
      <c r="K10" s="3"/>
      <c r="L10" s="3"/>
    </row>
    <row r="11" spans="1:12" ht="29" x14ac:dyDescent="0.35">
      <c r="A11" s="342" t="s">
        <v>337</v>
      </c>
      <c r="B11" s="341"/>
      <c r="C11" s="341"/>
      <c r="D11" s="341"/>
      <c r="E11" s="341"/>
      <c r="F11" s="327">
        <v>3507.5</v>
      </c>
      <c r="G11" s="327">
        <v>4356.8100000000004</v>
      </c>
      <c r="H11" s="492">
        <f>-'Income Statement'!H35</f>
        <v>4503.6541459108294</v>
      </c>
      <c r="I11" s="492">
        <f>-'Income Statement'!I35</f>
        <v>5072.4197585809779</v>
      </c>
      <c r="J11" s="492">
        <f>-'Income Statement'!J35</f>
        <v>4863.7777696210724</v>
      </c>
      <c r="K11" s="492">
        <f>-'Income Statement'!K35</f>
        <v>4922.979739826812</v>
      </c>
      <c r="L11" s="492">
        <f>-'Income Statement'!L35</f>
        <v>5797.4624633734966</v>
      </c>
    </row>
    <row r="12" spans="1:12" ht="29" x14ac:dyDescent="0.35">
      <c r="A12" s="7" t="s">
        <v>338</v>
      </c>
      <c r="F12" s="12">
        <v>-65.31</v>
      </c>
      <c r="G12" s="12">
        <v>59.62</v>
      </c>
      <c r="H12" s="3"/>
      <c r="I12" s="3"/>
      <c r="J12" s="3"/>
      <c r="K12" s="3"/>
      <c r="L12" s="3"/>
    </row>
    <row r="13" spans="1:12" x14ac:dyDescent="0.35">
      <c r="A13" s="7" t="s">
        <v>339</v>
      </c>
      <c r="F13" s="12">
        <v>-15.07</v>
      </c>
      <c r="G13" s="12">
        <v>0</v>
      </c>
      <c r="H13" s="3"/>
      <c r="I13" s="3"/>
      <c r="J13" s="3"/>
      <c r="K13" s="3"/>
      <c r="L13" s="3"/>
    </row>
    <row r="14" spans="1:12" ht="58" x14ac:dyDescent="0.35">
      <c r="A14" s="7" t="s">
        <v>390</v>
      </c>
      <c r="F14" s="12">
        <v>-418.38</v>
      </c>
      <c r="G14" s="12">
        <v>-528.01</v>
      </c>
      <c r="H14" s="3"/>
      <c r="I14" s="3"/>
      <c r="J14" s="3"/>
      <c r="K14" s="3"/>
      <c r="L14" s="3"/>
    </row>
    <row r="15" spans="1:12" ht="58" x14ac:dyDescent="0.35">
      <c r="A15" s="342" t="s">
        <v>391</v>
      </c>
      <c r="B15" s="341"/>
      <c r="C15" s="341"/>
      <c r="D15" s="341"/>
      <c r="E15" s="341"/>
      <c r="F15" s="327">
        <v>625.45000000000005</v>
      </c>
      <c r="G15" s="327">
        <v>750.07</v>
      </c>
      <c r="H15" s="492">
        <f ca="1">-'Income Statement'!H38</f>
        <v>7012.9256038541444</v>
      </c>
      <c r="I15" s="492">
        <f ca="1">-'Income Statement'!I38</f>
        <v>6962.7394208294872</v>
      </c>
      <c r="J15" s="492">
        <f ca="1">-'Income Statement'!J38</f>
        <v>7138.6475436324963</v>
      </c>
      <c r="K15" s="492">
        <f ca="1">-'Income Statement'!K38</f>
        <v>7701.3726757151117</v>
      </c>
      <c r="L15" s="492">
        <f ca="1">-'Income Statement'!L38</f>
        <v>8445.8284779901751</v>
      </c>
    </row>
    <row r="16" spans="1:12" ht="29" x14ac:dyDescent="0.35">
      <c r="A16" s="7" t="s">
        <v>340</v>
      </c>
      <c r="F16" s="12">
        <v>105.25</v>
      </c>
      <c r="G16" s="12">
        <v>139.75</v>
      </c>
      <c r="H16" s="3"/>
      <c r="I16" s="3"/>
      <c r="J16" s="3"/>
      <c r="K16" s="3"/>
      <c r="L16" s="3"/>
    </row>
    <row r="17" spans="1:12" ht="29" x14ac:dyDescent="0.35">
      <c r="A17" s="7" t="s">
        <v>341</v>
      </c>
      <c r="F17" s="12">
        <v>-355.65</v>
      </c>
      <c r="G17" s="12">
        <v>-426.73</v>
      </c>
      <c r="H17" s="3"/>
      <c r="I17" s="3"/>
      <c r="J17" s="3"/>
      <c r="K17" s="3"/>
      <c r="L17" s="3"/>
    </row>
    <row r="18" spans="1:12" ht="43.5" x14ac:dyDescent="0.35">
      <c r="A18" s="7" t="s">
        <v>342</v>
      </c>
      <c r="F18" s="12">
        <v>39.11</v>
      </c>
      <c r="G18" s="12">
        <v>-14.89</v>
      </c>
      <c r="H18" s="3"/>
      <c r="I18" s="3"/>
      <c r="J18" s="3"/>
      <c r="K18" s="3"/>
      <c r="L18" s="3"/>
    </row>
    <row r="19" spans="1:12" x14ac:dyDescent="0.35">
      <c r="A19" s="6" t="s">
        <v>343</v>
      </c>
      <c r="F19" s="12">
        <v>3422.9</v>
      </c>
      <c r="G19" s="12">
        <v>4336.62</v>
      </c>
      <c r="H19" s="3"/>
      <c r="I19" s="3"/>
      <c r="J19" s="3"/>
      <c r="K19" s="3"/>
      <c r="L19" s="3"/>
    </row>
    <row r="20" spans="1:12" ht="29" x14ac:dyDescent="0.35">
      <c r="A20" s="340" t="s">
        <v>344</v>
      </c>
      <c r="B20" s="341"/>
      <c r="C20" s="341"/>
      <c r="D20" s="341"/>
      <c r="E20" s="341"/>
      <c r="F20" s="327">
        <v>10514.71</v>
      </c>
      <c r="G20" s="327">
        <v>15641.89</v>
      </c>
      <c r="H20" s="492">
        <f ca="1">SUM(H9:H19)</f>
        <v>29683.581294619777</v>
      </c>
      <c r="I20" s="492">
        <f t="shared" ref="I20:L20" ca="1" si="2">SUM(I9:I19)</f>
        <v>31615.371985393085</v>
      </c>
      <c r="J20" s="492">
        <f t="shared" ca="1" si="2"/>
        <v>33695.532161515905</v>
      </c>
      <c r="K20" s="492">
        <f t="shared" ca="1" si="2"/>
        <v>35935.730787721099</v>
      </c>
      <c r="L20" s="492">
        <f t="shared" ca="1" si="2"/>
        <v>38348.577603862126</v>
      </c>
    </row>
    <row r="21" spans="1:12" x14ac:dyDescent="0.35">
      <c r="A21" s="6" t="s">
        <v>345</v>
      </c>
      <c r="F21" s="12"/>
      <c r="G21" s="12"/>
      <c r="H21" s="3"/>
      <c r="I21" s="3"/>
      <c r="J21" s="3"/>
      <c r="K21" s="3"/>
      <c r="L21" s="3"/>
    </row>
    <row r="22" spans="1:12" x14ac:dyDescent="0.35">
      <c r="A22" s="342" t="s">
        <v>346</v>
      </c>
      <c r="B22" s="341"/>
      <c r="C22" s="341"/>
      <c r="D22" s="341"/>
      <c r="E22" s="341"/>
      <c r="F22" s="327">
        <v>-2044.51</v>
      </c>
      <c r="G22" s="327">
        <v>-2904.47</v>
      </c>
      <c r="H22" s="3">
        <f>WC!H27</f>
        <v>-9709.7900990287817</v>
      </c>
      <c r="I22" s="3">
        <f>WC!I27</f>
        <v>-4019.4251834476017</v>
      </c>
      <c r="J22" s="3">
        <f>WC!J27</f>
        <v>-4328.1336003156757</v>
      </c>
      <c r="K22" s="3">
        <f>WC!K27</f>
        <v>-4661.1213197686156</v>
      </c>
      <c r="L22" s="3">
        <f>WC!L27</f>
        <v>-5020.3457874188171</v>
      </c>
    </row>
    <row r="23" spans="1:12" x14ac:dyDescent="0.35">
      <c r="A23" s="342" t="s">
        <v>347</v>
      </c>
      <c r="B23" s="341"/>
      <c r="C23" s="341"/>
      <c r="D23" s="341"/>
      <c r="E23" s="341"/>
      <c r="F23" s="327">
        <v>-461.61</v>
      </c>
      <c r="G23" s="327">
        <v>-18797.21</v>
      </c>
      <c r="H23" s="3"/>
      <c r="I23" s="3"/>
      <c r="J23" s="3"/>
      <c r="K23" s="3"/>
      <c r="L23" s="3"/>
    </row>
    <row r="24" spans="1:12" x14ac:dyDescent="0.35">
      <c r="A24" s="342" t="s">
        <v>348</v>
      </c>
      <c r="B24" s="341"/>
      <c r="C24" s="341"/>
      <c r="D24" s="341"/>
      <c r="E24" s="341"/>
      <c r="F24" s="327">
        <v>-2172.9899999999998</v>
      </c>
      <c r="G24" s="327">
        <v>-5251.96</v>
      </c>
      <c r="H24" s="3"/>
      <c r="I24" s="3"/>
      <c r="J24" s="3"/>
      <c r="K24" s="3"/>
      <c r="L24" s="3"/>
    </row>
    <row r="25" spans="1:12" x14ac:dyDescent="0.35">
      <c r="A25" s="342" t="s">
        <v>349</v>
      </c>
      <c r="B25" s="341"/>
      <c r="C25" s="341"/>
      <c r="D25" s="341"/>
      <c r="E25" s="341"/>
      <c r="F25" s="327">
        <v>4972.37</v>
      </c>
      <c r="G25" s="327">
        <v>7012.6</v>
      </c>
      <c r="H25" s="3"/>
      <c r="I25" s="3"/>
      <c r="J25" s="3"/>
      <c r="K25" s="3"/>
      <c r="L25" s="3"/>
    </row>
    <row r="26" spans="1:12" x14ac:dyDescent="0.35">
      <c r="A26" s="6" t="s">
        <v>343</v>
      </c>
      <c r="F26" s="12">
        <v>293.26</v>
      </c>
      <c r="G26" s="12">
        <v>-19941.04</v>
      </c>
      <c r="H26" s="3"/>
      <c r="I26" s="3"/>
      <c r="J26" s="3"/>
      <c r="K26" s="3"/>
      <c r="L26" s="3"/>
    </row>
    <row r="27" spans="1:12" x14ac:dyDescent="0.35">
      <c r="A27" s="340" t="s">
        <v>350</v>
      </c>
      <c r="B27" s="341"/>
      <c r="C27" s="341"/>
      <c r="D27" s="341"/>
      <c r="E27" s="341"/>
      <c r="F27" s="327">
        <v>10807.97</v>
      </c>
      <c r="G27" s="327">
        <v>-4299.1499999999996</v>
      </c>
      <c r="H27" s="3">
        <f ca="1">SUM(H20:H26)</f>
        <v>19973.791195590995</v>
      </c>
      <c r="I27" s="3">
        <f t="shared" ref="I27:L27" ca="1" si="3">SUM(I20:I26)</f>
        <v>27595.946801945483</v>
      </c>
      <c r="J27" s="3">
        <f t="shared" ca="1" si="3"/>
        <v>29367.398561200229</v>
      </c>
      <c r="K27" s="3">
        <f t="shared" ca="1" si="3"/>
        <v>31274.609467952483</v>
      </c>
      <c r="L27" s="3">
        <f t="shared" ca="1" si="3"/>
        <v>33328.231816443309</v>
      </c>
    </row>
    <row r="28" spans="1:12" ht="29" x14ac:dyDescent="0.35">
      <c r="A28" s="340" t="s">
        <v>351</v>
      </c>
      <c r="B28" s="341"/>
      <c r="C28" s="341"/>
      <c r="D28" s="341"/>
      <c r="E28" s="341"/>
      <c r="F28" s="343">
        <v>-1560.42</v>
      </c>
      <c r="G28" s="343">
        <v>-2774.87</v>
      </c>
      <c r="H28" s="3">
        <f ca="1">'Income Statement'!H48</f>
        <v>-5330.690226885602</v>
      </c>
      <c r="I28" s="3">
        <f ca="1">'Income Statement'!I48</f>
        <v>-5745.3646815345201</v>
      </c>
      <c r="J28" s="3">
        <f ca="1">'Income Statement'!J48</f>
        <v>-6365.3450120153748</v>
      </c>
      <c r="K28" s="3">
        <f ca="1">'Income Statement'!K48</f>
        <v>-6840.1897009251943</v>
      </c>
      <c r="L28" s="3">
        <f ca="1">'Income Statement'!L48</f>
        <v>-7073.1438928318403</v>
      </c>
    </row>
    <row r="29" spans="1:12" x14ac:dyDescent="0.35">
      <c r="A29" s="344" t="s">
        <v>352</v>
      </c>
      <c r="B29" s="345"/>
      <c r="C29" s="345"/>
      <c r="D29" s="345"/>
      <c r="E29" s="345"/>
      <c r="F29" s="346">
        <v>9247.5499999999993</v>
      </c>
      <c r="G29" s="346">
        <v>-7074.02</v>
      </c>
      <c r="H29" s="361">
        <f ca="1">SUM(H27:H28)</f>
        <v>14643.100968705392</v>
      </c>
      <c r="I29" s="361">
        <f t="shared" ref="I29:L29" ca="1" si="4">SUM(I27:I28)</f>
        <v>21850.582120410963</v>
      </c>
      <c r="J29" s="361">
        <f t="shared" ca="1" si="4"/>
        <v>23002.053549184853</v>
      </c>
      <c r="K29" s="361">
        <f t="shared" ca="1" si="4"/>
        <v>24434.419767027288</v>
      </c>
      <c r="L29" s="361">
        <f t="shared" ca="1" si="4"/>
        <v>26255.087923611471</v>
      </c>
    </row>
    <row r="30" spans="1:12" ht="29" x14ac:dyDescent="0.35">
      <c r="A30" s="11" t="s">
        <v>353</v>
      </c>
      <c r="B30" s="9"/>
      <c r="F30" s="322"/>
      <c r="G30" s="322"/>
      <c r="H30" s="3"/>
      <c r="I30" s="3"/>
      <c r="J30" s="3"/>
      <c r="K30" s="3"/>
      <c r="L30" s="3"/>
    </row>
    <row r="31" spans="1:12" ht="29" x14ac:dyDescent="0.35">
      <c r="A31" s="358" t="s">
        <v>354</v>
      </c>
      <c r="B31" s="359"/>
      <c r="C31" s="359"/>
      <c r="D31" s="359"/>
      <c r="E31" s="359"/>
      <c r="F31" s="360">
        <v>-6039.8</v>
      </c>
      <c r="G31" s="360">
        <v>-6304.57</v>
      </c>
      <c r="H31" s="3">
        <f>-(Depreciation!H10+Ammortisation!H10)</f>
        <v>-7204.1929033787292</v>
      </c>
      <c r="I31" s="3">
        <f>-(Depreciation!I10+Ammortisation!I10)</f>
        <v>-7745.2442115256963</v>
      </c>
      <c r="J31" s="3">
        <f>-(Depreciation!J10+Ammortisation!J10)</f>
        <v>-8327.8504896395789</v>
      </c>
      <c r="K31" s="3">
        <f>-(Depreciation!K10+Ammortisation!K10)</f>
        <v>-8955.2799534041969</v>
      </c>
      <c r="L31" s="3">
        <f>-(Depreciation!L10+Ammortisation!L10)</f>
        <v>-9631.0643085450538</v>
      </c>
    </row>
    <row r="32" spans="1:12" ht="29" x14ac:dyDescent="0.35">
      <c r="A32" s="6" t="s">
        <v>355</v>
      </c>
      <c r="F32" s="12">
        <v>119.94</v>
      </c>
      <c r="G32" s="12">
        <v>137.78</v>
      </c>
      <c r="H32" s="3"/>
      <c r="I32" s="3"/>
      <c r="J32" s="3"/>
      <c r="K32" s="3"/>
      <c r="L32" s="3"/>
    </row>
    <row r="33" spans="1:12" x14ac:dyDescent="0.35">
      <c r="A33" s="6" t="s">
        <v>356</v>
      </c>
      <c r="F33" s="12">
        <v>-65421.47</v>
      </c>
      <c r="G33" s="12">
        <v>-50164.56</v>
      </c>
      <c r="H33" s="3">
        <f>'Other long Term Items'!H24</f>
        <v>-4405.8491687322967</v>
      </c>
      <c r="I33" s="3">
        <f>'Other long Term Items'!I24</f>
        <v>-4743.6619284299377</v>
      </c>
      <c r="J33" s="3">
        <f>'Other long Term Items'!J24</f>
        <v>-5107.9947116630792</v>
      </c>
      <c r="K33" s="3">
        <f>'Other long Term Items'!K24</f>
        <v>-5500.9815431903116</v>
      </c>
      <c r="L33" s="3">
        <f>'Other long Term Items'!L24</f>
        <v>-5924.9325693146675</v>
      </c>
    </row>
    <row r="34" spans="1:12" x14ac:dyDescent="0.35">
      <c r="A34" s="6" t="s">
        <v>357</v>
      </c>
      <c r="F34" s="12">
        <v>65127.25</v>
      </c>
      <c r="G34" s="12">
        <v>46269.08</v>
      </c>
      <c r="H34" s="3"/>
      <c r="I34" s="3"/>
      <c r="J34" s="3"/>
      <c r="K34" s="3"/>
      <c r="L34" s="3"/>
    </row>
    <row r="35" spans="1:12" ht="29" x14ac:dyDescent="0.35">
      <c r="A35" s="6" t="s">
        <v>358</v>
      </c>
      <c r="F35" s="12">
        <v>419.57</v>
      </c>
      <c r="G35" s="12">
        <v>463.67</v>
      </c>
      <c r="H35" s="3"/>
      <c r="I35" s="3"/>
      <c r="J35" s="3"/>
      <c r="K35" s="3"/>
      <c r="L35" s="3"/>
    </row>
    <row r="36" spans="1:12" ht="29" x14ac:dyDescent="0.35">
      <c r="A36" s="6" t="s">
        <v>359</v>
      </c>
      <c r="F36" s="12">
        <v>1245.78</v>
      </c>
      <c r="G36" s="12">
        <v>1391.01</v>
      </c>
      <c r="H36" s="3"/>
      <c r="I36" s="3"/>
      <c r="J36" s="3"/>
      <c r="K36" s="3"/>
      <c r="L36" s="3"/>
    </row>
    <row r="37" spans="1:12" ht="29" x14ac:dyDescent="0.35">
      <c r="A37" s="6" t="s">
        <v>360</v>
      </c>
      <c r="F37" s="12">
        <v>55.05</v>
      </c>
      <c r="G37" s="12">
        <v>70.930000000000007</v>
      </c>
      <c r="H37" s="3"/>
      <c r="I37" s="3"/>
      <c r="J37" s="3"/>
      <c r="K37" s="3"/>
      <c r="L37" s="3"/>
    </row>
    <row r="38" spans="1:12" x14ac:dyDescent="0.35">
      <c r="A38" s="6" t="s">
        <v>361</v>
      </c>
      <c r="F38" s="12">
        <v>1.25</v>
      </c>
      <c r="G38" s="12">
        <v>5.68</v>
      </c>
      <c r="H38" s="3"/>
      <c r="I38" s="3"/>
      <c r="J38" s="3"/>
      <c r="K38" s="3"/>
      <c r="L38" s="3"/>
    </row>
    <row r="39" spans="1:12" x14ac:dyDescent="0.35">
      <c r="A39" s="6" t="s">
        <v>362</v>
      </c>
      <c r="F39" s="12">
        <v>-7468.23</v>
      </c>
      <c r="G39" s="12">
        <v>-12292.91</v>
      </c>
      <c r="H39" s="3"/>
      <c r="I39" s="3"/>
      <c r="J39" s="3"/>
      <c r="K39" s="3"/>
      <c r="L39" s="3"/>
    </row>
    <row r="40" spans="1:12" x14ac:dyDescent="0.35">
      <c r="A40" s="6" t="s">
        <v>363</v>
      </c>
      <c r="F40" s="12">
        <v>8813.19</v>
      </c>
      <c r="G40" s="12">
        <v>10755.17</v>
      </c>
      <c r="H40" s="3"/>
      <c r="I40" s="3"/>
      <c r="J40" s="3"/>
      <c r="K40" s="3"/>
      <c r="L40" s="3"/>
    </row>
    <row r="41" spans="1:12" ht="29" x14ac:dyDescent="0.35">
      <c r="A41" s="6" t="s">
        <v>364</v>
      </c>
      <c r="F41" s="12">
        <v>175.39</v>
      </c>
      <c r="G41" s="12">
        <v>70.89</v>
      </c>
      <c r="H41" s="3"/>
      <c r="I41" s="3"/>
      <c r="J41" s="3"/>
      <c r="K41" s="3"/>
      <c r="L41" s="3"/>
    </row>
    <row r="42" spans="1:12" ht="29" x14ac:dyDescent="0.35">
      <c r="A42" s="6" t="s">
        <v>365</v>
      </c>
      <c r="F42" s="12">
        <v>-818.28</v>
      </c>
      <c r="G42" s="12">
        <v>-987</v>
      </c>
      <c r="H42" s="3"/>
      <c r="I42" s="3"/>
      <c r="J42" s="3"/>
      <c r="K42" s="3"/>
      <c r="L42" s="3"/>
    </row>
    <row r="43" spans="1:12" x14ac:dyDescent="0.35">
      <c r="A43" s="6" t="s">
        <v>366</v>
      </c>
      <c r="F43" s="12">
        <v>266.5</v>
      </c>
      <c r="G43" s="12">
        <v>893.92</v>
      </c>
      <c r="H43" s="3"/>
      <c r="I43" s="3"/>
      <c r="J43" s="3"/>
      <c r="K43" s="3"/>
      <c r="L43" s="3"/>
    </row>
    <row r="44" spans="1:12" ht="43.5" x14ac:dyDescent="0.35">
      <c r="A44" s="6" t="s">
        <v>367</v>
      </c>
      <c r="F44" s="12">
        <v>-222.38</v>
      </c>
      <c r="G44" s="12">
        <v>-62.05</v>
      </c>
      <c r="H44" s="3"/>
      <c r="I44" s="3"/>
      <c r="J44" s="3"/>
      <c r="K44" s="3"/>
      <c r="L44" s="3"/>
    </row>
    <row r="45" spans="1:12" ht="29" x14ac:dyDescent="0.35">
      <c r="A45" s="6" t="s">
        <v>368</v>
      </c>
      <c r="F45" s="12">
        <v>-41.83</v>
      </c>
      <c r="G45" s="12">
        <v>-586.58000000000004</v>
      </c>
      <c r="H45" s="3"/>
      <c r="I45" s="3"/>
      <c r="J45" s="3"/>
      <c r="K45" s="3"/>
      <c r="L45" s="3"/>
    </row>
    <row r="46" spans="1:12" ht="29" x14ac:dyDescent="0.35">
      <c r="A46" s="6" t="s">
        <v>369</v>
      </c>
      <c r="F46" s="12">
        <v>5.72</v>
      </c>
      <c r="G46" s="12">
        <v>740.28</v>
      </c>
      <c r="H46" s="3"/>
      <c r="I46" s="3"/>
      <c r="J46" s="3"/>
      <c r="K46" s="3"/>
      <c r="L46" s="3"/>
    </row>
    <row r="47" spans="1:12" ht="43.5" x14ac:dyDescent="0.35">
      <c r="A47" s="6" t="s">
        <v>370</v>
      </c>
      <c r="F47" s="12">
        <v>556.53</v>
      </c>
      <c r="G47" s="12">
        <v>1052</v>
      </c>
      <c r="H47" s="3"/>
      <c r="I47" s="3"/>
      <c r="J47" s="3"/>
      <c r="K47" s="3"/>
      <c r="L47" s="3"/>
    </row>
    <row r="48" spans="1:12" x14ac:dyDescent="0.35">
      <c r="A48" s="344" t="s">
        <v>371</v>
      </c>
      <c r="B48" s="345"/>
      <c r="C48" s="345"/>
      <c r="D48" s="345"/>
      <c r="E48" s="345"/>
      <c r="F48" s="346">
        <v>-3225.82</v>
      </c>
      <c r="G48" s="346">
        <v>-8547.26</v>
      </c>
      <c r="H48" s="361">
        <f>SUM(H31:H47)</f>
        <v>-11610.042072111026</v>
      </c>
      <c r="I48" s="361">
        <f t="shared" ref="I48:L48" si="5">SUM(I31:I47)</f>
        <v>-12488.906139955634</v>
      </c>
      <c r="J48" s="361">
        <f t="shared" si="5"/>
        <v>-13435.845201302658</v>
      </c>
      <c r="K48" s="361">
        <f t="shared" si="5"/>
        <v>-14456.261496594509</v>
      </c>
      <c r="L48" s="361">
        <f t="shared" si="5"/>
        <v>-15555.996877859721</v>
      </c>
    </row>
    <row r="49" spans="1:12" ht="29" x14ac:dyDescent="0.35">
      <c r="A49" s="11" t="s">
        <v>372</v>
      </c>
      <c r="B49" s="9"/>
      <c r="F49" s="322"/>
      <c r="G49" s="322"/>
      <c r="H49" s="3"/>
      <c r="I49" s="3"/>
      <c r="J49" s="3"/>
      <c r="K49" s="3"/>
      <c r="L49" s="3"/>
    </row>
    <row r="50" spans="1:12" ht="29" x14ac:dyDescent="0.35">
      <c r="A50" s="6" t="s">
        <v>373</v>
      </c>
      <c r="F50" s="12">
        <v>0.92</v>
      </c>
      <c r="G50" s="12">
        <v>0.53</v>
      </c>
      <c r="H50" s="3"/>
      <c r="I50" s="3"/>
      <c r="J50" s="3"/>
      <c r="K50" s="3"/>
      <c r="L50" s="3"/>
    </row>
    <row r="51" spans="1:12" x14ac:dyDescent="0.35">
      <c r="A51" s="6" t="s">
        <v>374</v>
      </c>
      <c r="F51" s="12">
        <v>53879.94</v>
      </c>
      <c r="G51" s="12">
        <v>55622.41</v>
      </c>
      <c r="H51" s="3">
        <f ca="1">('Bal Sheet'!H19+'Bal Sheet'!H26)-(('Bal Sheet'!G19+'Bal Sheet'!G26))</f>
        <v>-4568.0236536463781</v>
      </c>
      <c r="I51" s="3">
        <f ca="1">('Bal Sheet'!I19+'Bal Sheet'!I26)-(('Bal Sheet'!H19+'Bal Sheet'!H26))</f>
        <v>-539.16717197006801</v>
      </c>
      <c r="J51" s="3">
        <f ca="1">('Bal Sheet'!J19+'Bal Sheet'!J26)-(('Bal Sheet'!I19+'Bal Sheet'!I26))</f>
        <v>8119.2549915154086</v>
      </c>
      <c r="K51" s="3">
        <f ca="1">('Bal Sheet'!K19+'Bal Sheet'!K26)-(('Bal Sheet'!J19+'Bal Sheet'!J26))</f>
        <v>14647.586294942856</v>
      </c>
      <c r="L51" s="3">
        <f ca="1">('Bal Sheet'!L19+'Bal Sheet'!L26)-(('Bal Sheet'!K19+'Bal Sheet'!K26))</f>
        <v>15146.434540081391</v>
      </c>
    </row>
    <row r="52" spans="1:12" x14ac:dyDescent="0.35">
      <c r="A52" s="6" t="s">
        <v>375</v>
      </c>
      <c r="F52" s="12">
        <v>-56937.78</v>
      </c>
      <c r="G52" s="12">
        <v>-37572.29</v>
      </c>
      <c r="H52" s="3"/>
      <c r="I52" s="3"/>
      <c r="J52" s="3"/>
      <c r="K52" s="3"/>
      <c r="L52" s="3"/>
    </row>
    <row r="53" spans="1:12" ht="29" x14ac:dyDescent="0.35">
      <c r="A53" s="6" t="s">
        <v>376</v>
      </c>
      <c r="F53" s="12">
        <v>-285.20999999999998</v>
      </c>
      <c r="G53" s="12">
        <v>516.71</v>
      </c>
      <c r="H53" s="3"/>
      <c r="I53" s="3"/>
      <c r="J53" s="3"/>
      <c r="K53" s="3"/>
      <c r="L53" s="3"/>
    </row>
    <row r="54" spans="1:12" ht="29" x14ac:dyDescent="0.35">
      <c r="A54" s="6" t="s">
        <v>377</v>
      </c>
      <c r="F54" s="12">
        <v>0</v>
      </c>
      <c r="G54" s="12">
        <v>400</v>
      </c>
      <c r="H54" s="3"/>
      <c r="I54" s="3"/>
      <c r="J54" s="3"/>
      <c r="K54" s="3"/>
      <c r="L54" s="3"/>
    </row>
    <row r="55" spans="1:12" x14ac:dyDescent="0.35">
      <c r="A55" s="6" t="s">
        <v>378</v>
      </c>
      <c r="F55" s="12">
        <v>-583.23</v>
      </c>
      <c r="G55" s="12">
        <v>-750.78</v>
      </c>
      <c r="H55" s="3"/>
      <c r="I55" s="3"/>
      <c r="J55" s="3"/>
      <c r="K55" s="3"/>
      <c r="L55" s="3"/>
    </row>
    <row r="56" spans="1:12" x14ac:dyDescent="0.35">
      <c r="A56" s="6" t="s">
        <v>379</v>
      </c>
      <c r="F56" s="12">
        <v>-980.44</v>
      </c>
      <c r="G56" s="12">
        <v>-1284.75</v>
      </c>
      <c r="H56" s="3">
        <f ca="1">Euity!H12</f>
        <v>-1725.5396390938481</v>
      </c>
      <c r="I56" s="3">
        <f ca="1">Euity!I12</f>
        <v>-1859.7693876557673</v>
      </c>
      <c r="J56" s="3">
        <f ca="1">Euity!J12</f>
        <v>-2060.4564638448182</v>
      </c>
      <c r="K56" s="3">
        <f ca="1">Euity!K12</f>
        <v>-2214.1632631997272</v>
      </c>
      <c r="L56" s="3">
        <f ca="1">Euity!L12</f>
        <v>-2289.570325910036</v>
      </c>
    </row>
    <row r="57" spans="1:12" x14ac:dyDescent="0.35">
      <c r="A57" s="6" t="s">
        <v>380</v>
      </c>
      <c r="F57" s="12">
        <v>-57.02</v>
      </c>
      <c r="G57" s="12">
        <v>-237.38</v>
      </c>
      <c r="H57" s="3"/>
      <c r="I57" s="3"/>
      <c r="J57" s="3"/>
      <c r="K57" s="3"/>
      <c r="L57" s="3"/>
    </row>
    <row r="58" spans="1:12" x14ac:dyDescent="0.35">
      <c r="A58" s="6" t="s">
        <v>381</v>
      </c>
      <c r="F58" s="12">
        <v>-240.28</v>
      </c>
      <c r="G58" s="12">
        <v>-13.94</v>
      </c>
      <c r="H58" s="3"/>
      <c r="I58" s="3"/>
      <c r="J58" s="3"/>
      <c r="K58" s="3"/>
      <c r="L58" s="3"/>
    </row>
    <row r="59" spans="1:12" ht="29" x14ac:dyDescent="0.35">
      <c r="A59" s="6" t="s">
        <v>382</v>
      </c>
      <c r="F59" s="12">
        <v>-679.5</v>
      </c>
      <c r="G59" s="12">
        <v>-734.4</v>
      </c>
      <c r="H59" s="3">
        <f ca="1">-H15</f>
        <v>-7012.9256038541444</v>
      </c>
      <c r="I59" s="3">
        <f t="shared" ref="I59:L59" ca="1" si="6">-I15</f>
        <v>-6962.7394208294872</v>
      </c>
      <c r="J59" s="3">
        <f t="shared" ca="1" si="6"/>
        <v>-7138.6475436324963</v>
      </c>
      <c r="K59" s="3">
        <f t="shared" ca="1" si="6"/>
        <v>-7701.3726757151117</v>
      </c>
      <c r="L59" s="3">
        <f t="shared" ca="1" si="6"/>
        <v>-8445.8284779901751</v>
      </c>
    </row>
    <row r="60" spans="1:12" x14ac:dyDescent="0.35">
      <c r="A60" s="344" t="s">
        <v>383</v>
      </c>
      <c r="B60" s="345"/>
      <c r="C60" s="345"/>
      <c r="D60" s="345"/>
      <c r="E60" s="345"/>
      <c r="F60" s="346">
        <v>-5882.6</v>
      </c>
      <c r="G60" s="346">
        <v>15946.11</v>
      </c>
      <c r="H60" s="361">
        <f ca="1">SUM(H50:H59)</f>
        <v>-13306.48889659437</v>
      </c>
      <c r="I60" s="361">
        <f t="shared" ref="I60:L60" ca="1" si="7">SUM(I50:I59)</f>
        <v>-9361.6759804553221</v>
      </c>
      <c r="J60" s="361">
        <f t="shared" ca="1" si="7"/>
        <v>-1079.8490159619059</v>
      </c>
      <c r="K60" s="361">
        <f t="shared" ca="1" si="7"/>
        <v>4732.0503560280167</v>
      </c>
      <c r="L60" s="361">
        <f t="shared" ca="1" si="7"/>
        <v>4411.0357361811803</v>
      </c>
    </row>
    <row r="61" spans="1:12" x14ac:dyDescent="0.35">
      <c r="A61" s="344" t="s">
        <v>384</v>
      </c>
      <c r="B61" s="345"/>
      <c r="C61" s="345"/>
      <c r="D61" s="345"/>
      <c r="E61" s="345"/>
      <c r="F61" s="346">
        <v>139.13</v>
      </c>
      <c r="G61" s="346">
        <v>324.83</v>
      </c>
      <c r="H61" s="361">
        <f ca="1">H29+H60+H48</f>
        <v>-10273.430000000004</v>
      </c>
      <c r="I61" s="361">
        <f t="shared" ref="I61:L61" ca="1" si="8">I29+I60+I48</f>
        <v>0</v>
      </c>
      <c r="J61" s="361">
        <f t="shared" ca="1" si="8"/>
        <v>8486.3593319202882</v>
      </c>
      <c r="K61" s="361">
        <f t="shared" ca="1" si="8"/>
        <v>14710.208626460795</v>
      </c>
      <c r="L61" s="361">
        <f t="shared" ca="1" si="8"/>
        <v>15110.12678193293</v>
      </c>
    </row>
    <row r="62" spans="1:12" ht="29" x14ac:dyDescent="0.35">
      <c r="A62" s="6" t="s">
        <v>385</v>
      </c>
      <c r="F62" s="12">
        <v>3374.59</v>
      </c>
      <c r="G62" s="12">
        <v>3487.59</v>
      </c>
      <c r="H62" s="3">
        <f>G65</f>
        <v>11273.43</v>
      </c>
      <c r="I62" s="3">
        <f t="shared" ref="I62:L62" ca="1" si="9">H65</f>
        <v>999.99999999999636</v>
      </c>
      <c r="J62" s="3">
        <f t="shared" ca="1" si="9"/>
        <v>999.99999999999636</v>
      </c>
      <c r="K62" s="3">
        <f t="shared" ca="1" si="9"/>
        <v>9486.3593319202846</v>
      </c>
      <c r="L62" s="3">
        <f t="shared" ca="1" si="9"/>
        <v>24196.567958381078</v>
      </c>
    </row>
    <row r="63" spans="1:12" ht="29" x14ac:dyDescent="0.35">
      <c r="A63" s="6" t="s">
        <v>386</v>
      </c>
      <c r="F63" s="12">
        <v>-13.36</v>
      </c>
      <c r="G63" s="12">
        <v>-352.87</v>
      </c>
      <c r="H63" s="3"/>
      <c r="I63" s="3"/>
      <c r="J63" s="3"/>
      <c r="K63" s="3"/>
      <c r="L63" s="3"/>
    </row>
    <row r="64" spans="1:12" ht="29" x14ac:dyDescent="0.35">
      <c r="A64" s="6" t="s">
        <v>387</v>
      </c>
      <c r="F64" s="12">
        <v>-12.77</v>
      </c>
      <c r="G64" s="12">
        <v>33.86</v>
      </c>
      <c r="H64" s="3"/>
      <c r="I64" s="3"/>
      <c r="J64" s="3"/>
      <c r="K64" s="3"/>
      <c r="L64" s="3"/>
    </row>
    <row r="65" spans="1:12" ht="29" x14ac:dyDescent="0.35">
      <c r="A65" s="344" t="s">
        <v>388</v>
      </c>
      <c r="B65" s="345"/>
      <c r="C65" s="345"/>
      <c r="D65" s="345"/>
      <c r="E65" s="345"/>
      <c r="F65" s="346">
        <v>3487.59</v>
      </c>
      <c r="G65" s="362">
        <f>'Bal Sheet'!G55</f>
        <v>11273.43</v>
      </c>
      <c r="H65" s="361">
        <f ca="1">H61+H62</f>
        <v>999.99999999999636</v>
      </c>
      <c r="I65" s="361">
        <f t="shared" ref="I65:L65" ca="1" si="10">I61+I62</f>
        <v>999.99999999999636</v>
      </c>
      <c r="J65" s="361">
        <f t="shared" ca="1" si="10"/>
        <v>9486.3593319202846</v>
      </c>
      <c r="K65" s="361">
        <f t="shared" ca="1" si="10"/>
        <v>24196.567958381078</v>
      </c>
      <c r="L65" s="361">
        <f t="shared" ca="1" si="10"/>
        <v>39306.694740314008</v>
      </c>
    </row>
    <row r="66" spans="1:12" x14ac:dyDescent="0.35">
      <c r="A66" s="6"/>
      <c r="F66" s="12"/>
      <c r="G66" s="12"/>
      <c r="H66" s="12"/>
      <c r="I66" s="12"/>
      <c r="J66" s="12"/>
      <c r="K66" s="12"/>
      <c r="L66" s="12"/>
    </row>
    <row r="67" spans="1:12" x14ac:dyDescent="0.35">
      <c r="A67" s="6"/>
      <c r="F67" s="12"/>
      <c r="G67" s="12"/>
      <c r="H67" s="12"/>
      <c r="I67" s="12"/>
      <c r="J67" s="12"/>
      <c r="K67" s="12"/>
      <c r="L67" s="12"/>
    </row>
    <row r="68" spans="1:12" x14ac:dyDescent="0.35">
      <c r="A68" s="6"/>
      <c r="F68" s="12"/>
      <c r="G68" s="12"/>
      <c r="H68" s="12"/>
      <c r="I68" s="12"/>
      <c r="J68" s="12"/>
      <c r="K68" s="12"/>
      <c r="L68" s="12"/>
    </row>
    <row r="69" spans="1:12" x14ac:dyDescent="0.35">
      <c r="A69" s="6"/>
      <c r="F69" s="12"/>
      <c r="G69" s="12"/>
      <c r="H69" s="12"/>
      <c r="I69" s="12"/>
      <c r="J69" s="12"/>
      <c r="K69" s="12"/>
      <c r="L69" s="12"/>
    </row>
    <row r="70" spans="1:12" x14ac:dyDescent="0.35">
      <c r="A70" s="6"/>
    </row>
    <row r="71" spans="1:12" x14ac:dyDescent="0.35">
      <c r="A71" s="6"/>
    </row>
    <row r="72" spans="1:12" x14ac:dyDescent="0.35">
      <c r="A72" s="6"/>
    </row>
    <row r="73" spans="1:12" x14ac:dyDescent="0.35">
      <c r="A73" s="6"/>
    </row>
    <row r="74" spans="1:12" x14ac:dyDescent="0.35">
      <c r="A74" s="6"/>
    </row>
    <row r="75" spans="1:12" x14ac:dyDescent="0.35">
      <c r="A75" s="6"/>
    </row>
    <row r="76" spans="1:12" x14ac:dyDescent="0.35">
      <c r="A76" s="6"/>
    </row>
    <row r="77" spans="1:12" x14ac:dyDescent="0.35">
      <c r="A77" s="6"/>
    </row>
    <row r="78" spans="1:12" x14ac:dyDescent="0.35">
      <c r="A78" s="6"/>
    </row>
    <row r="79" spans="1:12" x14ac:dyDescent="0.35">
      <c r="A79" s="6"/>
    </row>
    <row r="80" spans="1:12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339"/>
    </row>
    <row r="88" spans="1:1" x14ac:dyDescent="0.35">
      <c r="A88" s="339"/>
    </row>
    <row r="89" spans="1:1" x14ac:dyDescent="0.35">
      <c r="A89" s="339"/>
    </row>
    <row r="90" spans="1:1" x14ac:dyDescent="0.35">
      <c r="A90" s="339"/>
    </row>
    <row r="91" spans="1:1" x14ac:dyDescent="0.35">
      <c r="A91" s="339"/>
    </row>
    <row r="92" spans="1:1" x14ac:dyDescent="0.35">
      <c r="A92" s="339"/>
    </row>
    <row r="93" spans="1:1" x14ac:dyDescent="0.35">
      <c r="A93" s="339"/>
    </row>
    <row r="94" spans="1:1" x14ac:dyDescent="0.35">
      <c r="A94" s="339"/>
    </row>
    <row r="95" spans="1:1" x14ac:dyDescent="0.35">
      <c r="A95" s="339"/>
    </row>
    <row r="96" spans="1:1" x14ac:dyDescent="0.35">
      <c r="A96" s="339"/>
    </row>
    <row r="97" spans="1:1" x14ac:dyDescent="0.35">
      <c r="A97" s="339"/>
    </row>
  </sheetData>
  <conditionalFormatting sqref="D4">
    <cfRule type="expression" dxfId="9" priority="1">
      <formula>"="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1ECC-1C42-4DDE-B9D7-3D013E0BB9CF}">
  <dimension ref="A1:V169"/>
  <sheetViews>
    <sheetView topLeftCell="A71" zoomScale="87" zoomScaleNormal="87" workbookViewId="0">
      <selection activeCell="L61" sqref="L61"/>
    </sheetView>
  </sheetViews>
  <sheetFormatPr defaultRowHeight="14.5" x14ac:dyDescent="0.35"/>
  <cols>
    <col min="1" max="1" width="28.1796875" customWidth="1"/>
    <col min="2" max="2" width="3.90625" customWidth="1"/>
    <col min="3" max="3" width="11.453125" bestFit="1" customWidth="1"/>
    <col min="4" max="4" width="11.54296875" bestFit="1" customWidth="1"/>
    <col min="5" max="5" width="11.1796875" bestFit="1" customWidth="1"/>
    <col min="6" max="6" width="10" bestFit="1" customWidth="1"/>
    <col min="7" max="7" width="12.36328125" bestFit="1" customWidth="1"/>
    <col min="8" max="12" width="10.6328125" customWidth="1"/>
  </cols>
  <sheetData>
    <row r="1" spans="1:22" s="17" customFormat="1" x14ac:dyDescent="0.35">
      <c r="A1" s="82"/>
      <c r="B1" s="83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22" s="20" customFormat="1" x14ac:dyDescent="0.35">
      <c r="A2" s="85" t="s">
        <v>80</v>
      </c>
      <c r="B2" s="86"/>
      <c r="C2" s="87"/>
      <c r="D2" s="19"/>
      <c r="E2" s="19"/>
      <c r="F2" s="19"/>
      <c r="G2" s="19"/>
      <c r="H2" s="19"/>
      <c r="I2" s="19"/>
      <c r="J2" s="19"/>
      <c r="K2" s="19"/>
      <c r="L2" s="19"/>
    </row>
    <row r="3" spans="1:22" s="20" customFormat="1" x14ac:dyDescent="0.35">
      <c r="A3" s="1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22" s="20" customFormat="1" x14ac:dyDescent="0.35">
      <c r="A4" s="21" t="s">
        <v>241</v>
      </c>
      <c r="B4" s="18"/>
      <c r="C4" s="19"/>
      <c r="D4" s="22"/>
      <c r="E4" s="19"/>
      <c r="F4" s="19"/>
      <c r="G4" s="19"/>
      <c r="H4" s="19"/>
      <c r="I4" s="19"/>
      <c r="J4" s="19"/>
      <c r="K4" s="19"/>
      <c r="L4" s="19"/>
    </row>
    <row r="5" spans="1:22" s="20" customFormat="1" x14ac:dyDescent="0.35">
      <c r="A5" s="18" t="s">
        <v>82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22" s="20" customFormat="1" x14ac:dyDescent="0.35">
      <c r="A6" s="18" t="s">
        <v>83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22" s="17" customFormat="1" x14ac:dyDescent="0.35">
      <c r="A7" s="78" t="s">
        <v>84</v>
      </c>
      <c r="B7" s="79"/>
      <c r="C7" s="80">
        <v>2019</v>
      </c>
      <c r="D7" s="80">
        <f>C7+1</f>
        <v>2020</v>
      </c>
      <c r="E7" s="80">
        <f t="shared" ref="E7:G7" si="0">D7+1</f>
        <v>2021</v>
      </c>
      <c r="F7" s="80">
        <f t="shared" si="0"/>
        <v>2022</v>
      </c>
      <c r="G7" s="80">
        <f t="shared" si="0"/>
        <v>2023</v>
      </c>
      <c r="H7" s="81">
        <v>2024</v>
      </c>
      <c r="I7" s="81">
        <f>H7+1</f>
        <v>2025</v>
      </c>
      <c r="J7" s="81">
        <f t="shared" ref="J7:L7" si="1">I7+1</f>
        <v>2026</v>
      </c>
      <c r="K7" s="81">
        <f t="shared" si="1"/>
        <v>2027</v>
      </c>
      <c r="L7" s="81">
        <f t="shared" si="1"/>
        <v>2028</v>
      </c>
    </row>
    <row r="8" spans="1:22" s="88" customFormat="1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s="88" customFormat="1" x14ac:dyDescent="0.35">
      <c r="A9" s="333" t="s">
        <v>198</v>
      </c>
      <c r="B9" s="216"/>
      <c r="C9" s="217">
        <f>'Income Statement'!C14</f>
        <v>104720.68</v>
      </c>
      <c r="D9" s="217">
        <f>'Income Statement'!D14</f>
        <v>75381.929999999993</v>
      </c>
      <c r="E9" s="217">
        <f>'Income Statement'!E14</f>
        <v>74277.78</v>
      </c>
      <c r="F9" s="217">
        <f>'Income Statement'!F14</f>
        <v>90170.57</v>
      </c>
      <c r="G9" s="217">
        <f>'Income Statement'!G14</f>
        <v>121268.55</v>
      </c>
      <c r="H9" s="217">
        <f>'Income Statement'!H14</f>
        <v>130361.80518885751</v>
      </c>
      <c r="I9" s="217">
        <f>'Income Statement'!I14</f>
        <v>140152.27390281326</v>
      </c>
      <c r="J9" s="217">
        <f>'Income Statement'!J14</f>
        <v>150694.69095742426</v>
      </c>
      <c r="K9" s="217">
        <f>'Income Statement'!K14</f>
        <v>162048.19559313048</v>
      </c>
      <c r="L9" s="217">
        <f>'Income Statement'!L14</f>
        <v>174276.69497343351</v>
      </c>
      <c r="M9"/>
      <c r="N9"/>
      <c r="O9"/>
      <c r="P9"/>
      <c r="Q9"/>
      <c r="R9"/>
      <c r="S9"/>
      <c r="T9"/>
      <c r="U9"/>
      <c r="V9"/>
    </row>
    <row r="10" spans="1:22" s="88" customFormat="1" x14ac:dyDescent="0.35">
      <c r="A10" s="333" t="s">
        <v>234</v>
      </c>
      <c r="B10" s="216"/>
      <c r="C10" s="328">
        <v>3341.66</v>
      </c>
      <c r="D10" s="328">
        <v>2667.9900000000052</v>
      </c>
      <c r="E10" s="328">
        <v>-23095.690000000002</v>
      </c>
      <c r="F10" s="328">
        <v>5039.6100000000006</v>
      </c>
      <c r="G10" s="328">
        <v>-1069.8400000000038</v>
      </c>
      <c r="H10" s="329">
        <f>H9*H11</f>
        <v>5353.2175216578044</v>
      </c>
      <c r="I10" s="329">
        <f t="shared" ref="I10:L10" si="2">I9*I11</f>
        <v>5755.2563595586935</v>
      </c>
      <c r="J10" s="329">
        <f t="shared" si="2"/>
        <v>6188.1734368852003</v>
      </c>
      <c r="K10" s="329">
        <f t="shared" si="2"/>
        <v>6654.3972657132517</v>
      </c>
      <c r="L10" s="329">
        <f t="shared" si="2"/>
        <v>7156.5521495872827</v>
      </c>
      <c r="M10"/>
      <c r="N10" t="s">
        <v>510</v>
      </c>
      <c r="O10"/>
      <c r="P10"/>
      <c r="Q10"/>
      <c r="R10"/>
      <c r="S10"/>
      <c r="T10"/>
      <c r="U10"/>
      <c r="V10"/>
    </row>
    <row r="11" spans="1:22" s="88" customFormat="1" ht="29" x14ac:dyDescent="0.35">
      <c r="A11" s="334" t="s">
        <v>235</v>
      </c>
      <c r="B11" s="216"/>
      <c r="C11" s="220">
        <f>C10/C9</f>
        <v>3.1910220598261971E-2</v>
      </c>
      <c r="D11" s="220">
        <f t="shared" ref="D11:G11" si="3">D10/D9</f>
        <v>3.5392964865717892E-2</v>
      </c>
      <c r="E11" s="220">
        <f t="shared" si="3"/>
        <v>-0.31093672966531855</v>
      </c>
      <c r="F11" s="220">
        <f t="shared" si="3"/>
        <v>5.5889743183391211E-2</v>
      </c>
      <c r="G11" s="220">
        <f t="shared" si="3"/>
        <v>-8.8220729941934969E-3</v>
      </c>
      <c r="H11" s="483">
        <f>AVERAGE(C11,D11,F11)</f>
        <v>4.1064309549123691E-2</v>
      </c>
      <c r="I11" s="221">
        <f>H11</f>
        <v>4.1064309549123691E-2</v>
      </c>
      <c r="J11" s="221">
        <f t="shared" ref="J11:L11" si="4">I11</f>
        <v>4.1064309549123691E-2</v>
      </c>
      <c r="K11" s="221">
        <f t="shared" si="4"/>
        <v>4.1064309549123691E-2</v>
      </c>
      <c r="L11" s="221">
        <f t="shared" si="4"/>
        <v>4.1064309549123691E-2</v>
      </c>
      <c r="M11"/>
      <c r="N11"/>
      <c r="O11"/>
      <c r="P11"/>
      <c r="Q11"/>
      <c r="R11"/>
      <c r="S11"/>
      <c r="T11"/>
      <c r="U11"/>
      <c r="V11"/>
    </row>
    <row r="12" spans="1:22" s="88" customFormat="1" x14ac:dyDescent="0.35">
      <c r="A12" s="335"/>
      <c r="B12"/>
      <c r="C12"/>
      <c r="D12"/>
      <c r="E12" s="223"/>
      <c r="F12" s="223"/>
      <c r="G12" s="223"/>
      <c r="H12" s="223"/>
      <c r="I12" s="224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88" customFormat="1" x14ac:dyDescent="0.35">
      <c r="A13" s="333" t="s">
        <v>79</v>
      </c>
      <c r="B13" s="216"/>
      <c r="C13" s="331">
        <v>1934.98</v>
      </c>
      <c r="D13" s="332">
        <v>3447.9900000000016</v>
      </c>
      <c r="E13" s="332">
        <v>-16407.660000000003</v>
      </c>
      <c r="F13" s="332">
        <v>1066.1400000000012</v>
      </c>
      <c r="G13" s="332">
        <v>1024.25</v>
      </c>
      <c r="H13" s="218"/>
      <c r="I13" s="218"/>
      <c r="J13" s="218"/>
      <c r="K13" s="218"/>
      <c r="L13" s="218"/>
      <c r="M13"/>
      <c r="N13"/>
      <c r="O13"/>
      <c r="P13"/>
      <c r="Q13"/>
      <c r="R13"/>
      <c r="S13"/>
      <c r="T13"/>
      <c r="U13"/>
      <c r="V13"/>
    </row>
    <row r="14" spans="1:22" s="88" customFormat="1" ht="29" x14ac:dyDescent="0.35">
      <c r="A14" s="333" t="s">
        <v>236</v>
      </c>
      <c r="B14" s="216"/>
      <c r="C14" s="226"/>
      <c r="D14" s="226"/>
      <c r="E14" s="226"/>
      <c r="F14" s="226"/>
      <c r="G14" s="226"/>
      <c r="H14" s="227"/>
      <c r="I14" s="330"/>
      <c r="J14" s="330"/>
      <c r="K14" s="330"/>
      <c r="L14" s="330"/>
      <c r="M14"/>
      <c r="N14"/>
      <c r="O14"/>
      <c r="P14"/>
      <c r="Q14"/>
      <c r="R14"/>
      <c r="S14"/>
      <c r="T14"/>
      <c r="U14"/>
      <c r="V14"/>
    </row>
    <row r="15" spans="1:22" s="88" customFormat="1" x14ac:dyDescent="0.35">
      <c r="A15" s="335"/>
      <c r="B15"/>
      <c r="C15"/>
      <c r="D15"/>
      <c r="E15" s="223"/>
      <c r="F15" s="223"/>
      <c r="G15" s="223"/>
      <c r="H15" s="223"/>
      <c r="I15" s="223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s="88" customFormat="1" x14ac:dyDescent="0.35">
      <c r="A16" s="335"/>
      <c r="B16"/>
      <c r="C16"/>
      <c r="D16"/>
      <c r="E16" s="223"/>
      <c r="F16" s="223"/>
      <c r="G16" s="223"/>
      <c r="H16" s="223"/>
      <c r="I16" s="223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s="88" customFormat="1" x14ac:dyDescent="0.35">
      <c r="A17" s="333" t="s">
        <v>237</v>
      </c>
      <c r="B17" s="216"/>
      <c r="C17" s="216"/>
      <c r="D17" s="216"/>
      <c r="E17" s="225"/>
      <c r="F17" s="228"/>
      <c r="G17" s="228"/>
      <c r="H17" s="229">
        <f>G21</f>
        <v>20351.330000000002</v>
      </c>
      <c r="I17" s="229">
        <f t="shared" ref="I17:L17" si="5">H21</f>
        <v>23137.875597773149</v>
      </c>
      <c r="J17" s="229">
        <f t="shared" si="5"/>
        <v>26017.435386766479</v>
      </c>
      <c r="K17" s="229">
        <f t="shared" si="5"/>
        <v>28972.056940408143</v>
      </c>
      <c r="L17" s="229">
        <f t="shared" si="5"/>
        <v>32156.937225384452</v>
      </c>
      <c r="M17"/>
      <c r="N17"/>
      <c r="O17"/>
      <c r="P17"/>
      <c r="Q17"/>
      <c r="R17"/>
      <c r="S17"/>
      <c r="T17"/>
      <c r="U17"/>
      <c r="V17"/>
    </row>
    <row r="18" spans="1:22" s="88" customFormat="1" x14ac:dyDescent="0.35">
      <c r="A18" s="333" t="s">
        <v>234</v>
      </c>
      <c r="B18" s="216"/>
      <c r="C18" s="216"/>
      <c r="D18" s="216"/>
      <c r="E18" s="225"/>
      <c r="F18" s="230"/>
      <c r="G18" s="230"/>
      <c r="H18" s="229">
        <f>H10</f>
        <v>5353.2175216578044</v>
      </c>
      <c r="I18" s="229">
        <f t="shared" ref="I18:L18" si="6">I10</f>
        <v>5755.2563595586935</v>
      </c>
      <c r="J18" s="229">
        <f t="shared" si="6"/>
        <v>6188.1734368852003</v>
      </c>
      <c r="K18" s="229">
        <f t="shared" si="6"/>
        <v>6654.3972657132517</v>
      </c>
      <c r="L18" s="229">
        <f t="shared" si="6"/>
        <v>7156.5521495872827</v>
      </c>
      <c r="M18"/>
      <c r="N18"/>
      <c r="O18"/>
      <c r="P18"/>
      <c r="Q18"/>
      <c r="R18"/>
      <c r="S18"/>
      <c r="T18"/>
      <c r="U18"/>
      <c r="V18"/>
    </row>
    <row r="19" spans="1:22" s="88" customFormat="1" x14ac:dyDescent="0.35">
      <c r="A19" s="333" t="s">
        <v>238</v>
      </c>
      <c r="B19" s="216"/>
      <c r="C19" s="216"/>
      <c r="D19" s="216"/>
      <c r="E19" s="225"/>
      <c r="F19" s="230"/>
      <c r="G19" s="230"/>
      <c r="H19" s="229">
        <f>-H168</f>
        <v>-2566.6719238846558</v>
      </c>
      <c r="I19" s="229">
        <f t="shared" ref="I19:L19" si="7">-I168</f>
        <v>-2875.6965705653629</v>
      </c>
      <c r="J19" s="229">
        <f t="shared" si="7"/>
        <v>-3233.5518832435359</v>
      </c>
      <c r="K19" s="229">
        <f t="shared" si="7"/>
        <v>-3469.5169807369434</v>
      </c>
      <c r="L19" s="229">
        <f t="shared" si="7"/>
        <v>-3909.4332627198896</v>
      </c>
      <c r="M19"/>
      <c r="N19"/>
      <c r="O19"/>
      <c r="P19"/>
      <c r="Q19"/>
      <c r="R19"/>
      <c r="S19"/>
      <c r="T19"/>
      <c r="U19"/>
      <c r="V19"/>
    </row>
    <row r="20" spans="1:22" s="88" customFormat="1" x14ac:dyDescent="0.35">
      <c r="A20" s="333" t="s">
        <v>239</v>
      </c>
      <c r="B20" s="216"/>
      <c r="C20" s="216"/>
      <c r="D20" s="216"/>
      <c r="E20" s="225"/>
      <c r="F20" s="231"/>
      <c r="G20" s="231"/>
      <c r="H20" s="232"/>
      <c r="I20" s="232"/>
      <c r="J20" s="232"/>
      <c r="K20" s="232"/>
      <c r="L20" s="232"/>
      <c r="M20"/>
      <c r="N20"/>
      <c r="O20"/>
      <c r="P20"/>
      <c r="Q20"/>
      <c r="R20"/>
      <c r="S20"/>
      <c r="T20"/>
      <c r="U20"/>
      <c r="V20"/>
    </row>
    <row r="21" spans="1:22" s="88" customFormat="1" x14ac:dyDescent="0.35">
      <c r="A21" s="333" t="s">
        <v>240</v>
      </c>
      <c r="B21" s="216"/>
      <c r="C21" s="216"/>
      <c r="D21" s="233"/>
      <c r="E21" s="233"/>
      <c r="F21" s="234"/>
      <c r="G21" s="234">
        <f>'Bal Sheet'!G36</f>
        <v>20351.330000000002</v>
      </c>
      <c r="H21" s="235">
        <f>SUM(H17:H20)</f>
        <v>23137.875597773149</v>
      </c>
      <c r="I21" s="235">
        <f t="shared" ref="I21:L21" si="8">SUM(I17:I20)</f>
        <v>26017.435386766479</v>
      </c>
      <c r="J21" s="235">
        <f t="shared" si="8"/>
        <v>28972.056940408143</v>
      </c>
      <c r="K21" s="235">
        <f t="shared" si="8"/>
        <v>32156.937225384452</v>
      </c>
      <c r="L21" s="235">
        <f t="shared" si="8"/>
        <v>35404.056112251848</v>
      </c>
      <c r="M21"/>
      <c r="N21"/>
      <c r="O21"/>
      <c r="P21"/>
      <c r="Q21"/>
      <c r="R21"/>
      <c r="S21"/>
      <c r="T21"/>
      <c r="U21"/>
      <c r="V21"/>
    </row>
    <row r="24" spans="1:22" x14ac:dyDescent="0.35">
      <c r="A24" s="375" t="s">
        <v>437</v>
      </c>
      <c r="B24" s="15"/>
      <c r="C24" s="376" t="s">
        <v>404</v>
      </c>
      <c r="D24" s="376" t="s">
        <v>405</v>
      </c>
      <c r="E24" s="376" t="s">
        <v>406</v>
      </c>
      <c r="F24" s="377" t="s">
        <v>407</v>
      </c>
      <c r="G24" s="168"/>
      <c r="H24" s="168" t="s">
        <v>408</v>
      </c>
      <c r="I24" s="168"/>
      <c r="J24" s="168"/>
      <c r="K24" s="168"/>
      <c r="L24" s="168"/>
    </row>
    <row r="25" spans="1:22" x14ac:dyDescent="0.35">
      <c r="A25" s="378" t="s">
        <v>428</v>
      </c>
      <c r="B25" s="15"/>
      <c r="C25" s="379">
        <v>1242.19</v>
      </c>
      <c r="D25" s="380">
        <v>1166.28</v>
      </c>
      <c r="E25" s="381"/>
      <c r="F25" s="382">
        <f>C25/C$34</f>
        <v>3.5529433435119225E-2</v>
      </c>
      <c r="G25" s="383"/>
      <c r="H25" s="168"/>
      <c r="I25" s="168"/>
      <c r="J25" s="168"/>
      <c r="K25" s="168"/>
      <c r="L25" s="168"/>
    </row>
    <row r="26" spans="1:22" x14ac:dyDescent="0.35">
      <c r="A26" s="378" t="s">
        <v>409</v>
      </c>
      <c r="B26" s="15"/>
      <c r="C26" s="379">
        <v>6680.45</v>
      </c>
      <c r="D26" s="384">
        <v>4735.04</v>
      </c>
      <c r="E26" s="385">
        <v>31.5</v>
      </c>
      <c r="F26" s="382">
        <f t="shared" ref="F26:F32" si="9">C26/C$34</f>
        <v>0.19107592525430264</v>
      </c>
      <c r="G26" s="383"/>
      <c r="H26" s="168" t="s">
        <v>410</v>
      </c>
      <c r="I26" s="168"/>
      <c r="J26" s="168"/>
      <c r="K26" s="386"/>
      <c r="L26" s="168"/>
    </row>
    <row r="27" spans="1:22" x14ac:dyDescent="0.35">
      <c r="A27" s="378" t="s">
        <v>429</v>
      </c>
      <c r="B27" s="15"/>
      <c r="C27" s="379">
        <v>66.94</v>
      </c>
      <c r="D27" s="384">
        <v>23.72</v>
      </c>
      <c r="E27" s="385">
        <v>31.5</v>
      </c>
      <c r="F27" s="382">
        <f t="shared" si="9"/>
        <v>1.9146348579097245E-3</v>
      </c>
      <c r="G27" s="387"/>
      <c r="H27" s="168" t="s">
        <v>410</v>
      </c>
      <c r="I27" s="168"/>
      <c r="J27" s="168"/>
      <c r="K27" s="386"/>
      <c r="L27" s="168"/>
    </row>
    <row r="28" spans="1:22" x14ac:dyDescent="0.35">
      <c r="A28" s="416" t="s">
        <v>432</v>
      </c>
      <c r="B28" s="15"/>
      <c r="C28" s="379">
        <v>24542.33</v>
      </c>
      <c r="D28" s="384">
        <v>9815.24</v>
      </c>
      <c r="E28" s="385">
        <f>13.5</f>
        <v>13.5</v>
      </c>
      <c r="F28" s="382">
        <f t="shared" si="9"/>
        <v>0.70196594730091977</v>
      </c>
      <c r="G28" s="387"/>
      <c r="H28" s="168" t="s">
        <v>410</v>
      </c>
      <c r="I28" s="168"/>
      <c r="J28" s="168"/>
      <c r="K28" s="386"/>
      <c r="L28" s="168"/>
    </row>
    <row r="29" spans="1:22" x14ac:dyDescent="0.35">
      <c r="A29" s="378" t="s">
        <v>411</v>
      </c>
      <c r="B29" s="15"/>
      <c r="C29" s="379">
        <v>914.36</v>
      </c>
      <c r="D29" s="384">
        <v>305.29000000000002</v>
      </c>
      <c r="E29" s="385">
        <v>10</v>
      </c>
      <c r="F29" s="382">
        <f t="shared" si="9"/>
        <v>2.6152756628000234E-2</v>
      </c>
      <c r="G29" s="387"/>
      <c r="H29" s="168" t="s">
        <v>410</v>
      </c>
      <c r="I29" s="168"/>
      <c r="J29" s="168"/>
      <c r="K29" s="386"/>
      <c r="L29" s="168"/>
    </row>
    <row r="30" spans="1:22" x14ac:dyDescent="0.35">
      <c r="A30" s="378" t="s">
        <v>430</v>
      </c>
      <c r="B30" s="15"/>
      <c r="C30" s="379">
        <v>1021.79</v>
      </c>
      <c r="D30" s="384">
        <v>479.27</v>
      </c>
      <c r="E30" s="385">
        <f>(2+10)/2</f>
        <v>6</v>
      </c>
      <c r="F30" s="382">
        <f t="shared" si="9"/>
        <v>2.9225496735338769E-2</v>
      </c>
      <c r="G30" s="387"/>
      <c r="H30" s="168" t="s">
        <v>410</v>
      </c>
      <c r="I30" s="168"/>
      <c r="J30" s="168"/>
      <c r="K30" s="386"/>
      <c r="L30" s="168"/>
    </row>
    <row r="31" spans="1:22" x14ac:dyDescent="0.35">
      <c r="A31" s="378" t="s">
        <v>431</v>
      </c>
      <c r="B31" s="15"/>
      <c r="C31" s="379">
        <v>57.22</v>
      </c>
      <c r="D31" s="384">
        <v>8.51</v>
      </c>
      <c r="E31" s="385">
        <v>20</v>
      </c>
      <c r="F31" s="382">
        <f t="shared" si="9"/>
        <v>1.6366209526381002E-3</v>
      </c>
      <c r="G31" s="387"/>
      <c r="H31" s="168" t="s">
        <v>410</v>
      </c>
      <c r="I31" s="168"/>
      <c r="J31" s="168"/>
      <c r="K31" s="386"/>
      <c r="L31" s="168"/>
    </row>
    <row r="32" spans="1:22" x14ac:dyDescent="0.35">
      <c r="A32" s="378" t="s">
        <v>412</v>
      </c>
      <c r="B32" s="15"/>
      <c r="C32" s="379">
        <v>437</v>
      </c>
      <c r="D32" s="384">
        <v>105.07</v>
      </c>
      <c r="E32" s="385">
        <v>5</v>
      </c>
      <c r="F32" s="382">
        <f t="shared" si="9"/>
        <v>1.249918483577158E-2</v>
      </c>
      <c r="G32" s="387"/>
      <c r="H32" s="168" t="s">
        <v>410</v>
      </c>
      <c r="I32" s="168"/>
      <c r="J32" s="168"/>
      <c r="K32" s="386"/>
      <c r="L32" s="168"/>
    </row>
    <row r="33" spans="1:12" x14ac:dyDescent="0.35">
      <c r="A33" s="378"/>
      <c r="B33" s="15"/>
      <c r="C33" s="379"/>
      <c r="D33" s="384"/>
      <c r="E33" s="385"/>
      <c r="F33" s="382"/>
      <c r="G33" s="387"/>
      <c r="H33" s="168"/>
      <c r="I33" s="168"/>
      <c r="J33" s="168"/>
      <c r="K33" s="386"/>
      <c r="L33" s="168"/>
    </row>
    <row r="34" spans="1:12" ht="15" thickBot="1" x14ac:dyDescent="0.4">
      <c r="A34" s="388" t="s">
        <v>413</v>
      </c>
      <c r="B34" s="15"/>
      <c r="C34" s="389">
        <f>SUM(C25:C33)</f>
        <v>34962.28</v>
      </c>
      <c r="D34" s="389">
        <f>SUM(D25:D33)</f>
        <v>16638.419999999998</v>
      </c>
      <c r="E34" s="390"/>
      <c r="F34" s="391">
        <f>SUM(F25:F33)</f>
        <v>1</v>
      </c>
      <c r="G34" s="168"/>
      <c r="H34" s="168"/>
      <c r="I34" s="168"/>
      <c r="J34" s="168"/>
      <c r="K34" s="168"/>
      <c r="L34" s="168"/>
    </row>
    <row r="35" spans="1:12" ht="15" thickTop="1" x14ac:dyDescent="0.35">
      <c r="A35" s="168"/>
      <c r="G35" s="392" t="s">
        <v>414</v>
      </c>
      <c r="H35" s="392"/>
      <c r="I35" s="392"/>
      <c r="J35" s="392"/>
      <c r="K35" s="392"/>
      <c r="L35" s="392"/>
    </row>
    <row r="36" spans="1:12" x14ac:dyDescent="0.35">
      <c r="A36" s="78" t="s">
        <v>84</v>
      </c>
      <c r="B36" s="79"/>
      <c r="C36" s="80">
        <v>2019</v>
      </c>
      <c r="D36" s="80">
        <f>C36+1</f>
        <v>2020</v>
      </c>
      <c r="E36" s="80">
        <f t="shared" ref="E36" si="10">D36+1</f>
        <v>2021</v>
      </c>
      <c r="F36" s="80">
        <f t="shared" ref="F36" si="11">E36+1</f>
        <v>2022</v>
      </c>
      <c r="G36" s="80">
        <f t="shared" ref="G36" si="12">F36+1</f>
        <v>2023</v>
      </c>
      <c r="H36" s="81">
        <v>2024</v>
      </c>
      <c r="I36" s="81">
        <f>H36+1</f>
        <v>2025</v>
      </c>
      <c r="J36" s="81">
        <f t="shared" ref="J36" si="13">I36+1</f>
        <v>2026</v>
      </c>
      <c r="K36" s="81">
        <f t="shared" ref="K36" si="14">J36+1</f>
        <v>2027</v>
      </c>
      <c r="L36" s="81">
        <f t="shared" ref="L36" si="15">K36+1</f>
        <v>2028</v>
      </c>
    </row>
    <row r="37" spans="1:12" x14ac:dyDescent="0.35">
      <c r="A37" s="393" t="s">
        <v>415</v>
      </c>
    </row>
    <row r="38" spans="1:12" x14ac:dyDescent="0.35">
      <c r="A38" s="394" t="s">
        <v>416</v>
      </c>
      <c r="C38" t="s">
        <v>417</v>
      </c>
      <c r="E38" s="280"/>
      <c r="F38" s="16"/>
      <c r="G38" s="16"/>
      <c r="H38" s="16"/>
      <c r="I38" s="16"/>
      <c r="J38" s="16"/>
    </row>
    <row r="39" spans="1:12" x14ac:dyDescent="0.35">
      <c r="A39" s="378" t="s">
        <v>428</v>
      </c>
      <c r="E39" s="395"/>
      <c r="F39" s="395"/>
      <c r="G39" s="395"/>
      <c r="H39" s="396">
        <f>H$10*$F25</f>
        <v>190.19678559945487</v>
      </c>
      <c r="I39" s="396">
        <f t="shared" ref="I39:L39" si="16">I$10*$F25</f>
        <v>204.48099772898721</v>
      </c>
      <c r="J39" s="396">
        <f t="shared" si="16"/>
        <v>219.86229621078567</v>
      </c>
      <c r="K39" s="396">
        <f t="shared" si="16"/>
        <v>236.42696470299836</v>
      </c>
      <c r="L39" s="396">
        <f t="shared" si="16"/>
        <v>254.26824322372076</v>
      </c>
    </row>
    <row r="40" spans="1:12" x14ac:dyDescent="0.35">
      <c r="A40" s="378" t="s">
        <v>409</v>
      </c>
      <c r="E40" s="395"/>
      <c r="F40" s="395"/>
      <c r="G40" s="395"/>
      <c r="H40" s="396">
        <f t="shared" ref="H40:L40" si="17">H$10*$F26</f>
        <v>1022.8709910383099</v>
      </c>
      <c r="I40" s="396">
        <f t="shared" si="17"/>
        <v>1099.6909339783867</v>
      </c>
      <c r="J40" s="396">
        <f t="shared" si="17"/>
        <v>1182.4109650869377</v>
      </c>
      <c r="K40" s="396">
        <f t="shared" si="17"/>
        <v>1271.4951145558612</v>
      </c>
      <c r="L40" s="396">
        <f t="shared" si="17"/>
        <v>1367.4448236130586</v>
      </c>
    </row>
    <row r="41" spans="1:12" x14ac:dyDescent="0.35">
      <c r="A41" s="378" t="s">
        <v>429</v>
      </c>
      <c r="E41" s="395"/>
      <c r="F41" s="395"/>
      <c r="G41" s="395"/>
      <c r="H41" s="396">
        <f t="shared" ref="H41:L41" si="18">H$10*$F27</f>
        <v>10.249456868939138</v>
      </c>
      <c r="I41" s="396">
        <f t="shared" si="18"/>
        <v>11.019214442217697</v>
      </c>
      <c r="J41" s="396">
        <f t="shared" si="18"/>
        <v>11.848092569051428</v>
      </c>
      <c r="K41" s="396">
        <f t="shared" si="18"/>
        <v>12.740740963313751</v>
      </c>
      <c r="L41" s="396">
        <f t="shared" si="18"/>
        <v>13.70218420804858</v>
      </c>
    </row>
    <row r="42" spans="1:12" x14ac:dyDescent="0.35">
      <c r="A42" s="416" t="s">
        <v>432</v>
      </c>
      <c r="E42" s="395"/>
      <c r="F42" s="395"/>
      <c r="G42" s="395"/>
      <c r="H42" s="396">
        <f t="shared" ref="H42:L42" si="19">H$10*$F28</f>
        <v>3757.7764086984025</v>
      </c>
      <c r="I42" s="396">
        <f t="shared" si="19"/>
        <v>4039.9939823972613</v>
      </c>
      <c r="J42" s="396">
        <f t="shared" si="19"/>
        <v>4343.8870286855081</v>
      </c>
      <c r="K42" s="396">
        <f t="shared" si="19"/>
        <v>4671.1602803430533</v>
      </c>
      <c r="L42" s="396">
        <f t="shared" si="19"/>
        <v>5023.6559090934707</v>
      </c>
    </row>
    <row r="43" spans="1:12" x14ac:dyDescent="0.35">
      <c r="A43" s="378" t="s">
        <v>411</v>
      </c>
      <c r="E43" s="395"/>
      <c r="F43" s="395"/>
      <c r="G43" s="395"/>
      <c r="H43" s="396">
        <f t="shared" ref="H43:L43" si="20">H$10*$F29</f>
        <v>140.00139502066313</v>
      </c>
      <c r="I43" s="396">
        <f t="shared" si="20"/>
        <v>150.51581890328913</v>
      </c>
      <c r="J43" s="396">
        <f t="shared" si="20"/>
        <v>161.83779386671441</v>
      </c>
      <c r="K43" s="396">
        <f t="shared" si="20"/>
        <v>174.03083219622889</v>
      </c>
      <c r="L43" s="396">
        <f t="shared" si="20"/>
        <v>187.16356666374813</v>
      </c>
    </row>
    <row r="44" spans="1:12" x14ac:dyDescent="0.35">
      <c r="A44" s="378" t="s">
        <v>430</v>
      </c>
      <c r="E44" s="395"/>
      <c r="F44" s="395"/>
      <c r="G44" s="395"/>
      <c r="H44" s="396">
        <f t="shared" ref="H44:L44" si="21">H$10*$F30</f>
        <v>156.45044120276845</v>
      </c>
      <c r="I44" s="396">
        <f t="shared" si="21"/>
        <v>168.20022594732029</v>
      </c>
      <c r="J44" s="396">
        <f t="shared" si="21"/>
        <v>180.85244257739851</v>
      </c>
      <c r="K44" s="396">
        <f t="shared" si="21"/>
        <v>194.47806556474987</v>
      </c>
      <c r="L44" s="396">
        <f t="shared" si="21"/>
        <v>209.15379148404477</v>
      </c>
    </row>
    <row r="45" spans="1:12" x14ac:dyDescent="0.35">
      <c r="A45" s="378" t="s">
        <v>431</v>
      </c>
      <c r="E45" s="395"/>
      <c r="F45" s="395"/>
      <c r="G45" s="395"/>
      <c r="H45" s="396">
        <f t="shared" ref="H45:L45" si="22">H$10*$F31</f>
        <v>8.7611879599745652</v>
      </c>
      <c r="I45" s="396">
        <f t="shared" si="22"/>
        <v>9.4191731458574335</v>
      </c>
      <c r="J45" s="396">
        <f t="shared" si="22"/>
        <v>10.127694305364843</v>
      </c>
      <c r="K45" s="396">
        <f t="shared" si="22"/>
        <v>10.890725992243992</v>
      </c>
      <c r="L45" s="396">
        <f t="shared" si="22"/>
        <v>11.712563196661783</v>
      </c>
    </row>
    <row r="46" spans="1:12" x14ac:dyDescent="0.35">
      <c r="A46" s="378" t="s">
        <v>412</v>
      </c>
      <c r="E46" s="395"/>
      <c r="F46" s="395"/>
      <c r="G46" s="395"/>
      <c r="H46" s="396">
        <f t="shared" ref="H46:L46" si="23">H$10*$F32</f>
        <v>66.910855269291943</v>
      </c>
      <c r="I46" s="396">
        <f t="shared" si="23"/>
        <v>71.936013015373973</v>
      </c>
      <c r="J46" s="396">
        <f t="shared" si="23"/>
        <v>77.347123583439995</v>
      </c>
      <c r="K46" s="396">
        <f t="shared" si="23"/>
        <v>83.174541394802944</v>
      </c>
      <c r="L46" s="396">
        <f t="shared" si="23"/>
        <v>89.451068104529867</v>
      </c>
    </row>
    <row r="47" spans="1:12" x14ac:dyDescent="0.35">
      <c r="A47" s="397"/>
      <c r="E47" s="395"/>
      <c r="F47" s="395"/>
      <c r="G47" s="395"/>
      <c r="H47" s="398"/>
      <c r="I47" s="398"/>
      <c r="J47" s="398"/>
      <c r="K47" s="398"/>
      <c r="L47" s="398"/>
    </row>
    <row r="48" spans="1:12" ht="15" thickBot="1" x14ac:dyDescent="0.4">
      <c r="A48" s="399" t="s">
        <v>2</v>
      </c>
      <c r="B48" s="400"/>
      <c r="C48" s="400"/>
      <c r="D48" s="400"/>
      <c r="E48" s="401"/>
      <c r="F48" s="401"/>
      <c r="G48" s="401"/>
      <c r="H48" s="402">
        <f>SUM(H39:H47)</f>
        <v>5353.2175216578044</v>
      </c>
      <c r="I48" s="402">
        <f t="shared" ref="I48:L48" si="24">SUM(I39:I47)</f>
        <v>5755.2563595586935</v>
      </c>
      <c r="J48" s="402">
        <f t="shared" si="24"/>
        <v>6188.1734368852012</v>
      </c>
      <c r="K48" s="402">
        <f t="shared" si="24"/>
        <v>6654.3972657132535</v>
      </c>
      <c r="L48" s="402">
        <f t="shared" si="24"/>
        <v>7156.5521495872827</v>
      </c>
    </row>
    <row r="49" spans="1:12" ht="15" thickTop="1" x14ac:dyDescent="0.35">
      <c r="A49" s="168"/>
    </row>
    <row r="50" spans="1:12" x14ac:dyDescent="0.35">
      <c r="A50" s="78" t="str">
        <f>CHOOSE(B50,$A$26,$A$27,$A$28,$A$29,$A$30,$A$31,$A$32)</f>
        <v>Buildings</v>
      </c>
      <c r="B50" s="484">
        <v>1</v>
      </c>
      <c r="C50" s="80">
        <v>2019</v>
      </c>
      <c r="D50" s="80">
        <f>C50+1</f>
        <v>2020</v>
      </c>
      <c r="E50" s="80">
        <f t="shared" ref="E50" si="25">D50+1</f>
        <v>2021</v>
      </c>
      <c r="F50" s="80">
        <f t="shared" ref="F50" si="26">E50+1</f>
        <v>2022</v>
      </c>
      <c r="G50" s="80">
        <f t="shared" ref="G50" si="27">F50+1</f>
        <v>2023</v>
      </c>
      <c r="H50" s="81">
        <v>2024</v>
      </c>
      <c r="I50" s="81">
        <f>H50+1</f>
        <v>2025</v>
      </c>
      <c r="J50" s="81">
        <f t="shared" ref="J50" si="28">I50+1</f>
        <v>2026</v>
      </c>
      <c r="K50" s="81">
        <f t="shared" ref="K50" si="29">J50+1</f>
        <v>2027</v>
      </c>
      <c r="L50" s="81">
        <f t="shared" ref="L50" si="30">K50+1</f>
        <v>2028</v>
      </c>
    </row>
    <row r="51" spans="1:12" x14ac:dyDescent="0.35">
      <c r="A51" s="403" t="s">
        <v>406</v>
      </c>
      <c r="C51" s="280">
        <f>VLOOKUP(A50,GrossPPE_Breakup,5,FALSE)</f>
        <v>31.5</v>
      </c>
    </row>
    <row r="52" spans="1:12" x14ac:dyDescent="0.35">
      <c r="A52" s="403" t="str">
        <f>CONCATENATE("Gross Value of"," ",A50)</f>
        <v>Gross Value of Buildings</v>
      </c>
      <c r="C52" s="4">
        <f>VLOOKUP(A50,GrossPPE_Breakup,3,FALSE)</f>
        <v>6680.45</v>
      </c>
    </row>
    <row r="53" spans="1:12" x14ac:dyDescent="0.35">
      <c r="A53" s="403" t="s">
        <v>418</v>
      </c>
      <c r="C53" s="4">
        <f>VLOOKUP(A50,GrossPPE_Breakup,4,FALSE)</f>
        <v>4735.04</v>
      </c>
      <c r="G53" s="4">
        <f>C53</f>
        <v>4735.04</v>
      </c>
      <c r="H53" s="280">
        <f>G53-H54</f>
        <v>4522.9622222222224</v>
      </c>
      <c r="I53" s="280">
        <f t="shared" ref="I53:L53" si="31">H53-I54</f>
        <v>4310.8844444444449</v>
      </c>
      <c r="J53" s="280">
        <f t="shared" si="31"/>
        <v>4098.8066666666673</v>
      </c>
      <c r="K53" s="280">
        <f t="shared" si="31"/>
        <v>3886.7288888888897</v>
      </c>
      <c r="L53" s="280">
        <f t="shared" si="31"/>
        <v>3674.6511111111122</v>
      </c>
    </row>
    <row r="54" spans="1:12" x14ac:dyDescent="0.35">
      <c r="A54" s="404" t="s">
        <v>419</v>
      </c>
      <c r="B54" s="9"/>
      <c r="C54" s="9"/>
      <c r="D54" s="9"/>
      <c r="E54" s="283"/>
      <c r="F54" s="405"/>
      <c r="G54" s="405"/>
      <c r="H54" s="406">
        <f>IF(G53&lt;$C52/$C51,G53,$C52/$C51)</f>
        <v>212.07777777777778</v>
      </c>
      <c r="I54" s="406">
        <f t="shared" ref="I54:L54" si="32">IF(H53&lt;$C52/$C51,H53,$C52/$C51)</f>
        <v>212.07777777777778</v>
      </c>
      <c r="J54" s="406">
        <f t="shared" si="32"/>
        <v>212.07777777777778</v>
      </c>
      <c r="K54" s="406">
        <f t="shared" si="32"/>
        <v>212.07777777777778</v>
      </c>
      <c r="L54" s="406">
        <f t="shared" si="32"/>
        <v>212.07777777777778</v>
      </c>
    </row>
    <row r="55" spans="1:12" x14ac:dyDescent="0.35">
      <c r="A55" s="168"/>
    </row>
    <row r="56" spans="1:12" x14ac:dyDescent="0.35">
      <c r="A56" t="s">
        <v>420</v>
      </c>
    </row>
    <row r="57" spans="1:12" x14ac:dyDescent="0.35">
      <c r="A57" s="407" t="s">
        <v>421</v>
      </c>
      <c r="B57" s="408"/>
      <c r="C57" t="s">
        <v>422</v>
      </c>
    </row>
    <row r="58" spans="1:12" x14ac:dyDescent="0.35">
      <c r="A58" s="409">
        <v>2024</v>
      </c>
      <c r="C58" s="12">
        <f>VLOOKUP(A50,Capex_Breakup,8, FALSE)</f>
        <v>1022.8709910383099</v>
      </c>
      <c r="H58" s="410">
        <f>(C58/C51)/2</f>
        <v>16.236047476798568</v>
      </c>
      <c r="I58" s="411">
        <f>$C58/$C51</f>
        <v>32.472094953597136</v>
      </c>
      <c r="J58" s="411">
        <f t="shared" ref="J58:L58" si="33">$C58/$C51</f>
        <v>32.472094953597136</v>
      </c>
      <c r="K58" s="411">
        <f t="shared" si="33"/>
        <v>32.472094953597136</v>
      </c>
      <c r="L58" s="411">
        <f t="shared" si="33"/>
        <v>32.472094953597136</v>
      </c>
    </row>
    <row r="59" spans="1:12" x14ac:dyDescent="0.35">
      <c r="A59" s="409">
        <v>2025</v>
      </c>
      <c r="C59" s="12">
        <f>VLOOKUP(A50,Capex_Breakup,9, FALSE)</f>
        <v>1099.6909339783867</v>
      </c>
      <c r="H59" s="412"/>
      <c r="I59" s="410">
        <f>(C59/C51)/2</f>
        <v>17.455411650450582</v>
      </c>
      <c r="J59" s="12">
        <f>$C59/$C51</f>
        <v>34.910823300901164</v>
      </c>
      <c r="K59" s="12">
        <f t="shared" ref="K59:L59" si="34">$C59/$C51</f>
        <v>34.910823300901164</v>
      </c>
      <c r="L59" s="12">
        <f t="shared" si="34"/>
        <v>34.910823300901164</v>
      </c>
    </row>
    <row r="60" spans="1:12" x14ac:dyDescent="0.35">
      <c r="A60" s="409">
        <v>2026</v>
      </c>
      <c r="C60" s="12">
        <f>VLOOKUP(A50,Capex_Breakup,10, FALSE)</f>
        <v>1182.4109650869377</v>
      </c>
      <c r="H60" s="412"/>
      <c r="I60" s="412"/>
      <c r="J60" s="410">
        <f>C60/C51/2</f>
        <v>18.76842801725298</v>
      </c>
      <c r="K60" s="411">
        <f>$C60/$C51</f>
        <v>37.536856034505959</v>
      </c>
      <c r="L60" s="411">
        <f t="shared" ref="L60" si="35">$C60/$C51</f>
        <v>37.536856034505959</v>
      </c>
    </row>
    <row r="61" spans="1:12" x14ac:dyDescent="0.35">
      <c r="A61" s="409">
        <v>2027</v>
      </c>
      <c r="C61" s="12">
        <f>VLOOKUP(A50,Capex_Breakup,11, FALSE)</f>
        <v>1271.4951145558612</v>
      </c>
      <c r="H61" s="412"/>
      <c r="I61" s="412"/>
      <c r="J61" s="412"/>
      <c r="K61" s="410">
        <f>C61/C51/2</f>
        <v>20.18246213580732</v>
      </c>
      <c r="L61" s="411">
        <f>$C61/$C51</f>
        <v>40.36492427161464</v>
      </c>
    </row>
    <row r="62" spans="1:12" x14ac:dyDescent="0.35">
      <c r="A62" s="409">
        <v>2028</v>
      </c>
      <c r="C62" s="12">
        <f>VLOOKUP(A50,Capex_Breakup,12, FALSE)</f>
        <v>1367.4448236130586</v>
      </c>
      <c r="H62" s="412"/>
      <c r="I62" s="412"/>
      <c r="J62" s="412"/>
      <c r="K62" s="12"/>
      <c r="L62" s="410">
        <f>C62/C51/2</f>
        <v>21.705473390683469</v>
      </c>
    </row>
    <row r="63" spans="1:12" x14ac:dyDescent="0.35">
      <c r="A63" s="168"/>
    </row>
    <row r="64" spans="1:12" ht="15" thickBot="1" x14ac:dyDescent="0.4">
      <c r="A64" s="413" t="str">
        <f>CONCATENATE("Depreciation on"," ",A50)</f>
        <v>Depreciation on Buildings</v>
      </c>
      <c r="C64" s="400"/>
      <c r="D64" s="400"/>
      <c r="E64" s="400"/>
      <c r="F64" s="414"/>
      <c r="G64" s="414"/>
      <c r="H64" s="415">
        <f>SUM(H54:H62)</f>
        <v>228.31382525457636</v>
      </c>
      <c r="I64" s="415">
        <f t="shared" ref="I64:L64" si="36">SUM(I54:I62)</f>
        <v>262.0052843818255</v>
      </c>
      <c r="J64" s="415">
        <f t="shared" si="36"/>
        <v>298.22912404952905</v>
      </c>
      <c r="K64" s="415">
        <f t="shared" si="36"/>
        <v>337.18001420258935</v>
      </c>
      <c r="L64" s="415">
        <f t="shared" si="36"/>
        <v>379.06794972908017</v>
      </c>
    </row>
    <row r="65" spans="1:12" ht="15" thickTop="1" x14ac:dyDescent="0.35"/>
    <row r="67" spans="1:12" x14ac:dyDescent="0.35">
      <c r="A67" s="78" t="str">
        <f>CHOOSE(B67,$A$26,$A$27,$A$28,$A$29,$A$30,$A$31,$A$32)</f>
        <v>Buildings - Leasehold</v>
      </c>
      <c r="B67" s="484">
        <f>B50+1</f>
        <v>2</v>
      </c>
      <c r="C67" s="80">
        <v>2019</v>
      </c>
      <c r="D67" s="80">
        <f>C67+1</f>
        <v>2020</v>
      </c>
      <c r="E67" s="80">
        <f t="shared" ref="E67" si="37">D67+1</f>
        <v>2021</v>
      </c>
      <c r="F67" s="80">
        <f t="shared" ref="F67" si="38">E67+1</f>
        <v>2022</v>
      </c>
      <c r="G67" s="80">
        <f t="shared" ref="G67" si="39">F67+1</f>
        <v>2023</v>
      </c>
      <c r="H67" s="81">
        <v>2024</v>
      </c>
      <c r="I67" s="81">
        <f>H67+1</f>
        <v>2025</v>
      </c>
      <c r="J67" s="81">
        <f t="shared" ref="J67" si="40">I67+1</f>
        <v>2026</v>
      </c>
      <c r="K67" s="81">
        <f t="shared" ref="K67" si="41">J67+1</f>
        <v>2027</v>
      </c>
      <c r="L67" s="81">
        <f t="shared" ref="L67" si="42">K67+1</f>
        <v>2028</v>
      </c>
    </row>
    <row r="68" spans="1:12" x14ac:dyDescent="0.35">
      <c r="A68" s="403" t="s">
        <v>406</v>
      </c>
      <c r="C68" s="280">
        <f>VLOOKUP(A67,GrossPPE_Breakup,5,FALSE)</f>
        <v>31.5</v>
      </c>
    </row>
    <row r="69" spans="1:12" x14ac:dyDescent="0.35">
      <c r="A69" s="403" t="str">
        <f>CONCATENATE("Gross Value of"," ",A67)</f>
        <v>Gross Value of Buildings - Leasehold</v>
      </c>
      <c r="C69" s="4">
        <f>VLOOKUP(A67,GrossPPE_Breakup,3,FALSE)</f>
        <v>66.94</v>
      </c>
    </row>
    <row r="70" spans="1:12" x14ac:dyDescent="0.35">
      <c r="A70" s="403" t="s">
        <v>418</v>
      </c>
      <c r="C70" s="4">
        <f>VLOOKUP(A67,GrossPPE_Breakup,4,FALSE)</f>
        <v>23.72</v>
      </c>
      <c r="G70" s="4">
        <f>C70</f>
        <v>23.72</v>
      </c>
      <c r="H70" s="280">
        <f>G70-H71</f>
        <v>21.594920634920634</v>
      </c>
      <c r="I70" s="280">
        <f t="shared" ref="I70" si="43">H70-I71</f>
        <v>19.469841269841268</v>
      </c>
      <c r="J70" s="280">
        <f t="shared" ref="J70" si="44">I70-J71</f>
        <v>17.344761904761903</v>
      </c>
      <c r="K70" s="280">
        <f t="shared" ref="K70" si="45">J70-K71</f>
        <v>15.219682539682537</v>
      </c>
      <c r="L70" s="280">
        <f t="shared" ref="L70" si="46">K70-L71</f>
        <v>13.094603174603172</v>
      </c>
    </row>
    <row r="71" spans="1:12" x14ac:dyDescent="0.35">
      <c r="A71" s="404" t="s">
        <v>419</v>
      </c>
      <c r="B71" s="9"/>
      <c r="C71" s="9"/>
      <c r="D71" s="9"/>
      <c r="E71" s="283"/>
      <c r="F71" s="405"/>
      <c r="G71" s="405"/>
      <c r="H71" s="406">
        <f>IF(G70&lt;$C69/$C68,G70,$C69/$C68)</f>
        <v>2.1250793650793649</v>
      </c>
      <c r="I71" s="406">
        <f t="shared" ref="I71:L71" si="47">IF(H70&lt;$C69/$C68,H70,$C69/$C68)</f>
        <v>2.1250793650793649</v>
      </c>
      <c r="J71" s="406">
        <f t="shared" si="47"/>
        <v>2.1250793650793649</v>
      </c>
      <c r="K71" s="406">
        <f t="shared" si="47"/>
        <v>2.1250793650793649</v>
      </c>
      <c r="L71" s="406">
        <f t="shared" si="47"/>
        <v>2.1250793650793649</v>
      </c>
    </row>
    <row r="72" spans="1:12" x14ac:dyDescent="0.35">
      <c r="A72" s="168"/>
    </row>
    <row r="73" spans="1:12" x14ac:dyDescent="0.35">
      <c r="A73" t="s">
        <v>420</v>
      </c>
    </row>
    <row r="74" spans="1:12" x14ac:dyDescent="0.35">
      <c r="A74" s="407" t="s">
        <v>421</v>
      </c>
      <c r="B74" s="408"/>
      <c r="C74" t="s">
        <v>422</v>
      </c>
    </row>
    <row r="75" spans="1:12" x14ac:dyDescent="0.35">
      <c r="A75" s="409">
        <v>2024</v>
      </c>
      <c r="C75" s="12">
        <f>VLOOKUP(A67,Capex_Breakup,8, FALSE)</f>
        <v>10.249456868939138</v>
      </c>
      <c r="H75" s="410">
        <f>(C75/C68)/2</f>
        <v>0.16268979157046251</v>
      </c>
      <c r="I75" s="411">
        <f>$C75/$C68</f>
        <v>0.32537958314092502</v>
      </c>
      <c r="J75" s="411">
        <f t="shared" ref="J75:L75" si="48">$C75/$C68</f>
        <v>0.32537958314092502</v>
      </c>
      <c r="K75" s="411">
        <f t="shared" si="48"/>
        <v>0.32537958314092502</v>
      </c>
      <c r="L75" s="411">
        <f t="shared" si="48"/>
        <v>0.32537958314092502</v>
      </c>
    </row>
    <row r="76" spans="1:12" x14ac:dyDescent="0.35">
      <c r="A76" s="409">
        <v>2025</v>
      </c>
      <c r="C76" s="12">
        <f>VLOOKUP(A67,Capex_Breakup,9, FALSE)</f>
        <v>11.019214442217697</v>
      </c>
      <c r="H76" s="412"/>
      <c r="I76" s="410">
        <f>(C76/C68)/2</f>
        <v>0.17490816574948725</v>
      </c>
      <c r="J76" s="12">
        <f>$C76/$C68</f>
        <v>0.34981633149897451</v>
      </c>
      <c r="K76" s="12">
        <f t="shared" ref="K76:L76" si="49">$C76/$C68</f>
        <v>0.34981633149897451</v>
      </c>
      <c r="L76" s="12">
        <f t="shared" si="49"/>
        <v>0.34981633149897451</v>
      </c>
    </row>
    <row r="77" spans="1:12" x14ac:dyDescent="0.35">
      <c r="A77" s="409">
        <v>2026</v>
      </c>
      <c r="C77" s="12">
        <f>VLOOKUP(A67,Capex_Breakup,10, FALSE)</f>
        <v>11.848092569051428</v>
      </c>
      <c r="H77" s="412"/>
      <c r="I77" s="412"/>
      <c r="J77" s="410">
        <f>C77/C68/2</f>
        <v>0.18806496141351473</v>
      </c>
      <c r="K77" s="411">
        <f>$C77/$C68</f>
        <v>0.37612992282702945</v>
      </c>
      <c r="L77" s="411">
        <f t="shared" ref="L77" si="50">$C77/$C68</f>
        <v>0.37612992282702945</v>
      </c>
    </row>
    <row r="78" spans="1:12" x14ac:dyDescent="0.35">
      <c r="A78" s="409">
        <v>2027</v>
      </c>
      <c r="C78" s="12">
        <f>VLOOKUP(A67,Capex_Breakup,11, FALSE)</f>
        <v>12.740740963313751</v>
      </c>
      <c r="H78" s="412"/>
      <c r="I78" s="412"/>
      <c r="J78" s="412"/>
      <c r="K78" s="410">
        <f>C78/C68/2</f>
        <v>0.20223398354466271</v>
      </c>
      <c r="L78" s="411">
        <f>$C78/$C68</f>
        <v>0.40446796708932542</v>
      </c>
    </row>
    <row r="79" spans="1:12" x14ac:dyDescent="0.35">
      <c r="A79" s="409">
        <v>2028</v>
      </c>
      <c r="C79" s="12">
        <f>VLOOKUP(A67,Capex_Breakup,12, FALSE)</f>
        <v>13.70218420804858</v>
      </c>
      <c r="H79" s="412"/>
      <c r="I79" s="412"/>
      <c r="J79" s="412"/>
      <c r="K79" s="12"/>
      <c r="L79" s="410">
        <f>C79/C68/2</f>
        <v>0.21749498742934253</v>
      </c>
    </row>
    <row r="80" spans="1:12" x14ac:dyDescent="0.35">
      <c r="A80" s="168"/>
    </row>
    <row r="81" spans="1:12" ht="15" thickBot="1" x14ac:dyDescent="0.4">
      <c r="A81" s="413" t="str">
        <f>CONCATENATE("Depreciation on"," ",A67)</f>
        <v>Depreciation on Buildings - Leasehold</v>
      </c>
      <c r="C81" s="400"/>
      <c r="D81" s="400"/>
      <c r="E81" s="400"/>
      <c r="F81" s="414"/>
      <c r="G81" s="414"/>
      <c r="H81" s="415">
        <f>SUM(H71:H79)</f>
        <v>2.2877691566498273</v>
      </c>
      <c r="I81" s="415">
        <f t="shared" ref="I81:L81" si="51">SUM(I71:I79)</f>
        <v>2.6253671139697774</v>
      </c>
      <c r="J81" s="415">
        <f t="shared" si="51"/>
        <v>2.9883402411327795</v>
      </c>
      <c r="K81" s="415">
        <f t="shared" si="51"/>
        <v>3.378639186090957</v>
      </c>
      <c r="L81" s="415">
        <f t="shared" si="51"/>
        <v>3.7983681570649623</v>
      </c>
    </row>
    <row r="82" spans="1:12" ht="15" thickTop="1" x14ac:dyDescent="0.35"/>
    <row r="84" spans="1:12" x14ac:dyDescent="0.35">
      <c r="A84" s="78" t="str">
        <f>CHOOSE(B84,$A$26,$A$27,$A$28,$A$29,$A$30,$A$31,$A$32)</f>
        <v>Plant &amp; Equipment</v>
      </c>
      <c r="B84" s="484">
        <f>B67+1</f>
        <v>3</v>
      </c>
      <c r="C84" s="80">
        <v>2019</v>
      </c>
      <c r="D84" s="80">
        <f>C84+1</f>
        <v>2020</v>
      </c>
      <c r="E84" s="80">
        <f t="shared" ref="E84" si="52">D84+1</f>
        <v>2021</v>
      </c>
      <c r="F84" s="80">
        <f t="shared" ref="F84" si="53">E84+1</f>
        <v>2022</v>
      </c>
      <c r="G84" s="80">
        <f t="shared" ref="G84" si="54">F84+1</f>
        <v>2023</v>
      </c>
      <c r="H84" s="81">
        <v>2024</v>
      </c>
      <c r="I84" s="81">
        <f>H84+1</f>
        <v>2025</v>
      </c>
      <c r="J84" s="81">
        <f t="shared" ref="J84" si="55">I84+1</f>
        <v>2026</v>
      </c>
      <c r="K84" s="81">
        <f t="shared" ref="K84" si="56">J84+1</f>
        <v>2027</v>
      </c>
      <c r="L84" s="81">
        <f t="shared" ref="L84" si="57">K84+1</f>
        <v>2028</v>
      </c>
    </row>
    <row r="85" spans="1:12" x14ac:dyDescent="0.35">
      <c r="A85" s="403" t="s">
        <v>406</v>
      </c>
      <c r="C85" s="280">
        <f>VLOOKUP(A84,GrossPPE_Breakup,5,FALSE)</f>
        <v>13.5</v>
      </c>
    </row>
    <row r="86" spans="1:12" x14ac:dyDescent="0.35">
      <c r="A86" s="403" t="str">
        <f>CONCATENATE("Gross Value of"," ",A84)</f>
        <v>Gross Value of Plant &amp; Equipment</v>
      </c>
      <c r="C86" s="4">
        <f>VLOOKUP(A84,GrossPPE_Breakup,3,FALSE)</f>
        <v>24542.33</v>
      </c>
    </row>
    <row r="87" spans="1:12" x14ac:dyDescent="0.35">
      <c r="A87" s="403" t="s">
        <v>418</v>
      </c>
      <c r="C87" s="4">
        <f>VLOOKUP(A84,GrossPPE_Breakup,4,FALSE)</f>
        <v>9815.24</v>
      </c>
      <c r="G87" s="4">
        <f>C87</f>
        <v>9815.24</v>
      </c>
      <c r="H87" s="280">
        <f>G87-H88</f>
        <v>7997.2896296296294</v>
      </c>
      <c r="I87" s="280">
        <f t="shared" ref="I87" si="58">H87-I88</f>
        <v>6179.3392592592591</v>
      </c>
      <c r="J87" s="280">
        <f t="shared" ref="J87" si="59">I87-J88</f>
        <v>4361.3888888888887</v>
      </c>
      <c r="K87" s="280">
        <f t="shared" ref="K87" si="60">J87-K88</f>
        <v>2543.4385185185183</v>
      </c>
      <c r="L87" s="280">
        <f t="shared" ref="L87" si="61">K87-L88</f>
        <v>725.48814814814773</v>
      </c>
    </row>
    <row r="88" spans="1:12" x14ac:dyDescent="0.35">
      <c r="A88" s="404" t="s">
        <v>419</v>
      </c>
      <c r="B88" s="9"/>
      <c r="C88" s="9"/>
      <c r="D88" s="9"/>
      <c r="E88" s="283"/>
      <c r="F88" s="405"/>
      <c r="G88" s="405"/>
      <c r="H88" s="406">
        <f>IF(G87&lt;$C86/$C85,G87,$C86/$C85)</f>
        <v>1817.9503703703706</v>
      </c>
      <c r="I88" s="406">
        <f t="shared" ref="I88:L88" si="62">IF(H87&lt;$C86/$C85,H87,$C86/$C85)</f>
        <v>1817.9503703703706</v>
      </c>
      <c r="J88" s="406">
        <f t="shared" si="62"/>
        <v>1817.9503703703706</v>
      </c>
      <c r="K88" s="406">
        <f t="shared" si="62"/>
        <v>1817.9503703703706</v>
      </c>
      <c r="L88" s="406">
        <f t="shared" si="62"/>
        <v>1817.9503703703706</v>
      </c>
    </row>
    <row r="89" spans="1:12" x14ac:dyDescent="0.35">
      <c r="A89" s="168"/>
    </row>
    <row r="90" spans="1:12" x14ac:dyDescent="0.35">
      <c r="A90" t="s">
        <v>420</v>
      </c>
    </row>
    <row r="91" spans="1:12" x14ac:dyDescent="0.35">
      <c r="A91" s="407" t="s">
        <v>421</v>
      </c>
      <c r="B91" s="408"/>
      <c r="C91" t="s">
        <v>422</v>
      </c>
    </row>
    <row r="92" spans="1:12" x14ac:dyDescent="0.35">
      <c r="A92" s="409">
        <v>2024</v>
      </c>
      <c r="C92" s="12">
        <f>VLOOKUP(A84,Capex_Breakup,8, FALSE)</f>
        <v>3757.7764086984025</v>
      </c>
      <c r="H92" s="410">
        <f>(C92/C85)/2</f>
        <v>139.17690402586675</v>
      </c>
      <c r="I92" s="411">
        <f>$C92/$C85</f>
        <v>278.35380805173349</v>
      </c>
      <c r="J92" s="411">
        <f t="shared" ref="J92:L92" si="63">$C92/$C85</f>
        <v>278.35380805173349</v>
      </c>
      <c r="K92" s="411">
        <f t="shared" si="63"/>
        <v>278.35380805173349</v>
      </c>
      <c r="L92" s="411">
        <f t="shared" si="63"/>
        <v>278.35380805173349</v>
      </c>
    </row>
    <row r="93" spans="1:12" x14ac:dyDescent="0.35">
      <c r="A93" s="409">
        <v>2025</v>
      </c>
      <c r="C93" s="12">
        <f>VLOOKUP(A84,Capex_Breakup,9, FALSE)</f>
        <v>4039.9939823972613</v>
      </c>
      <c r="H93" s="412"/>
      <c r="I93" s="410">
        <f>(C93/C85)/2</f>
        <v>149.62940675545411</v>
      </c>
      <c r="J93" s="12">
        <f>$C93/$C85</f>
        <v>299.25881351090823</v>
      </c>
      <c r="K93" s="12">
        <f t="shared" ref="K93:L93" si="64">$C93/$C85</f>
        <v>299.25881351090823</v>
      </c>
      <c r="L93" s="12">
        <f t="shared" si="64"/>
        <v>299.25881351090823</v>
      </c>
    </row>
    <row r="94" spans="1:12" x14ac:dyDescent="0.35">
      <c r="A94" s="409">
        <v>2026</v>
      </c>
      <c r="C94" s="12">
        <f>VLOOKUP(A84,Capex_Breakup,10, FALSE)</f>
        <v>4343.8870286855081</v>
      </c>
      <c r="H94" s="412"/>
      <c r="I94" s="412"/>
      <c r="J94" s="410">
        <f>C94/C85/2</f>
        <v>160.88470476612994</v>
      </c>
      <c r="K94" s="411">
        <f>$C94/$C85</f>
        <v>321.76940953225989</v>
      </c>
      <c r="L94" s="411">
        <f t="shared" ref="L94" si="65">$C94/$C85</f>
        <v>321.76940953225989</v>
      </c>
    </row>
    <row r="95" spans="1:12" x14ac:dyDescent="0.35">
      <c r="A95" s="409">
        <v>2027</v>
      </c>
      <c r="C95" s="12">
        <f>VLOOKUP(A84,Capex_Breakup,11, FALSE)</f>
        <v>4671.1602803430533</v>
      </c>
      <c r="H95" s="412"/>
      <c r="I95" s="412"/>
      <c r="J95" s="412"/>
      <c r="K95" s="410">
        <f>C95/C85/2</f>
        <v>173.00593630900198</v>
      </c>
      <c r="L95" s="411">
        <f>$C95/$C85</f>
        <v>346.01187261800396</v>
      </c>
    </row>
    <row r="96" spans="1:12" x14ac:dyDescent="0.35">
      <c r="A96" s="409">
        <v>2028</v>
      </c>
      <c r="C96" s="12">
        <f>VLOOKUP(A84,Capex_Breakup,12, FALSE)</f>
        <v>5023.6559090934707</v>
      </c>
      <c r="H96" s="412"/>
      <c r="I96" s="412"/>
      <c r="J96" s="412"/>
      <c r="K96" s="12"/>
      <c r="L96" s="410">
        <f>C96/C85/2</f>
        <v>186.06132996642484</v>
      </c>
    </row>
    <row r="97" spans="1:12" x14ac:dyDescent="0.35">
      <c r="A97" s="168"/>
    </row>
    <row r="98" spans="1:12" ht="15" thickBot="1" x14ac:dyDescent="0.4">
      <c r="A98" s="413" t="str">
        <f>CONCATENATE("Depreciation on"," ",A84)</f>
        <v>Depreciation on Plant &amp; Equipment</v>
      </c>
      <c r="C98" s="400"/>
      <c r="D98" s="400"/>
      <c r="E98" s="400"/>
      <c r="F98" s="414"/>
      <c r="G98" s="414"/>
      <c r="H98" s="415">
        <f>SUM(H88:H96)</f>
        <v>1957.1272743962372</v>
      </c>
      <c r="I98" s="415">
        <f t="shared" ref="I98:L98" si="66">SUM(I88:I96)</f>
        <v>2245.9335851775581</v>
      </c>
      <c r="J98" s="415">
        <f t="shared" si="66"/>
        <v>2556.4476966991419</v>
      </c>
      <c r="K98" s="415">
        <f t="shared" si="66"/>
        <v>2890.3383377742739</v>
      </c>
      <c r="L98" s="415">
        <f t="shared" si="66"/>
        <v>3249.4056040497007</v>
      </c>
    </row>
    <row r="99" spans="1:12" ht="15" thickTop="1" x14ac:dyDescent="0.35"/>
    <row r="101" spans="1:12" x14ac:dyDescent="0.35">
      <c r="A101" s="78" t="str">
        <f>CHOOSE(B101,$A$26,$A$27,$A$28,$A$29,$A$30,$A$31,$A$32)</f>
        <v>Furniture &amp; Fixtures</v>
      </c>
      <c r="B101" s="484">
        <f>B84+1</f>
        <v>4</v>
      </c>
      <c r="C101" s="80">
        <v>2019</v>
      </c>
      <c r="D101" s="80">
        <f>C101+1</f>
        <v>2020</v>
      </c>
      <c r="E101" s="80">
        <f t="shared" ref="E101" si="67">D101+1</f>
        <v>2021</v>
      </c>
      <c r="F101" s="80">
        <f t="shared" ref="F101" si="68">E101+1</f>
        <v>2022</v>
      </c>
      <c r="G101" s="80">
        <f t="shared" ref="G101" si="69">F101+1</f>
        <v>2023</v>
      </c>
      <c r="H101" s="81">
        <v>2024</v>
      </c>
      <c r="I101" s="81">
        <f>H101+1</f>
        <v>2025</v>
      </c>
      <c r="J101" s="81">
        <f t="shared" ref="J101" si="70">I101+1</f>
        <v>2026</v>
      </c>
      <c r="K101" s="81">
        <f t="shared" ref="K101" si="71">J101+1</f>
        <v>2027</v>
      </c>
      <c r="L101" s="81">
        <f t="shared" ref="L101" si="72">K101+1</f>
        <v>2028</v>
      </c>
    </row>
    <row r="102" spans="1:12" x14ac:dyDescent="0.35">
      <c r="A102" s="403" t="s">
        <v>406</v>
      </c>
      <c r="C102" s="280">
        <f>VLOOKUP(A101,GrossPPE_Breakup,5,FALSE)</f>
        <v>10</v>
      </c>
    </row>
    <row r="103" spans="1:12" x14ac:dyDescent="0.35">
      <c r="A103" s="403" t="str">
        <f>CONCATENATE("Gross Value of"," ",A101)</f>
        <v>Gross Value of Furniture &amp; Fixtures</v>
      </c>
      <c r="C103" s="4">
        <f>VLOOKUP(A101,GrossPPE_Breakup,3,FALSE)</f>
        <v>914.36</v>
      </c>
    </row>
    <row r="104" spans="1:12" x14ac:dyDescent="0.35">
      <c r="A104" s="403" t="s">
        <v>418</v>
      </c>
      <c r="C104" s="4">
        <f>VLOOKUP(A101,GrossPPE_Breakup,4,FALSE)</f>
        <v>305.29000000000002</v>
      </c>
      <c r="G104" s="4">
        <f>C104</f>
        <v>305.29000000000002</v>
      </c>
      <c r="H104" s="280">
        <f>G104-H105</f>
        <v>213.85400000000001</v>
      </c>
      <c r="I104" s="280">
        <f t="shared" ref="I104" si="73">H104-I105</f>
        <v>122.41800000000001</v>
      </c>
      <c r="J104" s="280">
        <f t="shared" ref="J104" si="74">I104-J105</f>
        <v>30.981999999999999</v>
      </c>
      <c r="K104" s="280">
        <f t="shared" ref="K104" si="75">J104-K105</f>
        <v>0</v>
      </c>
      <c r="L104" s="280">
        <f t="shared" ref="L104" si="76">K104-L105</f>
        <v>0</v>
      </c>
    </row>
    <row r="105" spans="1:12" x14ac:dyDescent="0.35">
      <c r="A105" s="404" t="s">
        <v>419</v>
      </c>
      <c r="B105" s="9"/>
      <c r="C105" s="9"/>
      <c r="D105" s="9"/>
      <c r="E105" s="283"/>
      <c r="F105" s="405"/>
      <c r="G105" s="405"/>
      <c r="H105" s="406">
        <f>IF(G104&lt;$C103/$C102,G104,$C103/$C102)</f>
        <v>91.436000000000007</v>
      </c>
      <c r="I105" s="406">
        <f t="shared" ref="I105:L105" si="77">IF(H104&lt;$C103/$C102,H104,$C103/$C102)</f>
        <v>91.436000000000007</v>
      </c>
      <c r="J105" s="406">
        <f t="shared" si="77"/>
        <v>91.436000000000007</v>
      </c>
      <c r="K105" s="406">
        <f t="shared" si="77"/>
        <v>30.981999999999999</v>
      </c>
      <c r="L105" s="406">
        <f t="shared" si="77"/>
        <v>0</v>
      </c>
    </row>
    <row r="106" spans="1:12" x14ac:dyDescent="0.35">
      <c r="A106" s="168"/>
    </row>
    <row r="107" spans="1:12" x14ac:dyDescent="0.35">
      <c r="A107" t="s">
        <v>420</v>
      </c>
    </row>
    <row r="108" spans="1:12" x14ac:dyDescent="0.35">
      <c r="A108" s="407" t="s">
        <v>421</v>
      </c>
      <c r="B108" s="408"/>
      <c r="C108" t="s">
        <v>422</v>
      </c>
    </row>
    <row r="109" spans="1:12" x14ac:dyDescent="0.35">
      <c r="A109" s="409">
        <v>2024</v>
      </c>
      <c r="C109" s="12">
        <f>VLOOKUP(A101,Capex_Breakup,8, FALSE)</f>
        <v>140.00139502066313</v>
      </c>
      <c r="H109" s="410">
        <f>(C109/C102)/2</f>
        <v>7.0000697510331564</v>
      </c>
      <c r="I109" s="411">
        <f>$C109/$C102</f>
        <v>14.000139502066313</v>
      </c>
      <c r="J109" s="411">
        <f t="shared" ref="J109:L109" si="78">$C109/$C102</f>
        <v>14.000139502066313</v>
      </c>
      <c r="K109" s="411">
        <f t="shared" si="78"/>
        <v>14.000139502066313</v>
      </c>
      <c r="L109" s="411">
        <f t="shared" si="78"/>
        <v>14.000139502066313</v>
      </c>
    </row>
    <row r="110" spans="1:12" x14ac:dyDescent="0.35">
      <c r="A110" s="409">
        <v>2025</v>
      </c>
      <c r="C110" s="12">
        <f>VLOOKUP(A101,Capex_Breakup,9, FALSE)</f>
        <v>150.51581890328913</v>
      </c>
      <c r="H110" s="412"/>
      <c r="I110" s="410">
        <f>(C110/C102)/2</f>
        <v>7.5257909451644567</v>
      </c>
      <c r="J110" s="12">
        <f>$C110/$C102</f>
        <v>15.051581890328913</v>
      </c>
      <c r="K110" s="12">
        <f t="shared" ref="K110:L110" si="79">$C110/$C102</f>
        <v>15.051581890328913</v>
      </c>
      <c r="L110" s="12">
        <f t="shared" si="79"/>
        <v>15.051581890328913</v>
      </c>
    </row>
    <row r="111" spans="1:12" x14ac:dyDescent="0.35">
      <c r="A111" s="409">
        <v>2026</v>
      </c>
      <c r="C111" s="12">
        <f>VLOOKUP(A101,Capex_Breakup,10, FALSE)</f>
        <v>161.83779386671441</v>
      </c>
      <c r="H111" s="412"/>
      <c r="I111" s="412"/>
      <c r="J111" s="410">
        <f>C111/C102/2</f>
        <v>8.0918896933357196</v>
      </c>
      <c r="K111" s="411">
        <f>$C111/$C102</f>
        <v>16.183779386671439</v>
      </c>
      <c r="L111" s="411">
        <f t="shared" ref="L111" si="80">$C111/$C102</f>
        <v>16.183779386671439</v>
      </c>
    </row>
    <row r="112" spans="1:12" x14ac:dyDescent="0.35">
      <c r="A112" s="409">
        <v>2027</v>
      </c>
      <c r="C112" s="12">
        <f>VLOOKUP(A101,Capex_Breakup,11, FALSE)</f>
        <v>174.03083219622889</v>
      </c>
      <c r="H112" s="412"/>
      <c r="I112" s="412"/>
      <c r="J112" s="412"/>
      <c r="K112" s="410">
        <f>C112/C102/2</f>
        <v>8.7015416098114446</v>
      </c>
      <c r="L112" s="411">
        <f>$C112/$C102</f>
        <v>17.403083219622889</v>
      </c>
    </row>
    <row r="113" spans="1:12" x14ac:dyDescent="0.35">
      <c r="A113" s="409">
        <v>2028</v>
      </c>
      <c r="C113" s="12">
        <f>VLOOKUP(A101,Capex_Breakup,12, FALSE)</f>
        <v>187.16356666374813</v>
      </c>
      <c r="H113" s="412"/>
      <c r="I113" s="412"/>
      <c r="J113" s="412"/>
      <c r="K113" s="12"/>
      <c r="L113" s="410">
        <f>C113/C102/2</f>
        <v>9.3581783331874071</v>
      </c>
    </row>
    <row r="114" spans="1:12" x14ac:dyDescent="0.35">
      <c r="A114" s="168"/>
    </row>
    <row r="115" spans="1:12" ht="15" thickBot="1" x14ac:dyDescent="0.4">
      <c r="A115" s="413" t="str">
        <f>CONCATENATE("Depreciation on"," ",A101)</f>
        <v>Depreciation on Furniture &amp; Fixtures</v>
      </c>
      <c r="C115" s="400"/>
      <c r="D115" s="400"/>
      <c r="E115" s="400"/>
      <c r="F115" s="414"/>
      <c r="G115" s="414"/>
      <c r="H115" s="415">
        <f>SUM(H105:H113)</f>
        <v>98.436069751033159</v>
      </c>
      <c r="I115" s="415">
        <f t="shared" ref="I115:L115" si="81">SUM(I105:I113)</f>
        <v>112.96193044723078</v>
      </c>
      <c r="J115" s="415">
        <f t="shared" si="81"/>
        <v>128.57961108573096</v>
      </c>
      <c r="K115" s="415">
        <f t="shared" si="81"/>
        <v>84.919042388878097</v>
      </c>
      <c r="L115" s="415">
        <f t="shared" si="81"/>
        <v>71.996762331876965</v>
      </c>
    </row>
    <row r="116" spans="1:12" ht="15" thickTop="1" x14ac:dyDescent="0.35"/>
    <row r="118" spans="1:12" x14ac:dyDescent="0.35">
      <c r="A118" s="78" t="str">
        <f>CHOOSE(B118,$A$26,$A$27,$A$28,$A$29,$A$30,$A$31,$A$32)</f>
        <v>Vehicles</v>
      </c>
      <c r="B118" s="484">
        <f>B101+1</f>
        <v>5</v>
      </c>
      <c r="C118" s="80">
        <v>2019</v>
      </c>
      <c r="D118" s="80">
        <f>C118+1</f>
        <v>2020</v>
      </c>
      <c r="E118" s="80">
        <f t="shared" ref="E118" si="82">D118+1</f>
        <v>2021</v>
      </c>
      <c r="F118" s="80">
        <f t="shared" ref="F118" si="83">E118+1</f>
        <v>2022</v>
      </c>
      <c r="G118" s="80">
        <f t="shared" ref="G118" si="84">F118+1</f>
        <v>2023</v>
      </c>
      <c r="H118" s="81">
        <v>2024</v>
      </c>
      <c r="I118" s="81">
        <f>H118+1</f>
        <v>2025</v>
      </c>
      <c r="J118" s="81">
        <f t="shared" ref="J118" si="85">I118+1</f>
        <v>2026</v>
      </c>
      <c r="K118" s="81">
        <f t="shared" ref="K118" si="86">J118+1</f>
        <v>2027</v>
      </c>
      <c r="L118" s="81">
        <f t="shared" ref="L118" si="87">K118+1</f>
        <v>2028</v>
      </c>
    </row>
    <row r="119" spans="1:12" x14ac:dyDescent="0.35">
      <c r="A119" s="403" t="s">
        <v>406</v>
      </c>
      <c r="C119" s="280">
        <f>VLOOKUP(A118,GrossPPE_Breakup,5,FALSE)</f>
        <v>6</v>
      </c>
    </row>
    <row r="120" spans="1:12" x14ac:dyDescent="0.35">
      <c r="A120" s="403" t="str">
        <f>CONCATENATE("Gross Value of"," ",A118)</f>
        <v>Gross Value of Vehicles</v>
      </c>
      <c r="C120" s="4">
        <f>VLOOKUP(A118,GrossPPE_Breakup,3,FALSE)</f>
        <v>1021.79</v>
      </c>
    </row>
    <row r="121" spans="1:12" x14ac:dyDescent="0.35">
      <c r="A121" s="403" t="s">
        <v>418</v>
      </c>
      <c r="C121" s="4">
        <f>VLOOKUP(A118,GrossPPE_Breakup,4,FALSE)</f>
        <v>479.27</v>
      </c>
      <c r="G121" s="4">
        <f>C121</f>
        <v>479.27</v>
      </c>
      <c r="H121" s="280">
        <f>G121-H122</f>
        <v>308.97166666666669</v>
      </c>
      <c r="I121" s="280">
        <f t="shared" ref="I121" si="88">H121-I122</f>
        <v>138.67333333333337</v>
      </c>
      <c r="J121" s="280">
        <f t="shared" ref="J121" si="89">I121-J122</f>
        <v>0</v>
      </c>
      <c r="K121" s="280">
        <f t="shared" ref="K121" si="90">J121-K122</f>
        <v>0</v>
      </c>
      <c r="L121" s="280">
        <f t="shared" ref="L121" si="91">K121-L122</f>
        <v>0</v>
      </c>
    </row>
    <row r="122" spans="1:12" x14ac:dyDescent="0.35">
      <c r="A122" s="404" t="s">
        <v>419</v>
      </c>
      <c r="B122" s="9"/>
      <c r="C122" s="9"/>
      <c r="D122" s="9"/>
      <c r="E122" s="283"/>
      <c r="F122" s="405"/>
      <c r="G122" s="405"/>
      <c r="H122" s="406">
        <f>IF(G121&lt;$C120/$C119,G121,$C120/$C119)</f>
        <v>170.29833333333332</v>
      </c>
      <c r="I122" s="406">
        <f t="shared" ref="I122:L122" si="92">IF(H121&lt;$C120/$C119,H121,$C120/$C119)</f>
        <v>170.29833333333332</v>
      </c>
      <c r="J122" s="406">
        <f t="shared" si="92"/>
        <v>138.67333333333337</v>
      </c>
      <c r="K122" s="406">
        <f t="shared" si="92"/>
        <v>0</v>
      </c>
      <c r="L122" s="406">
        <f t="shared" si="92"/>
        <v>0</v>
      </c>
    </row>
    <row r="123" spans="1:12" x14ac:dyDescent="0.35">
      <c r="A123" s="168"/>
    </row>
    <row r="124" spans="1:12" x14ac:dyDescent="0.35">
      <c r="A124" t="s">
        <v>420</v>
      </c>
    </row>
    <row r="125" spans="1:12" x14ac:dyDescent="0.35">
      <c r="A125" s="407" t="s">
        <v>421</v>
      </c>
      <c r="B125" s="408"/>
      <c r="C125" t="s">
        <v>422</v>
      </c>
    </row>
    <row r="126" spans="1:12" x14ac:dyDescent="0.35">
      <c r="A126" s="409">
        <v>2024</v>
      </c>
      <c r="C126" s="12">
        <f>VLOOKUP(A118,Capex_Breakup,8, FALSE)</f>
        <v>156.45044120276845</v>
      </c>
      <c r="H126" s="410">
        <f>(C126/C119)/2</f>
        <v>13.03753676689737</v>
      </c>
      <c r="I126" s="411">
        <f>$C126/$C119</f>
        <v>26.07507353379474</v>
      </c>
      <c r="J126" s="411">
        <f t="shared" ref="J126:L126" si="93">$C126/$C119</f>
        <v>26.07507353379474</v>
      </c>
      <c r="K126" s="411">
        <f t="shared" si="93"/>
        <v>26.07507353379474</v>
      </c>
      <c r="L126" s="411">
        <f t="shared" si="93"/>
        <v>26.07507353379474</v>
      </c>
    </row>
    <row r="127" spans="1:12" x14ac:dyDescent="0.35">
      <c r="A127" s="409">
        <v>2025</v>
      </c>
      <c r="C127" s="12">
        <f>VLOOKUP(A118,Capex_Breakup,9, FALSE)</f>
        <v>168.20022594732029</v>
      </c>
      <c r="H127" s="412"/>
      <c r="I127" s="410">
        <f>(C127/C119)/2</f>
        <v>14.016685495610025</v>
      </c>
      <c r="J127" s="12">
        <f>$C127/$C119</f>
        <v>28.03337099122005</v>
      </c>
      <c r="K127" s="12">
        <f t="shared" ref="K127:L127" si="94">$C127/$C119</f>
        <v>28.03337099122005</v>
      </c>
      <c r="L127" s="12">
        <f t="shared" si="94"/>
        <v>28.03337099122005</v>
      </c>
    </row>
    <row r="128" spans="1:12" x14ac:dyDescent="0.35">
      <c r="A128" s="409">
        <v>2026</v>
      </c>
      <c r="C128" s="12">
        <f>VLOOKUP(A118,Capex_Breakup,10, FALSE)</f>
        <v>180.85244257739851</v>
      </c>
      <c r="H128" s="412"/>
      <c r="I128" s="412"/>
      <c r="J128" s="410">
        <f>C128/C119/2</f>
        <v>15.071036881449876</v>
      </c>
      <c r="K128" s="411">
        <f>$C128/$C119</f>
        <v>30.142073762899752</v>
      </c>
      <c r="L128" s="411">
        <f t="shared" ref="L128" si="95">$C128/$C119</f>
        <v>30.142073762899752</v>
      </c>
    </row>
    <row r="129" spans="1:12" x14ac:dyDescent="0.35">
      <c r="A129" s="409">
        <v>2027</v>
      </c>
      <c r="C129" s="12">
        <f>VLOOKUP(A118,Capex_Breakup,11, FALSE)</f>
        <v>194.47806556474987</v>
      </c>
      <c r="H129" s="412"/>
      <c r="I129" s="412"/>
      <c r="J129" s="412"/>
      <c r="K129" s="410">
        <f>C129/C119/2</f>
        <v>16.206505463729155</v>
      </c>
      <c r="L129" s="411">
        <f>$C129/$C119</f>
        <v>32.413010927458309</v>
      </c>
    </row>
    <row r="130" spans="1:12" x14ac:dyDescent="0.35">
      <c r="A130" s="409">
        <v>2028</v>
      </c>
      <c r="C130" s="12">
        <f>VLOOKUP(A118,Capex_Breakup,12, FALSE)</f>
        <v>209.15379148404477</v>
      </c>
      <c r="H130" s="412"/>
      <c r="I130" s="412"/>
      <c r="J130" s="412"/>
      <c r="K130" s="12"/>
      <c r="L130" s="410">
        <f>C130/C119/2</f>
        <v>17.429482623670399</v>
      </c>
    </row>
    <row r="131" spans="1:12" x14ac:dyDescent="0.35">
      <c r="A131" s="168"/>
    </row>
    <row r="132" spans="1:12" ht="15" thickBot="1" x14ac:dyDescent="0.4">
      <c r="A132" s="413" t="str">
        <f>CONCATENATE("Depreciation on"," ",A118)</f>
        <v>Depreciation on Vehicles</v>
      </c>
      <c r="C132" s="400"/>
      <c r="D132" s="400"/>
      <c r="E132" s="400"/>
      <c r="F132" s="414"/>
      <c r="G132" s="414"/>
      <c r="H132" s="415">
        <f>SUM(H122:H130)</f>
        <v>183.33587010023069</v>
      </c>
      <c r="I132" s="415">
        <f t="shared" ref="I132:L132" si="96">SUM(I122:I130)</f>
        <v>210.3900923627381</v>
      </c>
      <c r="J132" s="415">
        <f t="shared" si="96"/>
        <v>207.85281473979805</v>
      </c>
      <c r="K132" s="415">
        <f t="shared" si="96"/>
        <v>100.4570237516437</v>
      </c>
      <c r="L132" s="415">
        <f t="shared" si="96"/>
        <v>134.09301183904324</v>
      </c>
    </row>
    <row r="133" spans="1:12" ht="15" thickTop="1" x14ac:dyDescent="0.35"/>
    <row r="135" spans="1:12" x14ac:dyDescent="0.35">
      <c r="A135" s="78" t="str">
        <f>CHOOSE(B135,$A$26,$A$27,$A$28,$A$29,$A$30,$A$31,$A$32)</f>
        <v>Aircrafts</v>
      </c>
      <c r="B135" s="484">
        <f>B118+1</f>
        <v>6</v>
      </c>
      <c r="C135" s="80">
        <v>2019</v>
      </c>
      <c r="D135" s="80">
        <f>C135+1</f>
        <v>2020</v>
      </c>
      <c r="E135" s="80">
        <f t="shared" ref="E135" si="97">D135+1</f>
        <v>2021</v>
      </c>
      <c r="F135" s="80">
        <f t="shared" ref="F135" si="98">E135+1</f>
        <v>2022</v>
      </c>
      <c r="G135" s="80">
        <f t="shared" ref="G135" si="99">F135+1</f>
        <v>2023</v>
      </c>
      <c r="H135" s="81">
        <v>2024</v>
      </c>
      <c r="I135" s="81">
        <f>H135+1</f>
        <v>2025</v>
      </c>
      <c r="J135" s="81">
        <f t="shared" ref="J135" si="100">I135+1</f>
        <v>2026</v>
      </c>
      <c r="K135" s="81">
        <f t="shared" ref="K135" si="101">J135+1</f>
        <v>2027</v>
      </c>
      <c r="L135" s="81">
        <f t="shared" ref="L135" si="102">K135+1</f>
        <v>2028</v>
      </c>
    </row>
    <row r="136" spans="1:12" x14ac:dyDescent="0.35">
      <c r="A136" s="403" t="s">
        <v>406</v>
      </c>
      <c r="C136" s="280">
        <f>VLOOKUP(A135,GrossPPE_Breakup,5,FALSE)</f>
        <v>20</v>
      </c>
    </row>
    <row r="137" spans="1:12" x14ac:dyDescent="0.35">
      <c r="A137" s="403" t="str">
        <f>CONCATENATE("Gross Value of"," ",A135)</f>
        <v>Gross Value of Aircrafts</v>
      </c>
      <c r="C137" s="4">
        <f>VLOOKUP(A135,GrossPPE_Breakup,3,FALSE)</f>
        <v>57.22</v>
      </c>
    </row>
    <row r="138" spans="1:12" x14ac:dyDescent="0.35">
      <c r="A138" s="403" t="s">
        <v>418</v>
      </c>
      <c r="C138" s="4">
        <f>VLOOKUP(A135,GrossPPE_Breakup,4,FALSE)</f>
        <v>8.51</v>
      </c>
      <c r="G138" s="4">
        <f>C138</f>
        <v>8.51</v>
      </c>
      <c r="H138" s="280">
        <f>G138-H139</f>
        <v>5.649</v>
      </c>
      <c r="I138" s="280">
        <f t="shared" ref="I138" si="103">H138-I139</f>
        <v>2.7880000000000003</v>
      </c>
      <c r="J138" s="280">
        <f t="shared" ref="J138" si="104">I138-J139</f>
        <v>0</v>
      </c>
      <c r="K138" s="280">
        <f t="shared" ref="K138" si="105">J138-K139</f>
        <v>0</v>
      </c>
      <c r="L138" s="280">
        <f t="shared" ref="L138" si="106">K138-L139</f>
        <v>0</v>
      </c>
    </row>
    <row r="139" spans="1:12" x14ac:dyDescent="0.35">
      <c r="A139" s="404" t="s">
        <v>419</v>
      </c>
      <c r="B139" s="9"/>
      <c r="C139" s="9"/>
      <c r="D139" s="9"/>
      <c r="E139" s="283"/>
      <c r="F139" s="405"/>
      <c r="G139" s="405"/>
      <c r="H139" s="406">
        <f>IF(G138&lt;$C137/$C136,G138,$C137/$C136)</f>
        <v>2.8609999999999998</v>
      </c>
      <c r="I139" s="406">
        <f t="shared" ref="I139:L139" si="107">IF(H138&lt;$C137/$C136,H138,$C137/$C136)</f>
        <v>2.8609999999999998</v>
      </c>
      <c r="J139" s="406">
        <f t="shared" si="107"/>
        <v>2.7880000000000003</v>
      </c>
      <c r="K139" s="406">
        <f t="shared" si="107"/>
        <v>0</v>
      </c>
      <c r="L139" s="406">
        <f t="shared" si="107"/>
        <v>0</v>
      </c>
    </row>
    <row r="140" spans="1:12" x14ac:dyDescent="0.35">
      <c r="A140" s="168"/>
    </row>
    <row r="141" spans="1:12" x14ac:dyDescent="0.35">
      <c r="A141" t="s">
        <v>420</v>
      </c>
    </row>
    <row r="142" spans="1:12" x14ac:dyDescent="0.35">
      <c r="A142" s="407" t="s">
        <v>421</v>
      </c>
      <c r="B142" s="408"/>
      <c r="C142" t="s">
        <v>422</v>
      </c>
    </row>
    <row r="143" spans="1:12" x14ac:dyDescent="0.35">
      <c r="A143" s="409">
        <v>2024</v>
      </c>
      <c r="C143" s="12">
        <f>VLOOKUP(A135,Capex_Breakup,8, FALSE)</f>
        <v>8.7611879599745652</v>
      </c>
      <c r="H143" s="410">
        <f>(C143/C136)/2</f>
        <v>0.21902969899936414</v>
      </c>
      <c r="I143" s="411">
        <f>$C143/$C136</f>
        <v>0.43805939799872828</v>
      </c>
      <c r="J143" s="411">
        <f t="shared" ref="J143:L143" si="108">$C143/$C136</f>
        <v>0.43805939799872828</v>
      </c>
      <c r="K143" s="411">
        <f t="shared" si="108"/>
        <v>0.43805939799872828</v>
      </c>
      <c r="L143" s="411">
        <f t="shared" si="108"/>
        <v>0.43805939799872828</v>
      </c>
    </row>
    <row r="144" spans="1:12" x14ac:dyDescent="0.35">
      <c r="A144" s="409">
        <v>2025</v>
      </c>
      <c r="C144" s="12">
        <f>VLOOKUP(A135,Capex_Breakup,9, FALSE)</f>
        <v>9.4191731458574335</v>
      </c>
      <c r="H144" s="412"/>
      <c r="I144" s="410">
        <f>(C144/C136)/2</f>
        <v>0.23547932864643584</v>
      </c>
      <c r="J144" s="12">
        <f>$C144/$C136</f>
        <v>0.47095865729287167</v>
      </c>
      <c r="K144" s="12">
        <f t="shared" ref="K144:L144" si="109">$C144/$C136</f>
        <v>0.47095865729287167</v>
      </c>
      <c r="L144" s="12">
        <f t="shared" si="109"/>
        <v>0.47095865729287167</v>
      </c>
    </row>
    <row r="145" spans="1:12" x14ac:dyDescent="0.35">
      <c r="A145" s="409">
        <v>2026</v>
      </c>
      <c r="C145" s="12">
        <f>VLOOKUP(A135,Capex_Breakup,10, FALSE)</f>
        <v>10.127694305364843</v>
      </c>
      <c r="H145" s="412"/>
      <c r="I145" s="412"/>
      <c r="J145" s="410">
        <f>C145/C136/2</f>
        <v>0.25319235763412107</v>
      </c>
      <c r="K145" s="411">
        <f>$C145/$C136</f>
        <v>0.50638471526824214</v>
      </c>
      <c r="L145" s="411">
        <f t="shared" ref="L145" si="110">$C145/$C136</f>
        <v>0.50638471526824214</v>
      </c>
    </row>
    <row r="146" spans="1:12" x14ac:dyDescent="0.35">
      <c r="A146" s="409">
        <v>2027</v>
      </c>
      <c r="C146" s="12">
        <f>VLOOKUP(A135,Capex_Breakup,11, FALSE)</f>
        <v>10.890725992243992</v>
      </c>
      <c r="H146" s="412"/>
      <c r="I146" s="412"/>
      <c r="J146" s="412"/>
      <c r="K146" s="410">
        <f>C146/C136/2</f>
        <v>0.27226814980609981</v>
      </c>
      <c r="L146" s="411">
        <f>$C146/$C136</f>
        <v>0.54453629961219963</v>
      </c>
    </row>
    <row r="147" spans="1:12" x14ac:dyDescent="0.35">
      <c r="A147" s="409">
        <v>2028</v>
      </c>
      <c r="C147" s="12">
        <f>VLOOKUP(A135,Capex_Breakup,12, FALSE)</f>
        <v>11.712563196661783</v>
      </c>
      <c r="H147" s="412"/>
      <c r="I147" s="412"/>
      <c r="J147" s="412"/>
      <c r="K147" s="12"/>
      <c r="L147" s="410">
        <f>C147/C136/2</f>
        <v>0.29281407991654457</v>
      </c>
    </row>
    <row r="148" spans="1:12" x14ac:dyDescent="0.35">
      <c r="A148" s="168"/>
    </row>
    <row r="149" spans="1:12" ht="15" thickBot="1" x14ac:dyDescent="0.4">
      <c r="A149" s="413" t="str">
        <f>CONCATENATE("Depreciation on"," ",A135)</f>
        <v>Depreciation on Aircrafts</v>
      </c>
      <c r="C149" s="400"/>
      <c r="D149" s="400"/>
      <c r="E149" s="400"/>
      <c r="F149" s="414"/>
      <c r="G149" s="414"/>
      <c r="H149" s="415">
        <f>SUM(H139:H147)</f>
        <v>3.0800296989993639</v>
      </c>
      <c r="I149" s="415">
        <f t="shared" ref="I149:L149" si="111">SUM(I139:I147)</f>
        <v>3.534538726645164</v>
      </c>
      <c r="J149" s="415">
        <f t="shared" si="111"/>
        <v>3.9502104129257214</v>
      </c>
      <c r="K149" s="415">
        <f t="shared" si="111"/>
        <v>1.6876709203659419</v>
      </c>
      <c r="L149" s="415">
        <f t="shared" si="111"/>
        <v>2.2527531500885862</v>
      </c>
    </row>
    <row r="150" spans="1:12" ht="15" thickTop="1" x14ac:dyDescent="0.35">
      <c r="D150" s="12"/>
      <c r="E150" s="12"/>
      <c r="F150" s="12"/>
      <c r="G150" s="12"/>
    </row>
    <row r="151" spans="1:12" x14ac:dyDescent="0.35">
      <c r="D151" s="12"/>
      <c r="E151" s="12"/>
      <c r="F151" s="12"/>
      <c r="G151" s="12"/>
    </row>
    <row r="152" spans="1:12" x14ac:dyDescent="0.35">
      <c r="A152" s="78" t="str">
        <f>CHOOSE(B152,$A$26,$A$27,$A$28,$A$29,$A$30,$A$31,$A$32)</f>
        <v>Office Equipment</v>
      </c>
      <c r="B152" s="484">
        <f>B135+1</f>
        <v>7</v>
      </c>
      <c r="C152" s="80">
        <v>2019</v>
      </c>
      <c r="D152" s="80">
        <f>C152+1</f>
        <v>2020</v>
      </c>
      <c r="E152" s="80">
        <f t="shared" ref="E152" si="112">D152+1</f>
        <v>2021</v>
      </c>
      <c r="F152" s="80">
        <f t="shared" ref="F152" si="113">E152+1</f>
        <v>2022</v>
      </c>
      <c r="G152" s="80">
        <f t="shared" ref="G152" si="114">F152+1</f>
        <v>2023</v>
      </c>
      <c r="H152" s="81">
        <v>2024</v>
      </c>
      <c r="I152" s="81">
        <f>H152+1</f>
        <v>2025</v>
      </c>
      <c r="J152" s="81">
        <f t="shared" ref="J152" si="115">I152+1</f>
        <v>2026</v>
      </c>
      <c r="K152" s="81">
        <f t="shared" ref="K152" si="116">J152+1</f>
        <v>2027</v>
      </c>
      <c r="L152" s="81">
        <f t="shared" ref="L152" si="117">K152+1</f>
        <v>2028</v>
      </c>
    </row>
    <row r="153" spans="1:12" x14ac:dyDescent="0.35">
      <c r="A153" s="403" t="s">
        <v>406</v>
      </c>
      <c r="C153" s="280">
        <f>VLOOKUP(A152,GrossPPE_Breakup,5,FALSE)</f>
        <v>5</v>
      </c>
    </row>
    <row r="154" spans="1:12" x14ac:dyDescent="0.35">
      <c r="A154" s="403" t="str">
        <f>CONCATENATE("Gross Value of"," ",A152)</f>
        <v>Gross Value of Office Equipment</v>
      </c>
      <c r="C154" s="4">
        <f>VLOOKUP(A152,GrossPPE_Breakup,3,FALSE)</f>
        <v>437</v>
      </c>
    </row>
    <row r="155" spans="1:12" x14ac:dyDescent="0.35">
      <c r="A155" s="403" t="s">
        <v>418</v>
      </c>
      <c r="C155" s="4">
        <f>VLOOKUP(A152,GrossPPE_Breakup,4,FALSE)</f>
        <v>105.07</v>
      </c>
      <c r="G155" s="4">
        <f>C155</f>
        <v>105.07</v>
      </c>
      <c r="H155" s="280">
        <f>G155-H156</f>
        <v>17.669999999999987</v>
      </c>
      <c r="I155" s="280">
        <f t="shared" ref="I155" si="118">H155-I156</f>
        <v>0</v>
      </c>
      <c r="J155" s="280">
        <f t="shared" ref="J155" si="119">I155-J156</f>
        <v>0</v>
      </c>
      <c r="K155" s="280">
        <f t="shared" ref="K155" si="120">J155-K156</f>
        <v>0</v>
      </c>
      <c r="L155" s="280">
        <f t="shared" ref="L155" si="121">K155-L156</f>
        <v>0</v>
      </c>
    </row>
    <row r="156" spans="1:12" x14ac:dyDescent="0.35">
      <c r="A156" s="404" t="s">
        <v>419</v>
      </c>
      <c r="B156" s="9"/>
      <c r="C156" s="9"/>
      <c r="D156" s="9"/>
      <c r="E156" s="283"/>
      <c r="F156" s="405"/>
      <c r="G156" s="405"/>
      <c r="H156" s="406">
        <f>IF(G155&lt;$C154/$C153,G155,$C154/$C153)</f>
        <v>87.4</v>
      </c>
      <c r="I156" s="406">
        <f t="shared" ref="I156:L156" si="122">IF(H155&lt;$C154/$C153,H155,$C154/$C153)</f>
        <v>17.669999999999987</v>
      </c>
      <c r="J156" s="406">
        <f t="shared" si="122"/>
        <v>0</v>
      </c>
      <c r="K156" s="406">
        <f t="shared" si="122"/>
        <v>0</v>
      </c>
      <c r="L156" s="406">
        <f t="shared" si="122"/>
        <v>0</v>
      </c>
    </row>
    <row r="157" spans="1:12" x14ac:dyDescent="0.35">
      <c r="A157" s="168"/>
    </row>
    <row r="158" spans="1:12" x14ac:dyDescent="0.35">
      <c r="A158" t="s">
        <v>420</v>
      </c>
    </row>
    <row r="159" spans="1:12" x14ac:dyDescent="0.35">
      <c r="A159" s="407" t="s">
        <v>421</v>
      </c>
      <c r="B159" s="408"/>
      <c r="C159" t="s">
        <v>422</v>
      </c>
    </row>
    <row r="160" spans="1:12" x14ac:dyDescent="0.35">
      <c r="A160" s="409">
        <v>2024</v>
      </c>
      <c r="C160" s="12">
        <f>VLOOKUP(A152,Capex_Breakup,8, FALSE)</f>
        <v>66.910855269291943</v>
      </c>
      <c r="H160" s="410">
        <f>(C160/C153)/2</f>
        <v>6.6910855269291947</v>
      </c>
      <c r="I160" s="411">
        <f>$C160/$C153</f>
        <v>13.382171053858389</v>
      </c>
      <c r="J160" s="411">
        <f t="shared" ref="J160:L160" si="123">$C160/$C153</f>
        <v>13.382171053858389</v>
      </c>
      <c r="K160" s="411">
        <f t="shared" si="123"/>
        <v>13.382171053858389</v>
      </c>
      <c r="L160" s="411">
        <f t="shared" si="123"/>
        <v>13.382171053858389</v>
      </c>
    </row>
    <row r="161" spans="1:12" x14ac:dyDescent="0.35">
      <c r="A161" s="409">
        <v>2025</v>
      </c>
      <c r="C161" s="12">
        <f>VLOOKUP(A152,Capex_Breakup,9, FALSE)</f>
        <v>71.936013015373973</v>
      </c>
      <c r="H161" s="412"/>
      <c r="I161" s="410">
        <f>(C161/C153)/2</f>
        <v>7.193601301537397</v>
      </c>
      <c r="J161" s="12">
        <f>$C161/$C153</f>
        <v>14.387202603074794</v>
      </c>
      <c r="K161" s="12">
        <f t="shared" ref="K161:L161" si="124">$C161/$C153</f>
        <v>14.387202603074794</v>
      </c>
      <c r="L161" s="12">
        <f t="shared" si="124"/>
        <v>14.387202603074794</v>
      </c>
    </row>
    <row r="162" spans="1:12" x14ac:dyDescent="0.35">
      <c r="A162" s="409">
        <v>2026</v>
      </c>
      <c r="C162" s="12">
        <f>VLOOKUP(A152,Capex_Breakup,10, FALSE)</f>
        <v>77.347123583439995</v>
      </c>
      <c r="H162" s="412"/>
      <c r="I162" s="412"/>
      <c r="J162" s="410">
        <f>C162/C153/2</f>
        <v>7.7347123583439998</v>
      </c>
      <c r="K162" s="411">
        <f>$C162/$C153</f>
        <v>15.469424716688</v>
      </c>
      <c r="L162" s="411">
        <f t="shared" ref="L162" si="125">$C162/$C153</f>
        <v>15.469424716688</v>
      </c>
    </row>
    <row r="163" spans="1:12" x14ac:dyDescent="0.35">
      <c r="A163" s="409">
        <v>2027</v>
      </c>
      <c r="C163" s="12">
        <f>VLOOKUP(A152,Capex_Breakup,11, FALSE)</f>
        <v>83.174541394802944</v>
      </c>
      <c r="H163" s="412"/>
      <c r="I163" s="412"/>
      <c r="J163" s="412"/>
      <c r="K163" s="410">
        <f>C163/C153/2</f>
        <v>8.3174541394802937</v>
      </c>
      <c r="L163" s="411">
        <f>$C163/$C153</f>
        <v>16.634908278960587</v>
      </c>
    </row>
    <row r="164" spans="1:12" x14ac:dyDescent="0.35">
      <c r="A164" s="409">
        <v>2028</v>
      </c>
      <c r="C164" s="12">
        <f>VLOOKUP(A152,Capex_Breakup,12, FALSE)</f>
        <v>89.451068104529867</v>
      </c>
      <c r="H164" s="412"/>
      <c r="I164" s="412"/>
      <c r="J164" s="412"/>
      <c r="K164" s="12"/>
      <c r="L164" s="410">
        <f>C164/C153/2</f>
        <v>8.9451068104529874</v>
      </c>
    </row>
    <row r="165" spans="1:12" x14ac:dyDescent="0.35">
      <c r="A165" s="168"/>
    </row>
    <row r="166" spans="1:12" ht="15" thickBot="1" x14ac:dyDescent="0.4">
      <c r="A166" s="413" t="str">
        <f>CONCATENATE("Depreciation on"," ",A152)</f>
        <v>Depreciation on Office Equipment</v>
      </c>
      <c r="C166" s="400"/>
      <c r="D166" s="400"/>
      <c r="E166" s="400"/>
      <c r="F166" s="414"/>
      <c r="G166" s="414"/>
      <c r="H166" s="415">
        <f>SUM(H156:H164)</f>
        <v>94.091085526929206</v>
      </c>
      <c r="I166" s="415">
        <f t="shared" ref="I166:L166" si="126">SUM(I156:I164)</f>
        <v>38.245772355395772</v>
      </c>
      <c r="J166" s="415">
        <f t="shared" si="126"/>
        <v>35.504086015277181</v>
      </c>
      <c r="K166" s="415">
        <f t="shared" si="126"/>
        <v>51.55625251310147</v>
      </c>
      <c r="L166" s="415">
        <f t="shared" si="126"/>
        <v>68.818813463034758</v>
      </c>
    </row>
    <row r="167" spans="1:12" ht="15" thickTop="1" x14ac:dyDescent="0.35"/>
    <row r="168" spans="1:12" ht="15" thickBot="1" x14ac:dyDescent="0.4">
      <c r="A168" s="166" t="s">
        <v>511</v>
      </c>
      <c r="B168" s="400"/>
      <c r="C168" s="400"/>
      <c r="D168" s="400"/>
      <c r="E168" s="400"/>
      <c r="F168" s="400"/>
      <c r="G168" s="400"/>
      <c r="H168" s="485">
        <f>H166+H149+H132+H115+H98+H81+H64</f>
        <v>2566.6719238846558</v>
      </c>
      <c r="I168" s="485">
        <f t="shared" ref="I168:L168" si="127">I166+I149+I132+I115+I98+I81+I64</f>
        <v>2875.6965705653629</v>
      </c>
      <c r="J168" s="485">
        <f t="shared" si="127"/>
        <v>3233.5518832435359</v>
      </c>
      <c r="K168" s="485">
        <f t="shared" si="127"/>
        <v>3469.5169807369434</v>
      </c>
      <c r="L168" s="485">
        <f t="shared" si="127"/>
        <v>3909.4332627198896</v>
      </c>
    </row>
    <row r="169" spans="1:12" ht="15" thickTop="1" x14ac:dyDescent="0.35"/>
  </sheetData>
  <conditionalFormatting sqref="D4">
    <cfRule type="expression" dxfId="8" priority="1">
      <formula>"="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3396-AA44-46BF-98E5-429AF136821F}">
  <dimension ref="A1:V110"/>
  <sheetViews>
    <sheetView zoomScale="103" zoomScaleNormal="103" workbookViewId="0">
      <selection activeCell="L116" sqref="L116"/>
    </sheetView>
  </sheetViews>
  <sheetFormatPr defaultRowHeight="14.5" x14ac:dyDescent="0.35"/>
  <cols>
    <col min="1" max="1" width="36.1796875" customWidth="1"/>
    <col min="2" max="2" width="5" customWidth="1"/>
    <col min="3" max="3" width="13" bestFit="1" customWidth="1"/>
    <col min="4" max="4" width="11.54296875" bestFit="1" customWidth="1"/>
    <col min="5" max="5" width="10.1796875" bestFit="1" customWidth="1"/>
    <col min="7" max="7" width="12" bestFit="1" customWidth="1"/>
  </cols>
  <sheetData>
    <row r="1" spans="1:22" s="17" customFormat="1" x14ac:dyDescent="0.35">
      <c r="A1" s="82"/>
      <c r="B1" s="83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22" s="20" customFormat="1" x14ac:dyDescent="0.35">
      <c r="A2" s="85" t="s">
        <v>80</v>
      </c>
      <c r="B2" s="86"/>
      <c r="C2" s="87"/>
      <c r="D2" s="19"/>
      <c r="E2" s="19"/>
      <c r="F2" s="19"/>
      <c r="G2" s="19"/>
      <c r="H2" s="19"/>
      <c r="I2" s="19"/>
      <c r="J2" s="19"/>
      <c r="K2" s="19"/>
      <c r="L2" s="19"/>
    </row>
    <row r="3" spans="1:22" s="20" customFormat="1" x14ac:dyDescent="0.35">
      <c r="A3" s="1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22" s="20" customFormat="1" x14ac:dyDescent="0.35">
      <c r="A4" s="21" t="s">
        <v>242</v>
      </c>
      <c r="B4" s="18"/>
      <c r="C4" s="19"/>
      <c r="D4" s="22"/>
      <c r="E4" s="19"/>
      <c r="F4" s="19"/>
      <c r="G4" s="19"/>
      <c r="H4" s="19"/>
      <c r="I4" s="19"/>
      <c r="J4" s="19"/>
      <c r="K4" s="19"/>
      <c r="L4" s="19"/>
    </row>
    <row r="5" spans="1:22" s="20" customFormat="1" x14ac:dyDescent="0.35">
      <c r="A5" s="18" t="s">
        <v>82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22" s="20" customFormat="1" x14ac:dyDescent="0.35">
      <c r="A6" s="18" t="s">
        <v>83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22" s="17" customFormat="1" x14ac:dyDescent="0.35">
      <c r="A7" s="78" t="s">
        <v>84</v>
      </c>
      <c r="B7" s="79"/>
      <c r="C7" s="80">
        <v>2019</v>
      </c>
      <c r="D7" s="80">
        <f>C7+1</f>
        <v>2020</v>
      </c>
      <c r="E7" s="80">
        <f t="shared" ref="E7:G7" si="0">D7+1</f>
        <v>2021</v>
      </c>
      <c r="F7" s="80">
        <f t="shared" si="0"/>
        <v>2022</v>
      </c>
      <c r="G7" s="80">
        <f t="shared" si="0"/>
        <v>2023</v>
      </c>
      <c r="H7" s="81">
        <v>2024</v>
      </c>
      <c r="I7" s="81">
        <f>H7+1</f>
        <v>2025</v>
      </c>
      <c r="J7" s="81">
        <f t="shared" ref="J7:L7" si="1">I7+1</f>
        <v>2026</v>
      </c>
      <c r="K7" s="81">
        <f t="shared" si="1"/>
        <v>2027</v>
      </c>
      <c r="L7" s="81">
        <f t="shared" si="1"/>
        <v>2028</v>
      </c>
    </row>
    <row r="8" spans="1:22" s="88" customFormat="1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s="88" customFormat="1" x14ac:dyDescent="0.35">
      <c r="A9" s="215" t="s">
        <v>198</v>
      </c>
      <c r="B9" s="216"/>
      <c r="C9" s="217">
        <f>Depreciation!C9</f>
        <v>104720.68</v>
      </c>
      <c r="D9" s="217">
        <f>Depreciation!D9</f>
        <v>75381.929999999993</v>
      </c>
      <c r="E9" s="217">
        <f>Depreciation!E9</f>
        <v>74277.78</v>
      </c>
      <c r="F9" s="217">
        <f>Depreciation!F9</f>
        <v>90170.57</v>
      </c>
      <c r="G9" s="217">
        <f>Depreciation!G9</f>
        <v>121268.55</v>
      </c>
      <c r="H9" s="217">
        <f>Depreciation!H9</f>
        <v>130361.80518885751</v>
      </c>
      <c r="I9" s="217">
        <f>Depreciation!I9</f>
        <v>140152.27390281326</v>
      </c>
      <c r="J9" s="217">
        <f>Depreciation!J9</f>
        <v>150694.69095742426</v>
      </c>
      <c r="K9" s="217">
        <f>Depreciation!K9</f>
        <v>162048.19559313048</v>
      </c>
      <c r="L9" s="217">
        <f>Depreciation!L9</f>
        <v>174276.69497343351</v>
      </c>
      <c r="M9"/>
      <c r="N9"/>
      <c r="O9"/>
      <c r="P9"/>
      <c r="Q9"/>
      <c r="R9"/>
      <c r="S9"/>
      <c r="T9"/>
      <c r="U9"/>
      <c r="V9"/>
    </row>
    <row r="10" spans="1:22" s="88" customFormat="1" x14ac:dyDescent="0.35">
      <c r="A10" s="215" t="s">
        <v>243</v>
      </c>
      <c r="B10" s="216"/>
      <c r="C10" s="236">
        <v>2616.52</v>
      </c>
      <c r="D10" s="328">
        <v>753.55000000000109</v>
      </c>
      <c r="E10" s="328">
        <v>-2917.88</v>
      </c>
      <c r="F10" s="328">
        <v>110.05999999999949</v>
      </c>
      <c r="G10" s="328">
        <v>2497.1999999999998</v>
      </c>
      <c r="H10" s="218">
        <f>H11*H9</f>
        <v>1850.9753817209248</v>
      </c>
      <c r="I10" s="218">
        <f t="shared" ref="I10:L10" si="2">I11*I9</f>
        <v>1989.9878519670026</v>
      </c>
      <c r="J10" s="218">
        <f t="shared" si="2"/>
        <v>2139.677052754379</v>
      </c>
      <c r="K10" s="218">
        <f t="shared" si="2"/>
        <v>2300.8826876909447</v>
      </c>
      <c r="L10" s="218">
        <f t="shared" si="2"/>
        <v>2474.512158957772</v>
      </c>
      <c r="M10"/>
      <c r="N10"/>
      <c r="O10"/>
      <c r="P10"/>
      <c r="Q10"/>
      <c r="R10"/>
      <c r="S10"/>
      <c r="T10"/>
      <c r="U10"/>
      <c r="V10"/>
    </row>
    <row r="11" spans="1:22" s="88" customFormat="1" x14ac:dyDescent="0.35">
      <c r="A11" s="219" t="s">
        <v>244</v>
      </c>
      <c r="B11" s="216"/>
      <c r="C11" s="220">
        <f>C10/C9</f>
        <v>2.4985704829265817E-2</v>
      </c>
      <c r="D11" s="220">
        <f t="shared" ref="D11:G11" si="3">D10/D9</f>
        <v>9.9964275258009605E-3</v>
      </c>
      <c r="E11" s="220">
        <f t="shared" si="3"/>
        <v>-3.9283349610071815E-2</v>
      </c>
      <c r="F11" s="220">
        <f t="shared" si="3"/>
        <v>1.2205756268369988E-3</v>
      </c>
      <c r="G11" s="220">
        <f t="shared" si="3"/>
        <v>2.0592313505851268E-2</v>
      </c>
      <c r="H11" s="221">
        <f>AVERAGE(C11,D11,F11,G11)</f>
        <v>1.4198755371938761E-2</v>
      </c>
      <c r="I11" s="221">
        <f>H11</f>
        <v>1.4198755371938761E-2</v>
      </c>
      <c r="J11" s="221">
        <f t="shared" ref="J11:L11" si="4">I11</f>
        <v>1.4198755371938761E-2</v>
      </c>
      <c r="K11" s="221">
        <f t="shared" si="4"/>
        <v>1.4198755371938761E-2</v>
      </c>
      <c r="L11" s="221">
        <f t="shared" si="4"/>
        <v>1.4198755371938761E-2</v>
      </c>
      <c r="M11"/>
      <c r="N11"/>
      <c r="O11"/>
      <c r="P11"/>
      <c r="Q11"/>
      <c r="R11"/>
      <c r="S11"/>
      <c r="T11"/>
      <c r="U11"/>
      <c r="V11"/>
    </row>
    <row r="12" spans="1:22" s="88" customFormat="1" x14ac:dyDescent="0.35">
      <c r="A12" s="222"/>
      <c r="B12"/>
      <c r="C12"/>
      <c r="D12"/>
      <c r="E12" s="223"/>
      <c r="F12" s="223"/>
      <c r="G12" s="223"/>
      <c r="H12" s="223"/>
      <c r="I12" s="224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88" customFormat="1" x14ac:dyDescent="0.35">
      <c r="A13" s="215" t="s">
        <v>245</v>
      </c>
      <c r="B13" s="216"/>
      <c r="C13" s="236">
        <v>1136.29</v>
      </c>
      <c r="D13" s="328">
        <v>1675.7399999999998</v>
      </c>
      <c r="E13" s="328">
        <v>-1621.2299999999996</v>
      </c>
      <c r="F13" s="328">
        <v>-202.63999999999987</v>
      </c>
      <c r="G13" s="328">
        <v>1033.2800000000002</v>
      </c>
      <c r="H13" s="218"/>
      <c r="I13" s="218"/>
      <c r="J13" s="218"/>
      <c r="K13" s="218"/>
      <c r="L13" s="218"/>
      <c r="M13"/>
      <c r="N13"/>
      <c r="O13"/>
      <c r="P13"/>
      <c r="Q13"/>
      <c r="R13"/>
      <c r="S13"/>
      <c r="T13"/>
      <c r="U13"/>
      <c r="V13"/>
    </row>
    <row r="14" spans="1:22" s="88" customFormat="1" x14ac:dyDescent="0.35">
      <c r="A14" s="219" t="s">
        <v>246</v>
      </c>
      <c r="B14" s="216"/>
      <c r="C14" s="220"/>
      <c r="D14" s="220"/>
      <c r="E14" s="220"/>
      <c r="F14" s="220"/>
      <c r="G14" s="220"/>
      <c r="H14" s="218"/>
      <c r="I14" s="221"/>
      <c r="J14" s="221"/>
      <c r="K14" s="221"/>
      <c r="L14" s="221"/>
      <c r="M14"/>
      <c r="N14"/>
      <c r="O14"/>
      <c r="P14"/>
      <c r="Q14"/>
      <c r="R14"/>
      <c r="S14"/>
      <c r="T14"/>
      <c r="U14"/>
      <c r="V14"/>
    </row>
    <row r="15" spans="1:22" s="88" customFormat="1" x14ac:dyDescent="0.35">
      <c r="A15" s="222"/>
      <c r="B15"/>
      <c r="C15"/>
      <c r="D15"/>
      <c r="E15" s="223"/>
      <c r="F15" s="223"/>
      <c r="G15" s="223"/>
      <c r="H15" s="223"/>
      <c r="I15" s="223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s="88" customFormat="1" x14ac:dyDescent="0.35">
      <c r="A16" s="222"/>
      <c r="B16"/>
      <c r="C16"/>
      <c r="D16"/>
      <c r="E16" s="223"/>
      <c r="F16" s="223"/>
      <c r="G16" s="223"/>
      <c r="H16" s="223"/>
      <c r="I16" s="223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s="88" customFormat="1" x14ac:dyDescent="0.35">
      <c r="A17" s="215" t="s">
        <v>247</v>
      </c>
      <c r="B17" s="228"/>
      <c r="C17" s="228"/>
      <c r="D17" s="228"/>
      <c r="E17" s="228"/>
      <c r="F17" s="228"/>
      <c r="G17" s="228"/>
      <c r="H17" s="229">
        <f>G21</f>
        <v>4239.75</v>
      </c>
      <c r="I17" s="229">
        <f t="shared" ref="I17:L17" si="5">H21</f>
        <v>4153.7431596947508</v>
      </c>
      <c r="J17" s="229">
        <f t="shared" si="5"/>
        <v>3947.0078236461391</v>
      </c>
      <c r="K17" s="229">
        <f t="shared" si="5"/>
        <v>4456.4589900229812</v>
      </c>
      <c r="L17" s="229">
        <f t="shared" si="5"/>
        <v>5303.8789186240574</v>
      </c>
      <c r="M17"/>
      <c r="N17"/>
      <c r="O17"/>
      <c r="P17"/>
      <c r="Q17"/>
      <c r="R17"/>
      <c r="S17"/>
      <c r="T17"/>
      <c r="U17"/>
      <c r="V17"/>
    </row>
    <row r="18" spans="1:22" s="88" customFormat="1" x14ac:dyDescent="0.35">
      <c r="A18" s="215" t="s">
        <v>248</v>
      </c>
      <c r="B18" s="230"/>
      <c r="C18" s="230"/>
      <c r="D18" s="230"/>
      <c r="E18" s="230"/>
      <c r="F18" s="230"/>
      <c r="G18" s="230"/>
      <c r="H18" s="229">
        <f>H10</f>
        <v>1850.9753817209248</v>
      </c>
      <c r="I18" s="229">
        <f t="shared" ref="I18:L18" si="6">I10</f>
        <v>1989.9878519670026</v>
      </c>
      <c r="J18" s="229">
        <f t="shared" si="6"/>
        <v>2139.677052754379</v>
      </c>
      <c r="K18" s="229">
        <f t="shared" si="6"/>
        <v>2300.8826876909447</v>
      </c>
      <c r="L18" s="229">
        <f t="shared" si="6"/>
        <v>2474.512158957772</v>
      </c>
      <c r="M18"/>
      <c r="N18"/>
      <c r="O18"/>
      <c r="P18"/>
      <c r="Q18"/>
      <c r="R18"/>
      <c r="S18"/>
      <c r="T18"/>
      <c r="U18"/>
      <c r="V18"/>
    </row>
    <row r="19" spans="1:22" s="88" customFormat="1" x14ac:dyDescent="0.35">
      <c r="A19" s="215" t="s">
        <v>249</v>
      </c>
      <c r="B19" s="230"/>
      <c r="C19" s="230"/>
      <c r="D19" s="230"/>
      <c r="E19" s="230"/>
      <c r="F19" s="230"/>
      <c r="G19" s="230"/>
      <c r="H19" s="229">
        <f>-H109</f>
        <v>-1936.9822220261738</v>
      </c>
      <c r="I19" s="229">
        <f t="shared" ref="I19:L19" si="7">-I109</f>
        <v>-2196.7231880156146</v>
      </c>
      <c r="J19" s="229">
        <f t="shared" si="7"/>
        <v>-1630.2258863775367</v>
      </c>
      <c r="K19" s="229">
        <f t="shared" si="7"/>
        <v>-1453.4627590898688</v>
      </c>
      <c r="L19" s="229">
        <f t="shared" si="7"/>
        <v>-1888.0292006536065</v>
      </c>
      <c r="M19"/>
      <c r="N19"/>
      <c r="O19"/>
      <c r="P19"/>
      <c r="Q19"/>
      <c r="R19"/>
      <c r="S19"/>
      <c r="T19"/>
      <c r="U19"/>
      <c r="V19"/>
    </row>
    <row r="20" spans="1:22" s="88" customFormat="1" x14ac:dyDescent="0.35">
      <c r="A20" s="215" t="s">
        <v>239</v>
      </c>
      <c r="B20" s="231"/>
      <c r="C20" s="231"/>
      <c r="D20" s="231"/>
      <c r="E20" s="231"/>
      <c r="F20" s="231"/>
      <c r="G20" s="231"/>
      <c r="H20" s="232"/>
      <c r="I20" s="232"/>
      <c r="J20" s="232"/>
      <c r="K20" s="232"/>
      <c r="L20" s="232"/>
      <c r="M20"/>
      <c r="N20"/>
      <c r="O20"/>
      <c r="P20"/>
      <c r="Q20"/>
      <c r="R20"/>
      <c r="S20"/>
      <c r="T20"/>
      <c r="U20"/>
      <c r="V20"/>
    </row>
    <row r="21" spans="1:22" s="88" customFormat="1" x14ac:dyDescent="0.35">
      <c r="A21" s="215" t="s">
        <v>250</v>
      </c>
      <c r="B21" s="234"/>
      <c r="C21" s="234"/>
      <c r="D21" s="234"/>
      <c r="E21" s="234"/>
      <c r="F21" s="234"/>
      <c r="G21" s="336">
        <f>'Bal Sheet'!G40</f>
        <v>4239.75</v>
      </c>
      <c r="H21" s="235">
        <f>SUM(H17:H20)</f>
        <v>4153.7431596947508</v>
      </c>
      <c r="I21" s="235">
        <f t="shared" ref="I21:L21" si="8">SUM(I17:I20)</f>
        <v>3947.0078236461391</v>
      </c>
      <c r="J21" s="235">
        <f t="shared" si="8"/>
        <v>4456.4589900229812</v>
      </c>
      <c r="K21" s="235">
        <f t="shared" si="8"/>
        <v>5303.8789186240574</v>
      </c>
      <c r="L21" s="235">
        <f t="shared" si="8"/>
        <v>5890.361876928223</v>
      </c>
      <c r="M21"/>
      <c r="N21"/>
      <c r="O21"/>
      <c r="P21"/>
      <c r="Q21"/>
      <c r="R21"/>
      <c r="S21"/>
      <c r="T21"/>
      <c r="U21"/>
      <c r="V21"/>
    </row>
    <row r="23" spans="1:22" x14ac:dyDescent="0.35">
      <c r="A23" s="487" t="s">
        <v>14</v>
      </c>
      <c r="B23" s="488"/>
      <c r="C23" s="488"/>
      <c r="D23" s="488"/>
      <c r="E23" s="488"/>
      <c r="F23" s="488"/>
    </row>
    <row r="24" spans="1:22" x14ac:dyDescent="0.35">
      <c r="A24" s="375" t="s">
        <v>436</v>
      </c>
      <c r="B24" s="15"/>
      <c r="C24" s="376" t="s">
        <v>404</v>
      </c>
      <c r="D24" s="376" t="s">
        <v>405</v>
      </c>
      <c r="E24" s="376" t="s">
        <v>406</v>
      </c>
      <c r="F24" s="377" t="s">
        <v>407</v>
      </c>
      <c r="G24" s="168"/>
      <c r="H24" s="168" t="s">
        <v>423</v>
      </c>
      <c r="I24" s="168"/>
      <c r="J24" s="168"/>
      <c r="K24" s="168"/>
      <c r="L24" s="168"/>
    </row>
    <row r="25" spans="1:22" x14ac:dyDescent="0.35">
      <c r="A25" s="378" t="s">
        <v>433</v>
      </c>
      <c r="B25" s="15"/>
      <c r="C25" s="379">
        <v>7908.68</v>
      </c>
      <c r="D25" s="380">
        <v>3764.32</v>
      </c>
      <c r="E25" s="381">
        <v>5</v>
      </c>
      <c r="F25" s="382">
        <f>C25/C$30</f>
        <v>0.86335625448261488</v>
      </c>
      <c r="G25" s="383"/>
      <c r="H25" s="168"/>
      <c r="I25" s="168"/>
      <c r="J25" s="168"/>
      <c r="K25" s="168"/>
      <c r="L25" s="168"/>
    </row>
    <row r="26" spans="1:22" x14ac:dyDescent="0.35">
      <c r="A26" s="378" t="s">
        <v>434</v>
      </c>
      <c r="B26" s="15"/>
      <c r="C26" s="379">
        <v>638.49</v>
      </c>
      <c r="D26" s="384">
        <v>125.68</v>
      </c>
      <c r="E26" s="486">
        <v>3</v>
      </c>
      <c r="F26" s="382">
        <f t="shared" ref="F26:F28" si="9">C26/C$30</f>
        <v>6.9701180844920357E-2</v>
      </c>
      <c r="G26" s="383"/>
      <c r="H26" s="168"/>
      <c r="I26" s="168"/>
      <c r="J26" s="168"/>
      <c r="K26" s="386"/>
      <c r="L26" s="168"/>
    </row>
    <row r="27" spans="1:22" x14ac:dyDescent="0.35">
      <c r="A27" s="378" t="s">
        <v>435</v>
      </c>
      <c r="B27" s="15"/>
      <c r="C27" s="379">
        <v>167.8</v>
      </c>
      <c r="D27" s="384">
        <v>124.67</v>
      </c>
      <c r="E27" s="385">
        <v>25</v>
      </c>
      <c r="F27" s="382">
        <f t="shared" si="9"/>
        <v>1.8317997377840903E-2</v>
      </c>
      <c r="G27" s="387"/>
      <c r="H27" s="168"/>
      <c r="I27" s="168"/>
      <c r="J27" s="168"/>
      <c r="K27" s="386"/>
      <c r="L27" s="168"/>
    </row>
    <row r="28" spans="1:22" x14ac:dyDescent="0.35">
      <c r="A28" s="378" t="s">
        <v>4</v>
      </c>
      <c r="B28" s="15"/>
      <c r="C28" s="379">
        <v>445.42</v>
      </c>
      <c r="D28" s="384">
        <v>225.08</v>
      </c>
      <c r="E28" s="385">
        <v>12</v>
      </c>
      <c r="F28" s="382">
        <f t="shared" si="9"/>
        <v>4.8624567294623923E-2</v>
      </c>
      <c r="G28" s="387"/>
      <c r="H28" s="168"/>
      <c r="I28" s="168"/>
      <c r="J28" s="168"/>
      <c r="K28" s="386"/>
      <c r="L28" s="168"/>
    </row>
    <row r="29" spans="1:22" x14ac:dyDescent="0.35">
      <c r="A29" s="378"/>
      <c r="B29" s="15"/>
      <c r="C29" s="379"/>
      <c r="D29" s="384"/>
      <c r="E29" s="385"/>
      <c r="F29" s="382"/>
      <c r="G29" s="387"/>
      <c r="H29" s="168"/>
      <c r="I29" s="168"/>
      <c r="J29" s="168"/>
      <c r="K29" s="386"/>
      <c r="L29" s="168"/>
    </row>
    <row r="30" spans="1:22" ht="15" thickBot="1" x14ac:dyDescent="0.4">
      <c r="A30" s="388" t="s">
        <v>413</v>
      </c>
      <c r="B30" s="15"/>
      <c r="C30" s="389">
        <f>SUM(C25:C29)</f>
        <v>9160.39</v>
      </c>
      <c r="D30" s="389">
        <f t="shared" ref="D30" si="10">SUM(D25:D29)</f>
        <v>4239.75</v>
      </c>
      <c r="E30" s="390"/>
      <c r="F30" s="391"/>
      <c r="G30" s="168"/>
      <c r="H30" s="168"/>
      <c r="I30" s="168"/>
      <c r="J30" s="168"/>
      <c r="K30" s="168"/>
      <c r="L30" s="168"/>
    </row>
    <row r="31" spans="1:22" ht="15" thickTop="1" x14ac:dyDescent="0.35">
      <c r="A31" s="168"/>
      <c r="G31" s="392" t="s">
        <v>414</v>
      </c>
      <c r="H31" s="392">
        <f>COLUMN()</f>
        <v>8</v>
      </c>
      <c r="I31" s="392">
        <f>COLUMN()</f>
        <v>9</v>
      </c>
      <c r="J31" s="392">
        <f>COLUMN()</f>
        <v>10</v>
      </c>
      <c r="K31" s="392">
        <f>COLUMN()</f>
        <v>11</v>
      </c>
      <c r="L31" s="392">
        <f>COLUMN()</f>
        <v>12</v>
      </c>
    </row>
    <row r="32" spans="1:22" x14ac:dyDescent="0.35">
      <c r="A32" s="78" t="s">
        <v>84</v>
      </c>
      <c r="B32" s="79"/>
      <c r="C32" s="80">
        <v>2019</v>
      </c>
      <c r="D32" s="80">
        <f>C32+1</f>
        <v>2020</v>
      </c>
      <c r="E32" s="80">
        <f t="shared" ref="E32" si="11">D32+1</f>
        <v>2021</v>
      </c>
      <c r="F32" s="80">
        <f t="shared" ref="F32" si="12">E32+1</f>
        <v>2022</v>
      </c>
      <c r="G32" s="80">
        <f t="shared" ref="G32" si="13">F32+1</f>
        <v>2023</v>
      </c>
      <c r="H32" s="81">
        <v>2024</v>
      </c>
      <c r="I32" s="81">
        <f>H32+1</f>
        <v>2025</v>
      </c>
      <c r="J32" s="81">
        <f t="shared" ref="J32" si="14">I32+1</f>
        <v>2026</v>
      </c>
      <c r="K32" s="81">
        <f t="shared" ref="K32" si="15">J32+1</f>
        <v>2027</v>
      </c>
      <c r="L32" s="81">
        <f t="shared" ref="L32" si="16">K32+1</f>
        <v>2028</v>
      </c>
    </row>
    <row r="33" spans="1:12" x14ac:dyDescent="0.35">
      <c r="A33" s="393" t="s">
        <v>424</v>
      </c>
    </row>
    <row r="34" spans="1:12" x14ac:dyDescent="0.35">
      <c r="A34" s="394" t="s">
        <v>416</v>
      </c>
      <c r="C34" t="s">
        <v>417</v>
      </c>
      <c r="E34" s="280"/>
      <c r="F34" s="16"/>
      <c r="G34" s="16"/>
      <c r="H34" s="16"/>
      <c r="I34" s="16"/>
      <c r="J34" s="16"/>
    </row>
    <row r="35" spans="1:12" x14ac:dyDescent="0.35">
      <c r="A35" s="378" t="s">
        <v>433</v>
      </c>
      <c r="E35" s="395"/>
      <c r="F35" s="395"/>
      <c r="G35" s="395"/>
      <c r="H35" s="396">
        <f>H$10*$F25</f>
        <v>1598.051172702106</v>
      </c>
      <c r="I35" s="396">
        <f t="shared" ref="I35:L35" si="17">I$10*$F25</f>
        <v>1718.0684583401357</v>
      </c>
      <c r="J35" s="396">
        <f t="shared" si="17"/>
        <v>1847.3035660684211</v>
      </c>
      <c r="K35" s="396">
        <f t="shared" si="17"/>
        <v>1986.4814592487462</v>
      </c>
      <c r="L35" s="396">
        <f t="shared" si="17"/>
        <v>2136.3855492294711</v>
      </c>
    </row>
    <row r="36" spans="1:12" x14ac:dyDescent="0.35">
      <c r="A36" s="378" t="s">
        <v>434</v>
      </c>
      <c r="E36" s="395"/>
      <c r="F36" s="395"/>
      <c r="G36" s="395"/>
      <c r="H36" s="396">
        <f t="shared" ref="H36:L36" si="18">H$10*$F26</f>
        <v>129.01516982082566</v>
      </c>
      <c r="I36" s="396">
        <f t="shared" si="18"/>
        <v>138.70450314914666</v>
      </c>
      <c r="J36" s="396">
        <f t="shared" si="18"/>
        <v>149.13801720375918</v>
      </c>
      <c r="K36" s="396">
        <f t="shared" si="18"/>
        <v>160.37424031769294</v>
      </c>
      <c r="L36" s="396">
        <f t="shared" si="18"/>
        <v>172.47641949446998</v>
      </c>
    </row>
    <row r="37" spans="1:12" x14ac:dyDescent="0.35">
      <c r="A37" s="378" t="s">
        <v>435</v>
      </c>
      <c r="E37" s="395"/>
      <c r="F37" s="395"/>
      <c r="G37" s="395"/>
      <c r="H37" s="396">
        <f t="shared" ref="H37:L37" si="19">H$10*$F27</f>
        <v>33.906162188811969</v>
      </c>
      <c r="I37" s="396">
        <f t="shared" si="19"/>
        <v>36.452592254266804</v>
      </c>
      <c r="J37" s="396">
        <f t="shared" si="19"/>
        <v>39.19459864178107</v>
      </c>
      <c r="K37" s="396">
        <f t="shared" si="19"/>
        <v>42.147563039842254</v>
      </c>
      <c r="L37" s="396">
        <f t="shared" si="19"/>
        <v>45.328107239223904</v>
      </c>
    </row>
    <row r="38" spans="1:12" x14ac:dyDescent="0.35">
      <c r="A38" s="378" t="s">
        <v>4</v>
      </c>
      <c r="E38" s="395"/>
      <c r="F38" s="395"/>
      <c r="G38" s="395"/>
      <c r="H38" s="396">
        <f t="shared" ref="H38:L38" si="20">H$10*$F28</f>
        <v>90.002877009181319</v>
      </c>
      <c r="I38" s="396">
        <f t="shared" si="20"/>
        <v>96.762298223453627</v>
      </c>
      <c r="J38" s="396">
        <f t="shared" si="20"/>
        <v>104.04087084041788</v>
      </c>
      <c r="K38" s="396">
        <f t="shared" si="20"/>
        <v>111.8794250846635</v>
      </c>
      <c r="L38" s="396">
        <f t="shared" si="20"/>
        <v>120.32208299460731</v>
      </c>
    </row>
    <row r="39" spans="1:12" x14ac:dyDescent="0.35">
      <c r="A39" s="397"/>
      <c r="E39" s="395"/>
      <c r="F39" s="395"/>
      <c r="G39" s="395"/>
      <c r="H39" s="398"/>
      <c r="I39" s="398"/>
      <c r="J39" s="398"/>
      <c r="K39" s="398"/>
      <c r="L39" s="398"/>
    </row>
    <row r="40" spans="1:12" ht="15" thickBot="1" x14ac:dyDescent="0.4">
      <c r="A40" s="399" t="s">
        <v>2</v>
      </c>
      <c r="B40" s="400"/>
      <c r="C40" s="400"/>
      <c r="D40" s="400"/>
      <c r="E40" s="401"/>
      <c r="F40" s="401"/>
      <c r="G40" s="401"/>
      <c r="H40" s="402">
        <f>SUM(H35:H39)</f>
        <v>1850.9753817209248</v>
      </c>
      <c r="I40" s="402">
        <f t="shared" ref="I40:L40" si="21">SUM(I35:I39)</f>
        <v>1989.9878519670028</v>
      </c>
      <c r="J40" s="402">
        <f t="shared" si="21"/>
        <v>2139.677052754379</v>
      </c>
      <c r="K40" s="402">
        <f t="shared" si="21"/>
        <v>2300.8826876909447</v>
      </c>
      <c r="L40" s="402">
        <f t="shared" si="21"/>
        <v>2474.512158957772</v>
      </c>
    </row>
    <row r="41" spans="1:12" ht="15" thickTop="1" x14ac:dyDescent="0.35">
      <c r="A41" s="168"/>
    </row>
    <row r="42" spans="1:12" x14ac:dyDescent="0.35">
      <c r="A42" s="78" t="str">
        <f>CHOOSE(B42,$A$25,$A$26,$A$27,$A$28)</f>
        <v>Development Expenditure</v>
      </c>
      <c r="B42" s="79">
        <v>1</v>
      </c>
      <c r="C42" s="80">
        <v>2019</v>
      </c>
      <c r="D42" s="80">
        <f>C42+1</f>
        <v>2020</v>
      </c>
      <c r="E42" s="80">
        <f t="shared" ref="E42" si="22">D42+1</f>
        <v>2021</v>
      </c>
      <c r="F42" s="80">
        <f t="shared" ref="F42" si="23">E42+1</f>
        <v>2022</v>
      </c>
      <c r="G42" s="80">
        <f t="shared" ref="G42" si="24">F42+1</f>
        <v>2023</v>
      </c>
      <c r="H42" s="81">
        <v>2024</v>
      </c>
      <c r="I42" s="81">
        <f>H42+1</f>
        <v>2025</v>
      </c>
      <c r="J42" s="81">
        <f t="shared" ref="J42" si="25">I42+1</f>
        <v>2026</v>
      </c>
      <c r="K42" s="81">
        <f t="shared" ref="K42" si="26">J42+1</f>
        <v>2027</v>
      </c>
      <c r="L42" s="81">
        <f t="shared" ref="L42" si="27">K42+1</f>
        <v>2028</v>
      </c>
    </row>
    <row r="43" spans="1:12" x14ac:dyDescent="0.35">
      <c r="A43" s="403" t="s">
        <v>406</v>
      </c>
      <c r="C43" s="280">
        <f>VLOOKUP(A42,GrossIntang_Breakup,5,FALSE)</f>
        <v>5</v>
      </c>
    </row>
    <row r="44" spans="1:12" x14ac:dyDescent="0.35">
      <c r="A44" s="403" t="str">
        <f>CONCATENATE("Gross Value of"," ",A42)</f>
        <v>Gross Value of Development Expenditure</v>
      </c>
      <c r="C44" s="280">
        <f>VLOOKUP(A42,GrossIntang_Breakup,3,FALSE)</f>
        <v>7908.68</v>
      </c>
    </row>
    <row r="45" spans="1:12" x14ac:dyDescent="0.35">
      <c r="A45" s="403" t="s">
        <v>418</v>
      </c>
      <c r="C45" s="280">
        <f>VLOOKUP(A42,GrossIntang_Breakup,4,FALSE)</f>
        <v>3764.32</v>
      </c>
      <c r="G45" s="4">
        <f>C45</f>
        <v>3764.32</v>
      </c>
      <c r="H45" s="280">
        <f>G45-H46</f>
        <v>2182.5839999999998</v>
      </c>
      <c r="I45" s="280">
        <f t="shared" ref="I45:L45" si="28">H45-I46</f>
        <v>600.84799999999973</v>
      </c>
      <c r="J45" s="280">
        <f t="shared" si="28"/>
        <v>0</v>
      </c>
      <c r="K45" s="280">
        <f t="shared" si="28"/>
        <v>0</v>
      </c>
      <c r="L45" s="280">
        <f t="shared" si="28"/>
        <v>0</v>
      </c>
    </row>
    <row r="46" spans="1:12" x14ac:dyDescent="0.35">
      <c r="A46" s="404" t="s">
        <v>425</v>
      </c>
      <c r="B46" s="9"/>
      <c r="C46" s="9"/>
      <c r="D46" s="9"/>
      <c r="E46" s="283"/>
      <c r="F46" s="405"/>
      <c r="G46" s="405"/>
      <c r="H46" s="406">
        <f>IF(G45&lt;$C44/$C43,G45,$C44/$C43)</f>
        <v>1581.7360000000001</v>
      </c>
      <c r="I46" s="406">
        <f t="shared" ref="I46:L46" si="29">IF(H45&lt;$C44/$C43,H45,$C44/$C43)</f>
        <v>1581.7360000000001</v>
      </c>
      <c r="J46" s="406">
        <f t="shared" si="29"/>
        <v>600.84799999999973</v>
      </c>
      <c r="K46" s="406">
        <f t="shared" si="29"/>
        <v>0</v>
      </c>
      <c r="L46" s="406">
        <f t="shared" si="29"/>
        <v>0</v>
      </c>
    </row>
    <row r="47" spans="1:12" x14ac:dyDescent="0.35">
      <c r="A47" s="168"/>
    </row>
    <row r="48" spans="1:12" x14ac:dyDescent="0.35">
      <c r="A48" t="s">
        <v>426</v>
      </c>
    </row>
    <row r="49" spans="1:12" x14ac:dyDescent="0.35">
      <c r="A49" s="407" t="s">
        <v>421</v>
      </c>
      <c r="B49" s="408"/>
      <c r="C49" t="s">
        <v>427</v>
      </c>
    </row>
    <row r="50" spans="1:12" x14ac:dyDescent="0.35">
      <c r="A50" s="409">
        <v>2024</v>
      </c>
      <c r="C50" s="12">
        <f>VLOOKUP(A42,IntangExpense_Breakup,8,FALSE)</f>
        <v>1598.051172702106</v>
      </c>
      <c r="H50" s="410">
        <f>C50/C43/2</f>
        <v>159.80511727021059</v>
      </c>
      <c r="I50" s="411">
        <f>$C50/$C43</f>
        <v>319.61023454042117</v>
      </c>
      <c r="J50" s="411">
        <f t="shared" ref="J50:L50" si="30">$C50/$C43</f>
        <v>319.61023454042117</v>
      </c>
      <c r="K50" s="411">
        <f t="shared" si="30"/>
        <v>319.61023454042117</v>
      </c>
      <c r="L50" s="411">
        <f t="shared" si="30"/>
        <v>319.61023454042117</v>
      </c>
    </row>
    <row r="51" spans="1:12" x14ac:dyDescent="0.35">
      <c r="A51" s="409">
        <v>2025</v>
      </c>
      <c r="C51" s="12">
        <f>VLOOKUP(A42,IntangExpense_Breakup,9,FALSE)</f>
        <v>1718.0684583401357</v>
      </c>
      <c r="H51" s="412"/>
      <c r="I51" s="410">
        <f>C51/C43/2</f>
        <v>171.80684583401359</v>
      </c>
      <c r="J51" s="12">
        <f>$C51/$C43</f>
        <v>343.61369166802717</v>
      </c>
      <c r="K51" s="12">
        <f t="shared" ref="K51:L51" si="31">$C51/$C43</f>
        <v>343.61369166802717</v>
      </c>
      <c r="L51" s="12">
        <f t="shared" si="31"/>
        <v>343.61369166802717</v>
      </c>
    </row>
    <row r="52" spans="1:12" x14ac:dyDescent="0.35">
      <c r="A52" s="409">
        <v>2026</v>
      </c>
      <c r="C52" s="12">
        <f>VLOOKUP(A42,IntangExpense_Breakup,10,FALSE)</f>
        <v>1847.3035660684211</v>
      </c>
      <c r="H52" s="412"/>
      <c r="I52" s="412"/>
      <c r="J52" s="410">
        <f>C52/C43/2</f>
        <v>184.73035660684212</v>
      </c>
      <c r="K52" s="411">
        <f>$C52/$C43</f>
        <v>369.46071321368424</v>
      </c>
      <c r="L52" s="411">
        <f t="shared" ref="L52" si="32">$C52/$C43</f>
        <v>369.46071321368424</v>
      </c>
    </row>
    <row r="53" spans="1:12" x14ac:dyDescent="0.35">
      <c r="A53" s="409">
        <v>2027</v>
      </c>
      <c r="C53" s="12">
        <f>VLOOKUP(A42,IntangExpense_Breakup,11,FALSE)</f>
        <v>1986.4814592487462</v>
      </c>
      <c r="H53" s="412"/>
      <c r="I53" s="412"/>
      <c r="J53" s="412"/>
      <c r="K53" s="410">
        <f>C53/C43/2</f>
        <v>198.64814592487463</v>
      </c>
      <c r="L53" s="411">
        <f>C53/C43</f>
        <v>397.29629184974925</v>
      </c>
    </row>
    <row r="54" spans="1:12" x14ac:dyDescent="0.35">
      <c r="A54" s="409">
        <v>2028</v>
      </c>
      <c r="C54" s="12">
        <f>VLOOKUP(A42,IntangExpense_Breakup,12,FALSE)</f>
        <v>2136.3855492294711</v>
      </c>
      <c r="H54" s="412"/>
      <c r="I54" s="412"/>
      <c r="J54" s="412"/>
      <c r="K54" s="12"/>
      <c r="L54" s="410">
        <f>C54/C43/2</f>
        <v>213.63855492294709</v>
      </c>
    </row>
    <row r="55" spans="1:12" x14ac:dyDescent="0.35">
      <c r="A55" s="168"/>
    </row>
    <row r="56" spans="1:12" ht="15" thickBot="1" x14ac:dyDescent="0.4">
      <c r="A56" s="413" t="str">
        <f>CONCATENATE("Ammortisation on"," ",A42)</f>
        <v>Ammortisation on Development Expenditure</v>
      </c>
      <c r="C56" s="400"/>
      <c r="D56" s="400"/>
      <c r="E56" s="400"/>
      <c r="F56" s="414"/>
      <c r="G56" s="414"/>
      <c r="H56" s="415">
        <f>SUM(H46:H54)</f>
        <v>1741.5411172702106</v>
      </c>
      <c r="I56" s="415">
        <f t="shared" ref="I56:L56" si="33">SUM(I46:I54)</f>
        <v>2073.1530803744349</v>
      </c>
      <c r="J56" s="415">
        <f t="shared" si="33"/>
        <v>1448.8022828152903</v>
      </c>
      <c r="K56" s="415">
        <f t="shared" si="33"/>
        <v>1231.3327853470071</v>
      </c>
      <c r="L56" s="415">
        <f t="shared" si="33"/>
        <v>1643.6194861948288</v>
      </c>
    </row>
    <row r="57" spans="1:12" ht="15" thickTop="1" x14ac:dyDescent="0.35"/>
    <row r="59" spans="1:12" x14ac:dyDescent="0.35">
      <c r="A59" s="78" t="str">
        <f>CHOOSE(B59,$A$25,$A$26,$A$27,$A$28)</f>
        <v>Computer Software</v>
      </c>
      <c r="B59" s="79">
        <f>B42+1</f>
        <v>2</v>
      </c>
      <c r="C59" s="80">
        <v>2019</v>
      </c>
      <c r="D59" s="80">
        <f>C59+1</f>
        <v>2020</v>
      </c>
      <c r="E59" s="80">
        <f t="shared" ref="E59" si="34">D59+1</f>
        <v>2021</v>
      </c>
      <c r="F59" s="80">
        <f t="shared" ref="F59" si="35">E59+1</f>
        <v>2022</v>
      </c>
      <c r="G59" s="80">
        <f t="shared" ref="G59" si="36">F59+1</f>
        <v>2023</v>
      </c>
      <c r="H59" s="81">
        <v>2024</v>
      </c>
      <c r="I59" s="81">
        <f>H59+1</f>
        <v>2025</v>
      </c>
      <c r="J59" s="81">
        <f t="shared" ref="J59" si="37">I59+1</f>
        <v>2026</v>
      </c>
      <c r="K59" s="81">
        <f t="shared" ref="K59" si="38">J59+1</f>
        <v>2027</v>
      </c>
      <c r="L59" s="81">
        <f t="shared" ref="L59" si="39">K59+1</f>
        <v>2028</v>
      </c>
    </row>
    <row r="60" spans="1:12" x14ac:dyDescent="0.35">
      <c r="A60" s="403" t="s">
        <v>406</v>
      </c>
      <c r="C60" s="280">
        <f>VLOOKUP(A59,GrossIntang_Breakup,5,FALSE)</f>
        <v>3</v>
      </c>
    </row>
    <row r="61" spans="1:12" x14ac:dyDescent="0.35">
      <c r="A61" s="403" t="str">
        <f>CONCATENATE("Gross Value of"," ",A59)</f>
        <v>Gross Value of Computer Software</v>
      </c>
      <c r="C61" s="280">
        <f>VLOOKUP(A59,GrossIntang_Breakup,3,FALSE)</f>
        <v>638.49</v>
      </c>
    </row>
    <row r="62" spans="1:12" x14ac:dyDescent="0.35">
      <c r="A62" s="403" t="s">
        <v>418</v>
      </c>
      <c r="C62" s="280">
        <f>VLOOKUP(A59,GrossIntang_Breakup,4,FALSE)</f>
        <v>125.68</v>
      </c>
      <c r="G62" s="4">
        <f>C62</f>
        <v>125.68</v>
      </c>
      <c r="H62" s="280">
        <f>G62-H63</f>
        <v>0</v>
      </c>
      <c r="I62" s="280">
        <f t="shared" ref="I62" si="40">H62-I63</f>
        <v>0</v>
      </c>
      <c r="J62" s="280">
        <f t="shared" ref="J62" si="41">I62-J63</f>
        <v>0</v>
      </c>
      <c r="K62" s="280">
        <f t="shared" ref="K62" si="42">J62-K63</f>
        <v>0</v>
      </c>
      <c r="L62" s="280">
        <f t="shared" ref="L62" si="43">K62-L63</f>
        <v>0</v>
      </c>
    </row>
    <row r="63" spans="1:12" x14ac:dyDescent="0.35">
      <c r="A63" s="404" t="s">
        <v>425</v>
      </c>
      <c r="B63" s="9"/>
      <c r="C63" s="9"/>
      <c r="D63" s="9"/>
      <c r="E63" s="283"/>
      <c r="F63" s="405"/>
      <c r="G63" s="405"/>
      <c r="H63" s="406">
        <f>IF(G62&lt;$C61/$C60,G62,$C61/$C60)</f>
        <v>125.68</v>
      </c>
      <c r="I63" s="406">
        <f t="shared" ref="I63:L63" si="44">IF(H62&lt;$C61/$C60,H62,$C61/$C60)</f>
        <v>0</v>
      </c>
      <c r="J63" s="406">
        <f t="shared" si="44"/>
        <v>0</v>
      </c>
      <c r="K63" s="406">
        <f t="shared" si="44"/>
        <v>0</v>
      </c>
      <c r="L63" s="406">
        <f t="shared" si="44"/>
        <v>0</v>
      </c>
    </row>
    <row r="64" spans="1:12" x14ac:dyDescent="0.35">
      <c r="A64" s="168"/>
    </row>
    <row r="65" spans="1:12" x14ac:dyDescent="0.35">
      <c r="A65" t="s">
        <v>426</v>
      </c>
    </row>
    <row r="66" spans="1:12" x14ac:dyDescent="0.35">
      <c r="A66" s="407" t="s">
        <v>421</v>
      </c>
      <c r="B66" s="408"/>
      <c r="C66" t="s">
        <v>427</v>
      </c>
    </row>
    <row r="67" spans="1:12" x14ac:dyDescent="0.35">
      <c r="A67" s="409">
        <v>2024</v>
      </c>
      <c r="C67" s="12">
        <f>VLOOKUP(A59,IntangExpense_Breakup,8,FALSE)</f>
        <v>129.01516982082566</v>
      </c>
      <c r="H67" s="410">
        <f>C67/C60/2</f>
        <v>21.502528303470942</v>
      </c>
      <c r="I67" s="411">
        <f>MIN($C67-SUM($H67:H67),$C67/$C60)</f>
        <v>43.005056606941885</v>
      </c>
      <c r="J67" s="411">
        <f>MIN($C67-SUM($H67:I67),$C67/$C60)</f>
        <v>43.005056606941885</v>
      </c>
      <c r="K67" s="411">
        <f>MIN($C67-SUM($H67:J67),$C67/$C60)</f>
        <v>21.502528303470939</v>
      </c>
      <c r="L67" s="411">
        <f>MIN($C67-SUM($H67:K67),$C67/$C60)</f>
        <v>0</v>
      </c>
    </row>
    <row r="68" spans="1:12" x14ac:dyDescent="0.35">
      <c r="A68" s="409">
        <v>2025</v>
      </c>
      <c r="C68" s="12">
        <f>VLOOKUP(A59,IntangExpense_Breakup,9,FALSE)</f>
        <v>138.70450314914666</v>
      </c>
      <c r="H68" s="412"/>
      <c r="I68" s="410">
        <f>C68/C60/2</f>
        <v>23.117417191524442</v>
      </c>
      <c r="J68" s="411">
        <f>MIN($C68-SUM($H68:I68),$C68/$C60)</f>
        <v>46.234834383048884</v>
      </c>
      <c r="K68" s="411">
        <f>MIN($C68-SUM($H68:J68),$C68/$C60)</f>
        <v>46.234834383048884</v>
      </c>
      <c r="L68" s="411">
        <f>MIN($C68-SUM($H68:K68),$C68/$C60)</f>
        <v>23.117417191524453</v>
      </c>
    </row>
    <row r="69" spans="1:12" x14ac:dyDescent="0.35">
      <c r="A69" s="409">
        <v>2026</v>
      </c>
      <c r="C69" s="12">
        <f>VLOOKUP(A59,IntangExpense_Breakup,10,FALSE)</f>
        <v>149.13801720375918</v>
      </c>
      <c r="H69" s="412"/>
      <c r="I69" s="412"/>
      <c r="J69" s="410">
        <f>C69/C60/2</f>
        <v>24.856336200626529</v>
      </c>
      <c r="K69" s="411">
        <f>$C69/$C60</f>
        <v>49.712672401253059</v>
      </c>
      <c r="L69" s="411">
        <f t="shared" ref="L69" si="45">$C69/$C60</f>
        <v>49.712672401253059</v>
      </c>
    </row>
    <row r="70" spans="1:12" x14ac:dyDescent="0.35">
      <c r="A70" s="409">
        <v>2027</v>
      </c>
      <c r="C70" s="12">
        <f>VLOOKUP(A59,IntangExpense_Breakup,11,FALSE)</f>
        <v>160.37424031769294</v>
      </c>
      <c r="H70" s="412"/>
      <c r="I70" s="412"/>
      <c r="J70" s="412"/>
      <c r="K70" s="410">
        <f>C70/C60/2</f>
        <v>26.729040052948822</v>
      </c>
      <c r="L70" s="411">
        <f>C70/C60</f>
        <v>53.458080105897643</v>
      </c>
    </row>
    <row r="71" spans="1:12" x14ac:dyDescent="0.35">
      <c r="A71" s="409">
        <v>2028</v>
      </c>
      <c r="C71" s="12">
        <f>VLOOKUP(A59,IntangExpense_Breakup,12,FALSE)</f>
        <v>172.47641949446998</v>
      </c>
      <c r="H71" s="412"/>
      <c r="I71" s="412"/>
      <c r="J71" s="412"/>
      <c r="K71" s="12"/>
      <c r="L71" s="410">
        <f>C71/C60/2</f>
        <v>28.746069915744997</v>
      </c>
    </row>
    <row r="72" spans="1:12" x14ac:dyDescent="0.35">
      <c r="A72" s="168"/>
    </row>
    <row r="73" spans="1:12" ht="15" thickBot="1" x14ac:dyDescent="0.4">
      <c r="A73" s="413" t="str">
        <f>CONCATENATE("Ammortisation on"," ",A59)</f>
        <v>Ammortisation on Computer Software</v>
      </c>
      <c r="C73" s="400"/>
      <c r="D73" s="400"/>
      <c r="E73" s="400"/>
      <c r="F73" s="414"/>
      <c r="G73" s="414"/>
      <c r="H73" s="415">
        <f>SUM(H63:H71)</f>
        <v>147.18252830347095</v>
      </c>
      <c r="I73" s="415">
        <f t="shared" ref="I73:L73" si="46">SUM(I63:I71)</f>
        <v>66.122473798466331</v>
      </c>
      <c r="J73" s="415">
        <f t="shared" si="46"/>
        <v>114.0962271906173</v>
      </c>
      <c r="K73" s="415">
        <f t="shared" si="46"/>
        <v>144.17907514072169</v>
      </c>
      <c r="L73" s="415">
        <f t="shared" si="46"/>
        <v>155.03423961442013</v>
      </c>
    </row>
    <row r="74" spans="1:12" ht="15" thickTop="1" x14ac:dyDescent="0.35"/>
    <row r="76" spans="1:12" x14ac:dyDescent="0.35">
      <c r="A76" s="78" t="str">
        <f>CHOOSE(B76,$A$25,$A$26,$A$27,$A$28)</f>
        <v>Brand License</v>
      </c>
      <c r="B76" s="79">
        <f>B59+1</f>
        <v>3</v>
      </c>
      <c r="C76" s="80">
        <v>2019</v>
      </c>
      <c r="D76" s="80">
        <f>C76+1</f>
        <v>2020</v>
      </c>
      <c r="E76" s="80">
        <f t="shared" ref="E76" si="47">D76+1</f>
        <v>2021</v>
      </c>
      <c r="F76" s="80">
        <f t="shared" ref="F76" si="48">E76+1</f>
        <v>2022</v>
      </c>
      <c r="G76" s="80">
        <f t="shared" ref="G76" si="49">F76+1</f>
        <v>2023</v>
      </c>
      <c r="H76" s="81">
        <v>2024</v>
      </c>
      <c r="I76" s="81">
        <f>H76+1</f>
        <v>2025</v>
      </c>
      <c r="J76" s="81">
        <f t="shared" ref="J76" si="50">I76+1</f>
        <v>2026</v>
      </c>
      <c r="K76" s="81">
        <f t="shared" ref="K76" si="51">J76+1</f>
        <v>2027</v>
      </c>
      <c r="L76" s="81">
        <f t="shared" ref="L76" si="52">K76+1</f>
        <v>2028</v>
      </c>
    </row>
    <row r="77" spans="1:12" x14ac:dyDescent="0.35">
      <c r="A77" s="403" t="s">
        <v>406</v>
      </c>
      <c r="C77" s="280">
        <f>VLOOKUP(A76,GrossIntang_Breakup,5,FALSE)</f>
        <v>25</v>
      </c>
    </row>
    <row r="78" spans="1:12" x14ac:dyDescent="0.35">
      <c r="A78" s="403" t="str">
        <f>CONCATENATE("Gross Value of"," ",A76)</f>
        <v>Gross Value of Brand License</v>
      </c>
      <c r="C78" s="280">
        <f>VLOOKUP(A76,GrossIntang_Breakup,3,FALSE)</f>
        <v>167.8</v>
      </c>
    </row>
    <row r="79" spans="1:12" x14ac:dyDescent="0.35">
      <c r="A79" s="403" t="s">
        <v>418</v>
      </c>
      <c r="C79" s="280">
        <f>VLOOKUP(A76,GrossIntang_Breakup,4,FALSE)</f>
        <v>124.67</v>
      </c>
      <c r="G79" s="4">
        <f>C79</f>
        <v>124.67</v>
      </c>
      <c r="H79" s="280">
        <f>G79-H80</f>
        <v>117.958</v>
      </c>
      <c r="I79" s="280">
        <f t="shared" ref="I79" si="53">H79-I80</f>
        <v>111.246</v>
      </c>
      <c r="J79" s="280">
        <f t="shared" ref="J79" si="54">I79-J80</f>
        <v>104.53399999999999</v>
      </c>
      <c r="K79" s="280">
        <f t="shared" ref="K79" si="55">J79-K80</f>
        <v>97.821999999999989</v>
      </c>
      <c r="L79" s="280">
        <f t="shared" ref="L79" si="56">K79-L80</f>
        <v>91.109999999999985</v>
      </c>
    </row>
    <row r="80" spans="1:12" x14ac:dyDescent="0.35">
      <c r="A80" s="404" t="s">
        <v>425</v>
      </c>
      <c r="B80" s="9"/>
      <c r="C80" s="9"/>
      <c r="D80" s="9"/>
      <c r="E80" s="283"/>
      <c r="F80" s="405"/>
      <c r="G80" s="405"/>
      <c r="H80" s="406">
        <f>IF(G79&lt;$C78/$C77,G79,$C78/$C77)</f>
        <v>6.7120000000000006</v>
      </c>
      <c r="I80" s="406">
        <f t="shared" ref="I80:L80" si="57">IF(H79&lt;$C78/$C77,H79,$C78/$C77)</f>
        <v>6.7120000000000006</v>
      </c>
      <c r="J80" s="406">
        <f t="shared" si="57"/>
        <v>6.7120000000000006</v>
      </c>
      <c r="K80" s="406">
        <f t="shared" si="57"/>
        <v>6.7120000000000006</v>
      </c>
      <c r="L80" s="406">
        <f t="shared" si="57"/>
        <v>6.7120000000000006</v>
      </c>
    </row>
    <row r="81" spans="1:12" x14ac:dyDescent="0.35">
      <c r="A81" s="168"/>
    </row>
    <row r="82" spans="1:12" x14ac:dyDescent="0.35">
      <c r="A82" t="s">
        <v>426</v>
      </c>
    </row>
    <row r="83" spans="1:12" x14ac:dyDescent="0.35">
      <c r="A83" s="407" t="s">
        <v>421</v>
      </c>
      <c r="B83" s="408"/>
      <c r="C83" t="s">
        <v>427</v>
      </c>
    </row>
    <row r="84" spans="1:12" x14ac:dyDescent="0.35">
      <c r="A84" s="409">
        <v>2024</v>
      </c>
      <c r="C84" s="12">
        <f>VLOOKUP(A76,IntangExpense_Breakup,8,FALSE)</f>
        <v>33.906162188811969</v>
      </c>
      <c r="H84" s="410">
        <f>C84/C77/2</f>
        <v>0.67812324377623934</v>
      </c>
      <c r="I84" s="411">
        <f>$C84/$C77</f>
        <v>1.3562464875524787</v>
      </c>
      <c r="J84" s="411">
        <f t="shared" ref="J84:L84" si="58">$C84/$C77</f>
        <v>1.3562464875524787</v>
      </c>
      <c r="K84" s="411">
        <f t="shared" si="58"/>
        <v>1.3562464875524787</v>
      </c>
      <c r="L84" s="411">
        <f t="shared" si="58"/>
        <v>1.3562464875524787</v>
      </c>
    </row>
    <row r="85" spans="1:12" x14ac:dyDescent="0.35">
      <c r="A85" s="409">
        <v>2025</v>
      </c>
      <c r="C85" s="12">
        <f>VLOOKUP(A76,IntangExpense_Breakup,9,FALSE)</f>
        <v>36.452592254266804</v>
      </c>
      <c r="H85" s="412"/>
      <c r="I85" s="410">
        <f>C85/C77/2</f>
        <v>0.72905184508533605</v>
      </c>
      <c r="J85" s="12">
        <f>$C85/$C77</f>
        <v>1.4581036901706721</v>
      </c>
      <c r="K85" s="12">
        <f t="shared" ref="K85:L85" si="59">$C85/$C77</f>
        <v>1.4581036901706721</v>
      </c>
      <c r="L85" s="12">
        <f t="shared" si="59"/>
        <v>1.4581036901706721</v>
      </c>
    </row>
    <row r="86" spans="1:12" x14ac:dyDescent="0.35">
      <c r="A86" s="409">
        <v>2026</v>
      </c>
      <c r="C86" s="12">
        <f>VLOOKUP(A76,IntangExpense_Breakup,10,FALSE)</f>
        <v>39.19459864178107</v>
      </c>
      <c r="H86" s="412"/>
      <c r="I86" s="412"/>
      <c r="J86" s="410">
        <f>C86/C77/2</f>
        <v>0.7838919728356214</v>
      </c>
      <c r="K86" s="411">
        <f>$C86/$C77</f>
        <v>1.5677839456712428</v>
      </c>
      <c r="L86" s="411">
        <f t="shared" ref="L86" si="60">$C86/$C77</f>
        <v>1.5677839456712428</v>
      </c>
    </row>
    <row r="87" spans="1:12" x14ac:dyDescent="0.35">
      <c r="A87" s="409">
        <v>2027</v>
      </c>
      <c r="C87" s="12">
        <f>VLOOKUP(A76,IntangExpense_Breakup,11,FALSE)</f>
        <v>42.147563039842254</v>
      </c>
      <c r="H87" s="412"/>
      <c r="I87" s="412"/>
      <c r="J87" s="412"/>
      <c r="K87" s="410">
        <f>C87/C77/2</f>
        <v>0.84295126079684513</v>
      </c>
      <c r="L87" s="411">
        <f>C87/C77</f>
        <v>1.6859025215936903</v>
      </c>
    </row>
    <row r="88" spans="1:12" x14ac:dyDescent="0.35">
      <c r="A88" s="409">
        <v>2028</v>
      </c>
      <c r="C88" s="12">
        <f>VLOOKUP(A76,IntangExpense_Breakup,12,FALSE)</f>
        <v>45.328107239223904</v>
      </c>
      <c r="H88" s="412"/>
      <c r="I88" s="412"/>
      <c r="J88" s="412"/>
      <c r="K88" s="12"/>
      <c r="L88" s="410">
        <f>C88/C77/2</f>
        <v>0.90656214478447805</v>
      </c>
    </row>
    <row r="89" spans="1:12" x14ac:dyDescent="0.35">
      <c r="A89" s="168"/>
    </row>
    <row r="90" spans="1:12" ht="15" thickBot="1" x14ac:dyDescent="0.4">
      <c r="A90" s="413" t="str">
        <f>CONCATENATE("Ammortisation on"," ",A76)</f>
        <v>Ammortisation on Brand License</v>
      </c>
      <c r="C90" s="400"/>
      <c r="D90" s="400"/>
      <c r="E90" s="400"/>
      <c r="F90" s="414"/>
      <c r="G90" s="414"/>
      <c r="H90" s="415">
        <f>SUM(H80:H88)</f>
        <v>7.3901232437762401</v>
      </c>
      <c r="I90" s="415">
        <f t="shared" ref="I90:L90" si="61">SUM(I80:I88)</f>
        <v>8.7972983326378156</v>
      </c>
      <c r="J90" s="415">
        <f t="shared" si="61"/>
        <v>10.310242150558771</v>
      </c>
      <c r="K90" s="415">
        <f t="shared" si="61"/>
        <v>11.937085384191239</v>
      </c>
      <c r="L90" s="415">
        <f t="shared" si="61"/>
        <v>13.686598789772562</v>
      </c>
    </row>
    <row r="91" spans="1:12" ht="15" thickTop="1" x14ac:dyDescent="0.35"/>
    <row r="93" spans="1:12" x14ac:dyDescent="0.35">
      <c r="A93" s="78" t="str">
        <f>CHOOSE(B93,$A$25,$A$26,$A$27,$A$28)</f>
        <v>Others</v>
      </c>
      <c r="B93" s="79">
        <f>B76+1</f>
        <v>4</v>
      </c>
      <c r="C93" s="80">
        <v>2019</v>
      </c>
      <c r="D93" s="80">
        <f>C93+1</f>
        <v>2020</v>
      </c>
      <c r="E93" s="80">
        <f t="shared" ref="E93" si="62">D93+1</f>
        <v>2021</v>
      </c>
      <c r="F93" s="80">
        <f t="shared" ref="F93" si="63">E93+1</f>
        <v>2022</v>
      </c>
      <c r="G93" s="80">
        <f t="shared" ref="G93" si="64">F93+1</f>
        <v>2023</v>
      </c>
      <c r="H93" s="81">
        <v>2024</v>
      </c>
      <c r="I93" s="81">
        <f>H93+1</f>
        <v>2025</v>
      </c>
      <c r="J93" s="81">
        <f t="shared" ref="J93" si="65">I93+1</f>
        <v>2026</v>
      </c>
      <c r="K93" s="81">
        <f t="shared" ref="K93" si="66">J93+1</f>
        <v>2027</v>
      </c>
      <c r="L93" s="81">
        <f t="shared" ref="L93" si="67">K93+1</f>
        <v>2028</v>
      </c>
    </row>
    <row r="94" spans="1:12" x14ac:dyDescent="0.35">
      <c r="A94" s="403" t="s">
        <v>406</v>
      </c>
      <c r="C94" s="280">
        <f>VLOOKUP(A93,GrossIntang_Breakup,5,FALSE)</f>
        <v>12</v>
      </c>
    </row>
    <row r="95" spans="1:12" x14ac:dyDescent="0.35">
      <c r="A95" s="403" t="str">
        <f>CONCATENATE("Gross Value of"," ",A93)</f>
        <v>Gross Value of Others</v>
      </c>
      <c r="C95" s="280">
        <f>VLOOKUP(A93,GrossIntang_Breakup,3,FALSE)</f>
        <v>445.42</v>
      </c>
    </row>
    <row r="96" spans="1:12" x14ac:dyDescent="0.35">
      <c r="A96" s="403" t="s">
        <v>418</v>
      </c>
      <c r="C96" s="280">
        <f>VLOOKUP(A93,GrossIntang_Breakup,4,FALSE)</f>
        <v>225.08</v>
      </c>
      <c r="G96" s="4">
        <f>C96</f>
        <v>225.08</v>
      </c>
      <c r="H96" s="280">
        <f>G96-H97</f>
        <v>187.96166666666667</v>
      </c>
      <c r="I96" s="280">
        <f t="shared" ref="I96" si="68">H96-I97</f>
        <v>150.84333333333333</v>
      </c>
      <c r="J96" s="280">
        <f t="shared" ref="J96" si="69">I96-J97</f>
        <v>113.72499999999999</v>
      </c>
      <c r="K96" s="280">
        <f t="shared" ref="K96" si="70">J96-K97</f>
        <v>76.606666666666655</v>
      </c>
      <c r="L96" s="280">
        <f t="shared" ref="L96" si="71">K96-L97</f>
        <v>39.488333333333323</v>
      </c>
    </row>
    <row r="97" spans="1:12" x14ac:dyDescent="0.35">
      <c r="A97" s="404" t="s">
        <v>425</v>
      </c>
      <c r="B97" s="9"/>
      <c r="C97" s="9"/>
      <c r="D97" s="9"/>
      <c r="E97" s="283"/>
      <c r="F97" s="405"/>
      <c r="G97" s="405"/>
      <c r="H97" s="406">
        <f>IF(G96&lt;$C95/$C94,G96,$C95/$C94)</f>
        <v>37.118333333333332</v>
      </c>
      <c r="I97" s="406">
        <f t="shared" ref="I97:L97" si="72">IF(H96&lt;$C95/$C94,H96,$C95/$C94)</f>
        <v>37.118333333333332</v>
      </c>
      <c r="J97" s="406">
        <f t="shared" si="72"/>
        <v>37.118333333333332</v>
      </c>
      <c r="K97" s="406">
        <f t="shared" si="72"/>
        <v>37.118333333333332</v>
      </c>
      <c r="L97" s="406">
        <f t="shared" si="72"/>
        <v>37.118333333333332</v>
      </c>
    </row>
    <row r="98" spans="1:12" x14ac:dyDescent="0.35">
      <c r="A98" s="168"/>
    </row>
    <row r="99" spans="1:12" x14ac:dyDescent="0.35">
      <c r="A99" t="s">
        <v>426</v>
      </c>
    </row>
    <row r="100" spans="1:12" x14ac:dyDescent="0.35">
      <c r="A100" s="407" t="s">
        <v>421</v>
      </c>
      <c r="B100" s="408"/>
      <c r="C100" t="s">
        <v>427</v>
      </c>
    </row>
    <row r="101" spans="1:12" x14ac:dyDescent="0.35">
      <c r="A101" s="409">
        <v>2024</v>
      </c>
      <c r="C101" s="12">
        <f>VLOOKUP(A93,IntangExpense_Breakup,8,FALSE)</f>
        <v>90.002877009181319</v>
      </c>
      <c r="H101" s="410">
        <f>C101/C94/2</f>
        <v>3.7501198753825551</v>
      </c>
      <c r="I101" s="411">
        <f>$C101/$C94</f>
        <v>7.5002397507651102</v>
      </c>
      <c r="J101" s="411">
        <f t="shared" ref="J101:L101" si="73">$C101/$C94</f>
        <v>7.5002397507651102</v>
      </c>
      <c r="K101" s="411">
        <f t="shared" si="73"/>
        <v>7.5002397507651102</v>
      </c>
      <c r="L101" s="411">
        <f t="shared" si="73"/>
        <v>7.5002397507651102</v>
      </c>
    </row>
    <row r="102" spans="1:12" x14ac:dyDescent="0.35">
      <c r="A102" s="409">
        <v>2025</v>
      </c>
      <c r="C102" s="12">
        <f>VLOOKUP(A93,IntangExpense_Breakup,9,FALSE)</f>
        <v>96.762298223453627</v>
      </c>
      <c r="H102" s="412"/>
      <c r="I102" s="410">
        <f>C102/C94/2</f>
        <v>4.0317624259772344</v>
      </c>
      <c r="J102" s="12">
        <f>$C102/$C94</f>
        <v>8.0635248519544689</v>
      </c>
      <c r="K102" s="12">
        <f t="shared" ref="K102:L102" si="74">$C102/$C94</f>
        <v>8.0635248519544689</v>
      </c>
      <c r="L102" s="12">
        <f t="shared" si="74"/>
        <v>8.0635248519544689</v>
      </c>
    </row>
    <row r="103" spans="1:12" x14ac:dyDescent="0.35">
      <c r="A103" s="409">
        <v>2026</v>
      </c>
      <c r="C103" s="12">
        <f>VLOOKUP(A93,IntangExpense_Breakup,10,FALSE)</f>
        <v>104.04087084041788</v>
      </c>
      <c r="H103" s="412"/>
      <c r="I103" s="412"/>
      <c r="J103" s="410">
        <f>C103/C94/2</f>
        <v>4.335036285017412</v>
      </c>
      <c r="K103" s="411">
        <f>$C103/$C94</f>
        <v>8.670072570034824</v>
      </c>
      <c r="L103" s="411">
        <f t="shared" ref="L103" si="75">$C103/$C94</f>
        <v>8.670072570034824</v>
      </c>
    </row>
    <row r="104" spans="1:12" x14ac:dyDescent="0.35">
      <c r="A104" s="409">
        <v>2027</v>
      </c>
      <c r="C104" s="12">
        <f>VLOOKUP(A93,IntangExpense_Breakup,11,FALSE)</f>
        <v>111.8794250846635</v>
      </c>
      <c r="H104" s="412"/>
      <c r="I104" s="412"/>
      <c r="J104" s="412"/>
      <c r="K104" s="410">
        <f>C104/C94/2</f>
        <v>4.6616427118609787</v>
      </c>
      <c r="L104" s="411">
        <f>C104/C94</f>
        <v>9.3232854237219573</v>
      </c>
    </row>
    <row r="105" spans="1:12" x14ac:dyDescent="0.35">
      <c r="A105" s="409">
        <v>2028</v>
      </c>
      <c r="C105" s="12">
        <f>VLOOKUP(A93,IntangExpense_Breakup,12,FALSE)</f>
        <v>120.32208299460731</v>
      </c>
      <c r="H105" s="412"/>
      <c r="I105" s="412"/>
      <c r="J105" s="412"/>
      <c r="K105" s="12"/>
      <c r="L105" s="410">
        <f>C105/C94/2</f>
        <v>5.0134201247753047</v>
      </c>
    </row>
    <row r="106" spans="1:12" x14ac:dyDescent="0.35">
      <c r="A106" s="168"/>
    </row>
    <row r="107" spans="1:12" ht="15" thickBot="1" x14ac:dyDescent="0.4">
      <c r="A107" s="413" t="str">
        <f>CONCATENATE("Ammortisation on"," ",A93)</f>
        <v>Ammortisation on Others</v>
      </c>
      <c r="C107" s="400"/>
      <c r="D107" s="400"/>
      <c r="E107" s="400"/>
      <c r="F107" s="414"/>
      <c r="G107" s="414"/>
      <c r="H107" s="415">
        <f>SUM(H97:H105)</f>
        <v>40.868453208715884</v>
      </c>
      <c r="I107" s="415">
        <f t="shared" ref="I107:L107" si="76">SUM(I97:I105)</f>
        <v>48.650335510075678</v>
      </c>
      <c r="J107" s="415">
        <f t="shared" si="76"/>
        <v>57.017134221070322</v>
      </c>
      <c r="K107" s="415">
        <f t="shared" si="76"/>
        <v>66.013813217948723</v>
      </c>
      <c r="L107" s="415">
        <f t="shared" si="76"/>
        <v>75.688876054585009</v>
      </c>
    </row>
    <row r="108" spans="1:12" ht="15" thickTop="1" x14ac:dyDescent="0.35"/>
    <row r="109" spans="1:12" ht="15" thickBot="1" x14ac:dyDescent="0.4">
      <c r="A109" s="166" t="s">
        <v>512</v>
      </c>
      <c r="B109" s="166"/>
      <c r="C109" s="166"/>
      <c r="D109" s="166"/>
      <c r="E109" s="166"/>
      <c r="F109" s="166"/>
      <c r="G109" s="166"/>
      <c r="H109" s="160">
        <f>H107+H90+H73+H56</f>
        <v>1936.9822220261738</v>
      </c>
      <c r="I109" s="160">
        <f t="shared" ref="I109:L109" si="77">I107+I90+I73+I56</f>
        <v>2196.7231880156146</v>
      </c>
      <c r="J109" s="160">
        <f t="shared" si="77"/>
        <v>1630.2258863775367</v>
      </c>
      <c r="K109" s="160">
        <f t="shared" si="77"/>
        <v>1453.4627590898688</v>
      </c>
      <c r="L109" s="160">
        <f t="shared" si="77"/>
        <v>1888.0292006536065</v>
      </c>
    </row>
    <row r="110" spans="1:12" ht="15" thickTop="1" x14ac:dyDescent="0.35"/>
  </sheetData>
  <conditionalFormatting sqref="D4">
    <cfRule type="expression" dxfId="7" priority="1">
      <formula>"="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A473-65F0-4132-817B-E837F01BD222}">
  <dimension ref="A1:DH95"/>
  <sheetViews>
    <sheetView tabSelected="1" topLeftCell="A13" workbookViewId="0">
      <selection activeCell="H20" sqref="H20"/>
    </sheetView>
  </sheetViews>
  <sheetFormatPr defaultColWidth="9.08984375" defaultRowHeight="14.5" x14ac:dyDescent="0.35"/>
  <cols>
    <col min="1" max="1" width="36.453125" customWidth="1"/>
    <col min="2" max="2" width="5.1796875" customWidth="1"/>
    <col min="3" max="3" width="12.90625" bestFit="1" customWidth="1"/>
    <col min="4" max="4" width="16" bestFit="1" customWidth="1"/>
    <col min="8" max="8" width="11.08984375" customWidth="1"/>
    <col min="9" max="11" width="9.54296875" bestFit="1" customWidth="1"/>
    <col min="12" max="12" width="12.36328125" bestFit="1" customWidth="1"/>
    <col min="14" max="14" width="12.36328125" bestFit="1" customWidth="1"/>
    <col min="15" max="15" width="13.453125" bestFit="1" customWidth="1"/>
    <col min="16" max="16" width="11.54296875" bestFit="1" customWidth="1"/>
    <col min="17" max="17" width="10.6328125" bestFit="1" customWidth="1"/>
    <col min="112" max="112" width="9.6328125" bestFit="1" customWidth="1"/>
  </cols>
  <sheetData>
    <row r="1" spans="1:13" s="17" customFormat="1" x14ac:dyDescent="0.35">
      <c r="A1" s="82"/>
      <c r="B1" s="83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3" s="20" customFormat="1" x14ac:dyDescent="0.35">
      <c r="A2" s="85" t="s">
        <v>80</v>
      </c>
      <c r="B2" s="86"/>
      <c r="C2" s="87"/>
      <c r="D2" s="19"/>
      <c r="E2" s="19"/>
      <c r="F2" s="19"/>
      <c r="G2" s="19"/>
      <c r="H2" s="19"/>
      <c r="I2" s="19"/>
      <c r="J2" s="19"/>
      <c r="K2" s="19"/>
      <c r="L2" s="19"/>
    </row>
    <row r="3" spans="1:13" s="20" customFormat="1" x14ac:dyDescent="0.35">
      <c r="A3" s="1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3" s="20" customFormat="1" x14ac:dyDescent="0.35">
      <c r="A4" s="21" t="s">
        <v>295</v>
      </c>
      <c r="B4" s="18"/>
      <c r="C4" s="19"/>
      <c r="D4" s="22"/>
      <c r="E4" s="19"/>
      <c r="F4" s="19"/>
      <c r="G4" s="19"/>
      <c r="H4" s="19"/>
      <c r="I4" s="19"/>
      <c r="J4" s="19"/>
      <c r="K4" s="19"/>
      <c r="L4" s="19"/>
    </row>
    <row r="5" spans="1:13" s="20" customFormat="1" x14ac:dyDescent="0.35">
      <c r="A5" s="18" t="s">
        <v>82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3" s="20" customFormat="1" x14ac:dyDescent="0.35">
      <c r="A6" s="18" t="s">
        <v>83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3" s="17" customFormat="1" x14ac:dyDescent="0.35">
      <c r="A7" s="289"/>
      <c r="B7" s="290"/>
      <c r="C7" s="291"/>
      <c r="D7" s="291"/>
      <c r="E7" s="291"/>
      <c r="F7" s="291"/>
      <c r="G7" s="291"/>
      <c r="H7" s="292"/>
      <c r="I7" s="292"/>
      <c r="J7" s="292"/>
      <c r="K7" s="292"/>
      <c r="L7" s="292"/>
    </row>
    <row r="8" spans="1:13" x14ac:dyDescent="0.35">
      <c r="A8" s="241" t="s">
        <v>251</v>
      </c>
      <c r="B8" s="241"/>
      <c r="C8" s="526">
        <f>WACC!B20</f>
        <v>0.29342708061778866</v>
      </c>
      <c r="D8" s="240"/>
      <c r="E8" s="242" t="s">
        <v>252</v>
      </c>
      <c r="F8" s="242"/>
      <c r="G8" s="242"/>
      <c r="H8" s="242"/>
      <c r="I8" s="242"/>
      <c r="J8" s="242"/>
      <c r="K8" s="242"/>
      <c r="L8" s="242"/>
      <c r="M8" s="240"/>
    </row>
    <row r="9" spans="1:13" x14ac:dyDescent="0.35">
      <c r="A9" s="241" t="s">
        <v>253</v>
      </c>
      <c r="B9" s="241"/>
      <c r="C9" s="241">
        <f>WACC!B8</f>
        <v>7.1580000000000005E-2</v>
      </c>
      <c r="D9" s="240"/>
      <c r="E9" s="240" t="s">
        <v>254</v>
      </c>
      <c r="F9" s="240"/>
      <c r="G9" s="240"/>
      <c r="H9" s="240"/>
      <c r="I9" s="240"/>
      <c r="J9" s="240"/>
      <c r="K9" s="240"/>
      <c r="L9" s="240"/>
      <c r="M9" s="240"/>
    </row>
    <row r="10" spans="1:13" x14ac:dyDescent="0.35">
      <c r="A10" s="241" t="s">
        <v>255</v>
      </c>
      <c r="B10" s="241"/>
      <c r="C10" s="241">
        <f>WACC!B10</f>
        <v>0.94985558120427627</v>
      </c>
      <c r="D10" s="240"/>
      <c r="E10" s="240" t="s">
        <v>107</v>
      </c>
      <c r="F10" s="240"/>
      <c r="G10" s="240"/>
      <c r="H10" s="240"/>
      <c r="I10" s="240"/>
      <c r="J10" s="240"/>
      <c r="K10" s="240"/>
      <c r="L10" s="240"/>
      <c r="M10" s="240"/>
    </row>
    <row r="11" spans="1:13" x14ac:dyDescent="0.35">
      <c r="A11" s="243" t="s">
        <v>256</v>
      </c>
      <c r="B11" s="241"/>
      <c r="C11" s="526">
        <f>WACC!B9</f>
        <v>0.11205417019636423</v>
      </c>
      <c r="D11" s="240"/>
      <c r="E11" s="240"/>
      <c r="F11" s="240"/>
      <c r="G11" s="240"/>
      <c r="H11" s="240"/>
      <c r="I11" s="240"/>
      <c r="J11" s="240"/>
      <c r="K11" s="240"/>
      <c r="L11" s="240"/>
      <c r="M11" s="240"/>
    </row>
    <row r="12" spans="1:13" x14ac:dyDescent="0.35">
      <c r="A12" s="243" t="s">
        <v>257</v>
      </c>
      <c r="B12" s="241"/>
      <c r="C12" s="526">
        <f>WACC!B11</f>
        <v>0.11002461645562833</v>
      </c>
      <c r="D12" s="244"/>
      <c r="E12" s="259" t="s">
        <v>659</v>
      </c>
      <c r="F12" s="259"/>
      <c r="G12" s="259"/>
      <c r="H12" s="259"/>
      <c r="I12" s="240"/>
      <c r="J12" s="240"/>
      <c r="K12" s="240"/>
      <c r="L12" s="240"/>
      <c r="M12" s="240"/>
    </row>
    <row r="13" spans="1:13" x14ac:dyDescent="0.35">
      <c r="A13" s="243" t="s">
        <v>258</v>
      </c>
      <c r="B13" s="241"/>
      <c r="C13" s="526">
        <f>WACC!B29</f>
        <v>7.1836481831493312E-2</v>
      </c>
      <c r="D13" s="240"/>
      <c r="E13" s="240"/>
      <c r="F13" s="240"/>
      <c r="G13" s="240"/>
      <c r="H13" s="240"/>
      <c r="I13" s="240"/>
      <c r="J13" s="240"/>
      <c r="K13" s="240"/>
      <c r="L13" s="240"/>
      <c r="M13" s="240"/>
    </row>
    <row r="14" spans="1:13" x14ac:dyDescent="0.35">
      <c r="A14" s="243" t="s">
        <v>259</v>
      </c>
      <c r="B14" s="245"/>
      <c r="C14" s="527">
        <v>0.05</v>
      </c>
      <c r="D14" s="246"/>
      <c r="E14" s="240"/>
      <c r="F14" s="240"/>
      <c r="G14" s="240"/>
      <c r="H14" s="240"/>
      <c r="I14" s="240"/>
      <c r="J14" s="240"/>
      <c r="K14" s="240"/>
      <c r="L14" s="240"/>
      <c r="M14" s="240"/>
    </row>
    <row r="15" spans="1:13" x14ac:dyDescent="0.35">
      <c r="A15" s="247" t="s">
        <v>672</v>
      </c>
      <c r="B15" s="247"/>
      <c r="C15" s="247">
        <f>(C38*C16+WACC!B25-'Bal Sheet'!G55)/'Income Statement'!G31</f>
        <v>12.775828602894014</v>
      </c>
      <c r="D15" s="240"/>
      <c r="E15" s="240"/>
      <c r="F15" s="240"/>
      <c r="G15" s="240"/>
      <c r="H15" s="248"/>
      <c r="I15" s="240"/>
      <c r="J15" s="240"/>
      <c r="K15" s="240"/>
      <c r="L15" s="240"/>
      <c r="M15" s="240"/>
    </row>
    <row r="16" spans="1:13" x14ac:dyDescent="0.35">
      <c r="A16" s="247" t="s">
        <v>261</v>
      </c>
      <c r="B16" s="247"/>
      <c r="C16" s="247">
        <v>1600.05</v>
      </c>
      <c r="D16" s="240"/>
      <c r="E16" s="249"/>
      <c r="F16" s="240"/>
      <c r="G16" s="240"/>
      <c r="H16" s="240"/>
      <c r="I16" s="240"/>
      <c r="J16" s="240"/>
      <c r="K16" s="240"/>
      <c r="L16" s="240"/>
      <c r="M16" s="240"/>
    </row>
    <row r="17" spans="1:112" x14ac:dyDescent="0.35">
      <c r="A17" s="240"/>
      <c r="B17" s="240"/>
      <c r="C17" s="240"/>
      <c r="D17" s="240"/>
      <c r="E17" s="249"/>
      <c r="F17" s="240"/>
      <c r="G17" s="240"/>
      <c r="H17" s="248" t="s">
        <v>260</v>
      </c>
      <c r="I17" s="240"/>
      <c r="J17" s="240"/>
      <c r="K17" s="240"/>
      <c r="L17" s="240"/>
      <c r="M17" s="240"/>
    </row>
    <row r="18" spans="1:112" x14ac:dyDescent="0.35">
      <c r="A18" s="78" t="s">
        <v>84</v>
      </c>
      <c r="B18" s="79"/>
      <c r="C18" s="80"/>
      <c r="D18" s="80"/>
      <c r="E18" s="80"/>
      <c r="F18" s="80"/>
      <c r="G18" s="80"/>
      <c r="H18" s="81">
        <v>2024</v>
      </c>
      <c r="I18" s="81">
        <f>H18+1</f>
        <v>2025</v>
      </c>
      <c r="J18" s="81">
        <f t="shared" ref="J18" si="0">I18+1</f>
        <v>2026</v>
      </c>
      <c r="K18" s="81">
        <f t="shared" ref="K18" si="1">J18+1</f>
        <v>2027</v>
      </c>
      <c r="L18" s="81">
        <f t="shared" ref="L18" si="2">K18+1</f>
        <v>2028</v>
      </c>
      <c r="M18" s="250"/>
    </row>
    <row r="19" spans="1:112" x14ac:dyDescent="0.35">
      <c r="A19" s="239" t="s">
        <v>262</v>
      </c>
      <c r="B19" s="239"/>
      <c r="C19" s="244"/>
      <c r="D19" s="251"/>
      <c r="E19" s="251"/>
      <c r="F19" s="251"/>
      <c r="G19" s="251"/>
      <c r="H19" s="252"/>
      <c r="I19" s="252"/>
      <c r="J19" s="252"/>
      <c r="K19" s="252"/>
      <c r="L19" s="252"/>
      <c r="M19" s="251"/>
    </row>
    <row r="20" spans="1:112" x14ac:dyDescent="0.35">
      <c r="A20" s="244" t="s">
        <v>221</v>
      </c>
      <c r="B20" s="244"/>
      <c r="C20" s="244"/>
      <c r="D20" s="244"/>
      <c r="E20" s="240"/>
      <c r="F20" s="240"/>
      <c r="G20" s="240"/>
      <c r="H20" s="253">
        <f ca="1">'Income Statement'!H50</f>
        <v>12836.311317969201</v>
      </c>
      <c r="I20" s="253">
        <f ca="1">'Income Statement'!I50</f>
        <v>13834.848124448101</v>
      </c>
      <c r="J20" s="253">
        <f ca="1">'Income Statement'!J50</f>
        <v>15327.761836246958</v>
      </c>
      <c r="K20" s="253">
        <f ca="1">'Income Statement'!K50</f>
        <v>16471.188671253982</v>
      </c>
      <c r="L20" s="253">
        <f ca="1">'Income Statement'!L50</f>
        <v>17032.142769666614</v>
      </c>
      <c r="M20" s="240"/>
    </row>
    <row r="21" spans="1:112" x14ac:dyDescent="0.35">
      <c r="A21" s="244" t="s">
        <v>263</v>
      </c>
      <c r="B21" s="244"/>
      <c r="C21" s="244"/>
      <c r="D21" s="251"/>
      <c r="E21" s="251"/>
      <c r="F21" s="251"/>
      <c r="G21" s="251"/>
      <c r="H21" s="254">
        <f>-'Income Statement'!H35</f>
        <v>4503.6541459108294</v>
      </c>
      <c r="I21" s="254">
        <f>-'Income Statement'!I35</f>
        <v>5072.4197585809779</v>
      </c>
      <c r="J21" s="254">
        <f>-'Income Statement'!J35</f>
        <v>4863.7777696210724</v>
      </c>
      <c r="K21" s="254">
        <f>-'Income Statement'!K35</f>
        <v>4922.979739826812</v>
      </c>
      <c r="L21" s="254">
        <f>-'Income Statement'!L35</f>
        <v>5797.4624633734966</v>
      </c>
      <c r="M21" s="240"/>
    </row>
    <row r="22" spans="1:112" x14ac:dyDescent="0.35">
      <c r="A22" s="244" t="s">
        <v>264</v>
      </c>
      <c r="B22" s="244"/>
      <c r="C22" s="244"/>
      <c r="D22" s="251"/>
      <c r="E22" s="251"/>
      <c r="F22" s="251"/>
      <c r="G22" s="251"/>
      <c r="H22" s="254">
        <f ca="1">-'Income Statement'!H38*(1-$C$8)</f>
        <v>4955.14331732548</v>
      </c>
      <c r="I22" s="254">
        <f ca="1">-'Income Statement'!I38*(1-$C$8)</f>
        <v>4919.6831194730985</v>
      </c>
      <c r="J22" s="254">
        <f ca="1">-'Income Statement'!J38*(1-$C$8)</f>
        <v>5043.9750353450645</v>
      </c>
      <c r="K22" s="254">
        <f ca="1">-'Income Statement'!K38*(1-$C$8)</f>
        <v>5441.5813747304192</v>
      </c>
      <c r="L22" s="254">
        <f ca="1">-'Income Statement'!L38*(1-$C$8)</f>
        <v>5967.5936842949368</v>
      </c>
      <c r="M22" s="240"/>
    </row>
    <row r="23" spans="1:112" x14ac:dyDescent="0.35">
      <c r="A23" s="244" t="s">
        <v>265</v>
      </c>
      <c r="B23" s="244"/>
      <c r="C23" s="244"/>
      <c r="D23" s="244"/>
      <c r="E23" s="240"/>
      <c r="F23" s="240"/>
      <c r="G23" s="240"/>
      <c r="H23" s="254">
        <f>WC!H27</f>
        <v>-9709.7900990287817</v>
      </c>
      <c r="I23" s="254">
        <f>WC!I27</f>
        <v>-4019.4251834476017</v>
      </c>
      <c r="J23" s="254">
        <f>WC!J27</f>
        <v>-4328.1336003156757</v>
      </c>
      <c r="K23" s="254">
        <f>WC!K27</f>
        <v>-4661.1213197686156</v>
      </c>
      <c r="L23" s="254">
        <f>WC!L27</f>
        <v>-5020.3457874188171</v>
      </c>
      <c r="M23" s="240"/>
    </row>
    <row r="24" spans="1:112" x14ac:dyDescent="0.35">
      <c r="A24" s="244" t="s">
        <v>266</v>
      </c>
      <c r="B24" s="244"/>
      <c r="C24" s="244"/>
      <c r="D24" s="244"/>
      <c r="E24" s="240"/>
      <c r="F24" s="240"/>
      <c r="G24" s="240"/>
      <c r="H24" s="254">
        <f>-(Depreciation!H10+Ammortisation!H10)</f>
        <v>-7204.1929033787292</v>
      </c>
      <c r="I24" s="254">
        <f>-(Depreciation!I10+Ammortisation!I10)</f>
        <v>-7745.2442115256963</v>
      </c>
      <c r="J24" s="254">
        <f>-(Depreciation!J10+Ammortisation!J10)</f>
        <v>-8327.8504896395789</v>
      </c>
      <c r="K24" s="254">
        <f>-(Depreciation!K10+Ammortisation!K10)</f>
        <v>-8955.2799534041969</v>
      </c>
      <c r="L24" s="254">
        <f>-(Depreciation!L10+Ammortisation!L10)</f>
        <v>-9631.0643085450538</v>
      </c>
      <c r="M24" s="240"/>
      <c r="N24" s="255"/>
      <c r="O24" s="255"/>
      <c r="P24" s="255"/>
      <c r="Q24" s="255"/>
      <c r="R24" s="255"/>
      <c r="S24" s="255"/>
      <c r="T24" s="255"/>
      <c r="U24" s="255"/>
      <c r="V24" s="255"/>
      <c r="W24" s="255"/>
      <c r="X24" s="255"/>
      <c r="Y24" s="255"/>
      <c r="Z24" s="255"/>
      <c r="AA24" s="255"/>
      <c r="AB24" s="255"/>
      <c r="AC24" s="255"/>
      <c r="AD24" s="255"/>
      <c r="AE24" s="255"/>
      <c r="AF24" s="255"/>
      <c r="AG24" s="255"/>
      <c r="AH24" s="255"/>
      <c r="AI24" s="255"/>
      <c r="AJ24" s="255"/>
      <c r="AK24" s="255"/>
      <c r="AL24" s="255"/>
      <c r="AM24" s="255"/>
      <c r="AN24" s="255"/>
      <c r="AO24" s="255"/>
      <c r="AP24" s="255"/>
      <c r="AQ24" s="255"/>
      <c r="AR24" s="255"/>
      <c r="AS24" s="255"/>
      <c r="AT24" s="255"/>
      <c r="AU24" s="255"/>
      <c r="AV24" s="255"/>
      <c r="AW24" s="255"/>
      <c r="AX24" s="255"/>
      <c r="AY24" s="255"/>
      <c r="AZ24" s="255"/>
      <c r="BA24" s="255"/>
      <c r="BB24" s="255"/>
      <c r="BC24" s="255"/>
      <c r="BD24" s="255"/>
      <c r="BE24" s="255"/>
      <c r="BF24" s="255"/>
      <c r="BG24" s="255"/>
      <c r="BH24" s="255"/>
      <c r="BI24" s="255"/>
      <c r="BJ24" s="255"/>
      <c r="BK24" s="255"/>
      <c r="BL24" s="255"/>
      <c r="BM24" s="255"/>
      <c r="BN24" s="255"/>
      <c r="BO24" s="255"/>
      <c r="BP24" s="255"/>
      <c r="BQ24" s="255"/>
      <c r="BR24" s="255"/>
      <c r="BS24" s="255"/>
      <c r="BT24" s="255"/>
      <c r="BU24" s="255"/>
      <c r="BV24" s="255"/>
      <c r="BW24" s="255"/>
      <c r="BX24" s="255"/>
      <c r="BY24" s="255"/>
      <c r="BZ24" s="255"/>
      <c r="CA24" s="255"/>
      <c r="CB24" s="255"/>
      <c r="CC24" s="255"/>
      <c r="CD24" s="255"/>
      <c r="CE24" s="255"/>
      <c r="CF24" s="255"/>
      <c r="CG24" s="255"/>
      <c r="CH24" s="255"/>
      <c r="CI24" s="255"/>
      <c r="CJ24" s="255"/>
      <c r="CK24" s="255"/>
      <c r="CL24" s="255"/>
      <c r="CM24" s="255"/>
      <c r="CN24" s="255"/>
      <c r="CO24" s="255"/>
      <c r="CP24" s="255"/>
      <c r="CQ24" s="255"/>
      <c r="CR24" s="255"/>
      <c r="CS24" s="255"/>
      <c r="CT24" s="255"/>
      <c r="CU24" s="255"/>
      <c r="CV24" s="255"/>
      <c r="CW24" s="255"/>
      <c r="CX24" s="255"/>
      <c r="CY24" s="255"/>
      <c r="CZ24" s="255"/>
      <c r="DA24" s="255"/>
      <c r="DB24" s="255"/>
      <c r="DC24" s="255"/>
      <c r="DD24" s="255"/>
      <c r="DE24" s="255"/>
      <c r="DF24" s="255"/>
      <c r="DG24" s="255"/>
      <c r="DH24" s="255"/>
    </row>
    <row r="25" spans="1:112" ht="15" thickBot="1" x14ac:dyDescent="0.4">
      <c r="A25" s="256" t="s">
        <v>267</v>
      </c>
      <c r="B25" s="256"/>
      <c r="C25" s="257"/>
      <c r="D25" s="257"/>
      <c r="E25" s="257"/>
      <c r="F25" s="257"/>
      <c r="G25" s="257"/>
      <c r="H25" s="258">
        <f ca="1">SUM(H20:H24)</f>
        <v>5381.1257787980012</v>
      </c>
      <c r="I25" s="258">
        <f t="shared" ref="I25:L25" ca="1" si="3">SUM(I20:I24)</f>
        <v>12062.281607528879</v>
      </c>
      <c r="J25" s="258">
        <f t="shared" ca="1" si="3"/>
        <v>12579.530551257842</v>
      </c>
      <c r="K25" s="258">
        <f t="shared" ca="1" si="3"/>
        <v>13219.348512638402</v>
      </c>
      <c r="L25" s="258">
        <f t="shared" ca="1" si="3"/>
        <v>14145.788821371178</v>
      </c>
      <c r="M25" s="240"/>
      <c r="N25" s="240"/>
      <c r="O25" s="240"/>
      <c r="P25" s="240"/>
      <c r="Q25" s="240"/>
      <c r="R25" s="240"/>
      <c r="S25" s="240"/>
      <c r="T25" s="240"/>
      <c r="U25" s="240"/>
      <c r="V25" s="240"/>
      <c r="W25" s="240"/>
      <c r="X25" s="240"/>
      <c r="Y25" s="240"/>
      <c r="Z25" s="240"/>
      <c r="AA25" s="240"/>
      <c r="AB25" s="240"/>
      <c r="AC25" s="240"/>
      <c r="AD25" s="240"/>
      <c r="AE25" s="240"/>
      <c r="AF25" s="240"/>
      <c r="AG25" s="240"/>
      <c r="AH25" s="240"/>
      <c r="AI25" s="240"/>
      <c r="AJ25" s="240"/>
      <c r="AK25" s="240"/>
      <c r="AL25" s="240"/>
      <c r="AM25" s="240"/>
      <c r="AN25" s="240"/>
      <c r="AO25" s="240"/>
      <c r="AP25" s="240"/>
      <c r="AQ25" s="240"/>
      <c r="AR25" s="240"/>
      <c r="AS25" s="240"/>
      <c r="AT25" s="240"/>
      <c r="AU25" s="240"/>
      <c r="AV25" s="240"/>
      <c r="AW25" s="240"/>
      <c r="AX25" s="240"/>
      <c r="AY25" s="240"/>
      <c r="AZ25" s="240"/>
      <c r="BA25" s="240"/>
      <c r="BB25" s="240"/>
      <c r="BC25" s="240"/>
      <c r="BD25" s="240"/>
      <c r="BE25" s="240"/>
      <c r="BF25" s="240"/>
      <c r="BG25" s="240"/>
      <c r="BH25" s="240"/>
      <c r="BI25" s="240"/>
      <c r="BJ25" s="240"/>
      <c r="BK25" s="240"/>
      <c r="BL25" s="240"/>
      <c r="BM25" s="240"/>
      <c r="BN25" s="240"/>
      <c r="BO25" s="240"/>
      <c r="BP25" s="240"/>
      <c r="BQ25" s="240"/>
      <c r="BR25" s="240"/>
      <c r="BS25" s="240"/>
      <c r="BT25" s="240"/>
      <c r="BU25" s="240"/>
      <c r="BV25" s="240"/>
      <c r="BW25" s="240"/>
      <c r="BX25" s="240"/>
      <c r="BY25" s="240"/>
      <c r="BZ25" s="240"/>
      <c r="CA25" s="240"/>
      <c r="CB25" s="240"/>
      <c r="CC25" s="240"/>
      <c r="CD25" s="240"/>
      <c r="CE25" s="240"/>
      <c r="CF25" s="240"/>
      <c r="CG25" s="240"/>
      <c r="CH25" s="240"/>
      <c r="CI25" s="240"/>
      <c r="CJ25" s="240"/>
      <c r="CK25" s="240"/>
      <c r="CL25" s="240"/>
      <c r="CM25" s="240"/>
      <c r="CN25" s="240"/>
      <c r="CO25" s="240"/>
      <c r="CP25" s="240"/>
      <c r="CQ25" s="240"/>
      <c r="CR25" s="240"/>
      <c r="CS25" s="240"/>
      <c r="CT25" s="240"/>
      <c r="CU25" s="240"/>
      <c r="CV25" s="240"/>
      <c r="CW25" s="240"/>
      <c r="CX25" s="240"/>
      <c r="CY25" s="240"/>
      <c r="CZ25" s="240"/>
      <c r="DA25" s="240"/>
      <c r="DB25" s="240"/>
      <c r="DC25" s="240"/>
      <c r="DD25" s="240"/>
      <c r="DE25" s="240"/>
      <c r="DF25" s="240"/>
      <c r="DG25" s="240"/>
      <c r="DH25" s="240"/>
    </row>
    <row r="26" spans="1:112" ht="15" thickTop="1" x14ac:dyDescent="0.35">
      <c r="A26" s="244" t="s">
        <v>268</v>
      </c>
      <c r="B26" s="244"/>
      <c r="C26" s="244"/>
      <c r="D26" s="244"/>
      <c r="E26" s="240"/>
      <c r="F26" s="240"/>
      <c r="G26" s="240"/>
      <c r="H26" s="259">
        <f ca="1">-H22</f>
        <v>-4955.14331732548</v>
      </c>
      <c r="I26" s="259">
        <f t="shared" ref="I26:L26" ca="1" si="4">-I22</f>
        <v>-4919.6831194730985</v>
      </c>
      <c r="J26" s="259">
        <f t="shared" ca="1" si="4"/>
        <v>-5043.9750353450645</v>
      </c>
      <c r="K26" s="259">
        <f t="shared" ca="1" si="4"/>
        <v>-5441.5813747304192</v>
      </c>
      <c r="L26" s="259">
        <f t="shared" ca="1" si="4"/>
        <v>-5967.5936842949368</v>
      </c>
      <c r="M26" s="240"/>
      <c r="N26" s="240"/>
      <c r="O26" s="240"/>
      <c r="P26" s="240"/>
      <c r="Q26" s="240"/>
      <c r="R26" s="240"/>
      <c r="S26" s="240"/>
      <c r="T26" s="240"/>
      <c r="U26" s="240"/>
      <c r="V26" s="240"/>
      <c r="W26" s="240"/>
      <c r="X26" s="240"/>
      <c r="Y26" s="240"/>
      <c r="Z26" s="240"/>
      <c r="AA26" s="240"/>
      <c r="AB26" s="240"/>
      <c r="AC26" s="240"/>
      <c r="AD26" s="240"/>
      <c r="AE26" s="240"/>
      <c r="AF26" s="240"/>
      <c r="AG26" s="240"/>
      <c r="AH26" s="240"/>
      <c r="AI26" s="240"/>
      <c r="AJ26" s="240"/>
      <c r="AK26" s="240"/>
      <c r="AL26" s="240"/>
      <c r="AM26" s="240"/>
      <c r="AN26" s="240"/>
      <c r="AO26" s="240"/>
      <c r="AP26" s="240"/>
      <c r="AQ26" s="240"/>
      <c r="AR26" s="240"/>
      <c r="AS26" s="240"/>
      <c r="AT26" s="240"/>
      <c r="AU26" s="240"/>
      <c r="AV26" s="240"/>
      <c r="AW26" s="240"/>
      <c r="AX26" s="240"/>
      <c r="AY26" s="240"/>
      <c r="AZ26" s="240"/>
      <c r="BA26" s="240"/>
      <c r="BB26" s="240"/>
      <c r="BC26" s="240"/>
      <c r="BD26" s="240"/>
      <c r="BE26" s="240"/>
      <c r="BF26" s="240"/>
      <c r="BG26" s="240"/>
      <c r="BH26" s="240"/>
      <c r="BI26" s="240"/>
      <c r="BJ26" s="240"/>
      <c r="BK26" s="240"/>
      <c r="BL26" s="240"/>
      <c r="BM26" s="240"/>
      <c r="BN26" s="240"/>
      <c r="BO26" s="240"/>
      <c r="BP26" s="240"/>
      <c r="BQ26" s="240"/>
      <c r="BR26" s="240"/>
      <c r="BS26" s="240"/>
      <c r="BT26" s="240"/>
      <c r="BU26" s="240"/>
      <c r="BV26" s="240"/>
      <c r="BW26" s="240"/>
      <c r="BX26" s="240"/>
      <c r="BY26" s="240"/>
      <c r="BZ26" s="240"/>
      <c r="CA26" s="240"/>
      <c r="CB26" s="240"/>
      <c r="CC26" s="240"/>
      <c r="CD26" s="240"/>
      <c r="CE26" s="240"/>
      <c r="CF26" s="240"/>
      <c r="CG26" s="240"/>
      <c r="CH26" s="240"/>
      <c r="CI26" s="240"/>
      <c r="CJ26" s="240"/>
      <c r="CK26" s="240"/>
      <c r="CL26" s="240"/>
      <c r="CM26" s="240"/>
      <c r="CN26" s="240"/>
      <c r="CO26" s="240"/>
      <c r="CP26" s="240"/>
      <c r="CQ26" s="240"/>
      <c r="CR26" s="240"/>
      <c r="CS26" s="240"/>
      <c r="CT26" s="240"/>
      <c r="CU26" s="240"/>
      <c r="CV26" s="240"/>
      <c r="CW26" s="240"/>
      <c r="CX26" s="240"/>
      <c r="CY26" s="240"/>
      <c r="CZ26" s="240"/>
      <c r="DA26" s="240"/>
      <c r="DB26" s="240"/>
      <c r="DC26" s="240"/>
      <c r="DD26" s="240"/>
      <c r="DE26" s="240"/>
      <c r="DF26" s="240"/>
      <c r="DG26" s="240"/>
      <c r="DH26" s="240"/>
    </row>
    <row r="27" spans="1:112" x14ac:dyDescent="0.35">
      <c r="A27" s="244" t="s">
        <v>269</v>
      </c>
      <c r="B27" s="244"/>
      <c r="C27" s="244"/>
      <c r="D27" s="244"/>
      <c r="E27" s="240"/>
      <c r="F27" s="240"/>
      <c r="G27" s="240"/>
      <c r="H27" s="259">
        <f ca="1">('Bal Sheet'!H19+'Bal Sheet'!H26)-('Bal Sheet'!G19+'Bal Sheet'!G26)</f>
        <v>-4568.0236536463781</v>
      </c>
      <c r="I27" s="259">
        <f ca="1">('Bal Sheet'!I19+'Bal Sheet'!I26)-('Bal Sheet'!H19+'Bal Sheet'!H26)</f>
        <v>-539.16717197006801</v>
      </c>
      <c r="J27" s="259">
        <f ca="1">('Bal Sheet'!J19+'Bal Sheet'!J26)-('Bal Sheet'!I19+'Bal Sheet'!I26)</f>
        <v>8119.2549915154086</v>
      </c>
      <c r="K27" s="259">
        <f ca="1">('Bal Sheet'!K19+'Bal Sheet'!K26)-('Bal Sheet'!J19+'Bal Sheet'!J26)</f>
        <v>14647.586294942856</v>
      </c>
      <c r="L27" s="259">
        <f ca="1">('Bal Sheet'!L19+'Bal Sheet'!L26)-('Bal Sheet'!K19+'Bal Sheet'!K26)</f>
        <v>15146.434540081391</v>
      </c>
      <c r="M27" s="240"/>
    </row>
    <row r="28" spans="1:112" ht="15" thickBot="1" x14ac:dyDescent="0.4">
      <c r="A28" s="256" t="s">
        <v>270</v>
      </c>
      <c r="B28" s="256"/>
      <c r="C28" s="260"/>
      <c r="D28" s="260"/>
      <c r="E28" s="261"/>
      <c r="F28" s="261"/>
      <c r="G28" s="261"/>
      <c r="H28" s="262">
        <f ca="1">SUM(H25:H27)</f>
        <v>-4142.0411921738569</v>
      </c>
      <c r="I28" s="262">
        <f t="shared" ref="I28:L28" ca="1" si="5">SUM(I25:I27)</f>
        <v>6603.4313160857128</v>
      </c>
      <c r="J28" s="262">
        <f t="shared" ca="1" si="5"/>
        <v>15654.810507428185</v>
      </c>
      <c r="K28" s="262">
        <f t="shared" ca="1" si="5"/>
        <v>22425.353432850839</v>
      </c>
      <c r="L28" s="262">
        <f t="shared" ca="1" si="5"/>
        <v>23324.629677157631</v>
      </c>
      <c r="M28" s="240"/>
    </row>
    <row r="29" spans="1:112" ht="15" thickTop="1" x14ac:dyDescent="0.35">
      <c r="A29" s="244"/>
      <c r="B29" s="244"/>
      <c r="C29" s="244"/>
      <c r="D29" s="244"/>
      <c r="E29" s="240"/>
      <c r="F29" s="240"/>
      <c r="G29" s="240"/>
      <c r="H29" s="259"/>
      <c r="I29" s="259"/>
      <c r="J29" s="259"/>
      <c r="K29" s="259"/>
      <c r="L29" s="259"/>
      <c r="M29" s="240"/>
    </row>
    <row r="30" spans="1:112" x14ac:dyDescent="0.35">
      <c r="A30" s="244" t="s">
        <v>271</v>
      </c>
      <c r="B30" s="244"/>
      <c r="C30" s="244"/>
      <c r="D30" s="244"/>
      <c r="E30" s="240"/>
      <c r="F30" s="240"/>
      <c r="G30" s="240"/>
      <c r="H30" s="259"/>
      <c r="I30" s="259"/>
      <c r="J30" s="259"/>
      <c r="K30" s="259"/>
      <c r="L30" s="259">
        <f ca="1">L28*(1+C14)/(C12-C14)</f>
        <v>408013.62186328601</v>
      </c>
      <c r="M30" s="240"/>
    </row>
    <row r="31" spans="1:112" x14ac:dyDescent="0.35">
      <c r="A31" s="244"/>
      <c r="B31" s="244"/>
      <c r="C31" s="244"/>
      <c r="D31" s="244"/>
      <c r="E31" s="240"/>
      <c r="F31" s="240"/>
      <c r="G31" s="240"/>
      <c r="H31" s="259">
        <v>1</v>
      </c>
      <c r="I31" s="259">
        <v>2</v>
      </c>
      <c r="J31" s="259">
        <v>3</v>
      </c>
      <c r="K31" s="259">
        <v>4</v>
      </c>
      <c r="L31" s="259">
        <v>5</v>
      </c>
      <c r="M31" s="240"/>
    </row>
    <row r="32" spans="1:112" x14ac:dyDescent="0.35">
      <c r="A32" s="263" t="s">
        <v>272</v>
      </c>
      <c r="B32" s="263"/>
      <c r="C32" s="264"/>
      <c r="D32" s="264"/>
      <c r="E32" s="265"/>
      <c r="F32" s="265"/>
      <c r="G32" s="265"/>
      <c r="H32" s="266">
        <f ca="1">H28/(1+$C$12)^H31</f>
        <v>-3731.4858884838332</v>
      </c>
      <c r="I32" s="266">
        <f t="shared" ref="I32:L32" ca="1" si="6">I28/(1+$C$12)^I31</f>
        <v>5359.2552856155335</v>
      </c>
      <c r="J32" s="266">
        <f t="shared" ca="1" si="6"/>
        <v>11445.900995248461</v>
      </c>
      <c r="K32" s="266">
        <f t="shared" ca="1" si="6"/>
        <v>14770.964566819475</v>
      </c>
      <c r="L32" s="266">
        <f t="shared" ca="1" si="6"/>
        <v>13840.497687621491</v>
      </c>
      <c r="M32" s="240"/>
    </row>
    <row r="33" spans="1:16" x14ac:dyDescent="0.35">
      <c r="A33" s="267" t="s">
        <v>273</v>
      </c>
      <c r="B33" s="267"/>
      <c r="C33" s="240"/>
      <c r="D33" s="240"/>
      <c r="E33" s="240"/>
      <c r="F33" s="240"/>
      <c r="G33" s="240"/>
      <c r="H33" s="259"/>
      <c r="I33" s="259"/>
      <c r="J33" s="259"/>
      <c r="K33" s="259"/>
      <c r="L33" s="254">
        <f ca="1">L30/(1+C12)^L31</f>
        <v>242109.37828724593</v>
      </c>
      <c r="M33" s="240"/>
    </row>
    <row r="34" spans="1:16" ht="15" thickBot="1" x14ac:dyDescent="0.4">
      <c r="A34" s="268" t="s">
        <v>274</v>
      </c>
      <c r="B34" s="268"/>
      <c r="C34" s="261">
        <f ca="1">SUM(H32:L32)+L33</f>
        <v>283794.51093406708</v>
      </c>
      <c r="D34" s="269"/>
      <c r="E34" s="240"/>
      <c r="F34" s="240"/>
      <c r="G34" s="270"/>
      <c r="H34" s="270"/>
      <c r="I34" s="270"/>
      <c r="J34" s="270"/>
      <c r="K34" s="270"/>
      <c r="L34" s="270"/>
      <c r="M34" s="240"/>
    </row>
    <row r="35" spans="1:16" ht="15" thickTop="1" x14ac:dyDescent="0.35">
      <c r="A35" s="244"/>
      <c r="B35" s="244"/>
      <c r="C35" s="240"/>
      <c r="D35" s="240"/>
      <c r="E35" s="240" t="s">
        <v>275</v>
      </c>
      <c r="F35" s="240"/>
      <c r="G35" s="271">
        <v>5</v>
      </c>
      <c r="H35" s="240"/>
      <c r="I35" s="240"/>
      <c r="J35" s="240"/>
      <c r="K35" s="240"/>
      <c r="L35" s="240"/>
      <c r="M35" s="240"/>
    </row>
    <row r="36" spans="1:16" x14ac:dyDescent="0.35">
      <c r="A36" s="244" t="s">
        <v>276</v>
      </c>
      <c r="B36" s="244"/>
      <c r="C36" s="272">
        <f>G36/G35</f>
        <v>111.364</v>
      </c>
      <c r="D36" s="240"/>
      <c r="E36" s="240" t="s">
        <v>277</v>
      </c>
      <c r="F36" s="240"/>
      <c r="G36" s="249">
        <f>'Bal Sheet'!G10</f>
        <v>556.82000000000005</v>
      </c>
      <c r="H36" s="240"/>
      <c r="I36" s="240"/>
      <c r="J36" s="240"/>
      <c r="K36" s="240"/>
      <c r="L36" s="240"/>
      <c r="M36" s="240"/>
    </row>
    <row r="37" spans="1:16" x14ac:dyDescent="0.35">
      <c r="A37" s="244" t="s">
        <v>278</v>
      </c>
      <c r="B37" s="244"/>
      <c r="C37" s="240"/>
      <c r="D37" s="240"/>
      <c r="E37" s="240"/>
      <c r="F37" s="240"/>
      <c r="G37" s="249"/>
      <c r="H37" s="240"/>
      <c r="I37" s="240"/>
      <c r="J37" s="240"/>
      <c r="K37" s="240"/>
      <c r="L37" s="240"/>
      <c r="M37" s="240"/>
    </row>
    <row r="38" spans="1:16" x14ac:dyDescent="0.35">
      <c r="A38" s="273" t="s">
        <v>279</v>
      </c>
      <c r="B38" s="273"/>
      <c r="C38" s="274">
        <f>G36/G35</f>
        <v>111.364</v>
      </c>
      <c r="D38" s="240"/>
      <c r="E38" s="240"/>
      <c r="F38" s="240"/>
      <c r="G38" s="240"/>
      <c r="H38" s="240"/>
      <c r="I38" s="240"/>
      <c r="J38" s="240"/>
      <c r="K38" s="240"/>
      <c r="L38" s="240"/>
      <c r="M38" s="240"/>
    </row>
    <row r="39" spans="1:16" x14ac:dyDescent="0.35">
      <c r="A39" s="244"/>
      <c r="B39" s="244"/>
      <c r="C39" s="240"/>
      <c r="D39" s="240"/>
      <c r="E39" s="240"/>
      <c r="F39" s="240"/>
      <c r="G39" s="240"/>
      <c r="H39" s="240"/>
      <c r="I39" s="240"/>
      <c r="J39" s="240"/>
      <c r="K39" s="240"/>
      <c r="L39" s="240"/>
      <c r="M39" s="240"/>
    </row>
    <row r="40" spans="1:16" ht="15" thickBot="1" x14ac:dyDescent="0.4">
      <c r="A40" s="317" t="s">
        <v>280</v>
      </c>
      <c r="B40" s="317"/>
      <c r="C40" s="318">
        <f ca="1">C34/C38</f>
        <v>2548.3505525490023</v>
      </c>
      <c r="D40" s="240"/>
      <c r="E40" s="240"/>
      <c r="F40" s="240"/>
      <c r="G40" s="240"/>
      <c r="H40" s="240"/>
      <c r="I40" s="240"/>
      <c r="J40" s="240"/>
      <c r="K40" s="240"/>
      <c r="L40" s="240"/>
      <c r="M40" s="240"/>
    </row>
    <row r="41" spans="1:16" ht="15" thickTop="1" x14ac:dyDescent="0.35">
      <c r="A41" s="240"/>
      <c r="B41" s="240"/>
      <c r="C41" s="240"/>
      <c r="D41" s="240"/>
      <c r="E41" s="240"/>
      <c r="F41" s="240"/>
      <c r="G41" s="240"/>
      <c r="H41" s="240"/>
      <c r="I41" s="240"/>
      <c r="J41" s="240"/>
      <c r="K41" s="240"/>
      <c r="L41" s="240"/>
      <c r="M41" s="240"/>
    </row>
    <row r="42" spans="1:16" x14ac:dyDescent="0.35">
      <c r="A42" s="240" t="s">
        <v>676</v>
      </c>
      <c r="B42" s="240"/>
      <c r="C42" s="240"/>
      <c r="D42" s="240"/>
      <c r="E42" s="240"/>
      <c r="F42" s="240"/>
      <c r="G42" s="240"/>
      <c r="H42" s="240"/>
      <c r="I42" s="240"/>
      <c r="J42" s="240"/>
      <c r="K42" s="240"/>
      <c r="L42" s="240"/>
      <c r="M42" s="240"/>
    </row>
    <row r="43" spans="1:16" ht="15" thickBot="1" x14ac:dyDescent="0.4">
      <c r="A43" s="275" t="s">
        <v>267</v>
      </c>
      <c r="B43" s="275"/>
      <c r="C43" s="257"/>
      <c r="D43" s="257"/>
      <c r="E43" s="257"/>
      <c r="F43" s="257"/>
      <c r="G43" s="257"/>
      <c r="H43" s="258">
        <f ca="1">H25</f>
        <v>5381.1257787980012</v>
      </c>
      <c r="I43" s="258">
        <f t="shared" ref="I43:L43" ca="1" si="7">I25</f>
        <v>12062.281607528879</v>
      </c>
      <c r="J43" s="258">
        <f t="shared" ca="1" si="7"/>
        <v>12579.530551257842</v>
      </c>
      <c r="K43" s="258">
        <f t="shared" ca="1" si="7"/>
        <v>13219.348512638402</v>
      </c>
      <c r="L43" s="258">
        <f t="shared" ca="1" si="7"/>
        <v>14145.788821371178</v>
      </c>
      <c r="M43" s="240"/>
      <c r="N43" t="s">
        <v>281</v>
      </c>
      <c r="O43" t="s">
        <v>673</v>
      </c>
      <c r="P43" t="s">
        <v>674</v>
      </c>
    </row>
    <row r="44" spans="1:16" ht="15" thickTop="1" x14ac:dyDescent="0.35">
      <c r="A44" s="240"/>
      <c r="B44" s="240"/>
      <c r="C44" s="240"/>
      <c r="D44" s="240"/>
      <c r="E44" s="240"/>
      <c r="F44" s="240"/>
      <c r="G44" s="240"/>
      <c r="H44" s="276"/>
      <c r="I44" s="276"/>
      <c r="J44" s="276"/>
      <c r="K44" s="259"/>
      <c r="L44" s="259"/>
      <c r="M44" s="240"/>
      <c r="N44" s="12">
        <f>C15</f>
        <v>12.775828602894014</v>
      </c>
      <c r="O44" s="12">
        <f>'Income Statement'!L31</f>
        <v>34387.127603862129</v>
      </c>
      <c r="P44" s="528">
        <f>O44*N44</f>
        <v>439324.04841278808</v>
      </c>
    </row>
    <row r="45" spans="1:16" x14ac:dyDescent="0.35">
      <c r="A45" s="240" t="s">
        <v>282</v>
      </c>
      <c r="B45" s="240"/>
      <c r="C45" s="240"/>
      <c r="D45" s="240"/>
      <c r="E45" s="240"/>
      <c r="F45" s="240"/>
      <c r="G45" s="240"/>
      <c r="H45" s="259"/>
      <c r="I45" s="259"/>
      <c r="J45" s="259"/>
      <c r="K45" s="259"/>
      <c r="L45" s="259">
        <f ca="1">L43*(1+C14)/(C13-C14)</f>
        <v>680195.57257699489</v>
      </c>
      <c r="N45" s="240"/>
    </row>
    <row r="46" spans="1:16" x14ac:dyDescent="0.35">
      <c r="A46" s="240" t="s">
        <v>283</v>
      </c>
      <c r="B46" s="240"/>
      <c r="C46" s="240"/>
      <c r="D46" s="240"/>
      <c r="E46" s="240"/>
      <c r="F46" s="240"/>
      <c r="G46" s="240"/>
      <c r="H46" s="277">
        <f>1/(1+$C13)^H31</f>
        <v>0.93297813327948753</v>
      </c>
      <c r="I46" s="277">
        <f t="shared" ref="I46:L46" si="8">1/(1+$C13)^I31</f>
        <v>0.87044819717767707</v>
      </c>
      <c r="J46" s="277">
        <f t="shared" si="8"/>
        <v>0.81210913411932439</v>
      </c>
      <c r="K46" s="277">
        <f t="shared" si="8"/>
        <v>0.75768006396986831</v>
      </c>
      <c r="L46" s="277">
        <f t="shared" si="8"/>
        <v>0.7068989317056904</v>
      </c>
      <c r="M46" t="s">
        <v>284</v>
      </c>
      <c r="N46" s="240"/>
    </row>
    <row r="47" spans="1:16" x14ac:dyDescent="0.35">
      <c r="A47" s="263" t="s">
        <v>285</v>
      </c>
      <c r="B47" s="263"/>
      <c r="C47" s="265"/>
      <c r="D47" s="265"/>
      <c r="E47" s="265"/>
      <c r="F47" s="265"/>
      <c r="G47" s="265"/>
      <c r="H47" s="278">
        <f ca="1">H43*H46</f>
        <v>5020.4726840450876</v>
      </c>
      <c r="I47" s="278">
        <f t="shared" ref="I47:L47" ca="1" si="9">I43*I46</f>
        <v>10499.591279122966</v>
      </c>
      <c r="J47" s="278">
        <f t="shared" ca="1" si="9"/>
        <v>10215.951663609592</v>
      </c>
      <c r="K47" s="278">
        <f t="shared" ca="1" si="9"/>
        <v>10016.036826695849</v>
      </c>
      <c r="L47" s="278">
        <f t="shared" ca="1" si="9"/>
        <v>9999.6430059615832</v>
      </c>
      <c r="N47" s="240"/>
    </row>
    <row r="48" spans="1:16" ht="43.5" x14ac:dyDescent="0.35">
      <c r="A48" s="267"/>
      <c r="B48" s="267"/>
      <c r="C48" s="240"/>
      <c r="D48" s="315" t="s">
        <v>286</v>
      </c>
      <c r="E48" s="240"/>
      <c r="F48" s="240"/>
      <c r="G48" s="240"/>
      <c r="H48" s="259"/>
      <c r="I48" s="259"/>
      <c r="J48" s="259"/>
      <c r="K48" s="259"/>
      <c r="L48" s="259">
        <f ca="1">L45*L46</f>
        <v>480829.5236056181</v>
      </c>
      <c r="N48" s="279"/>
      <c r="O48" s="5" t="s">
        <v>675</v>
      </c>
      <c r="P48" s="280">
        <f>P44*L46</f>
        <v>310557.70049561892</v>
      </c>
    </row>
    <row r="49" spans="1:17" ht="15" thickBot="1" x14ac:dyDescent="0.4">
      <c r="A49" s="268" t="s">
        <v>287</v>
      </c>
      <c r="B49" s="268"/>
      <c r="C49" s="281">
        <f ca="1">SUM(H47:L47)+L48</f>
        <v>526581.21906505316</v>
      </c>
      <c r="D49" s="281">
        <f ca="1">P48+SUM(H47:L47)</f>
        <v>356309.39595505397</v>
      </c>
      <c r="E49" s="240"/>
      <c r="F49" s="240"/>
      <c r="G49" s="270"/>
      <c r="H49" s="270"/>
      <c r="I49" s="270"/>
      <c r="J49" s="270"/>
      <c r="K49" s="270"/>
      <c r="L49" s="270"/>
      <c r="M49" s="240"/>
      <c r="Q49" s="280"/>
    </row>
    <row r="50" spans="1:17" ht="15" thickTop="1" x14ac:dyDescent="0.35">
      <c r="A50" t="s">
        <v>288</v>
      </c>
      <c r="C50" s="4">
        <f>WACC!B25</f>
        <v>92246.85</v>
      </c>
      <c r="D50" s="282">
        <f>C50</f>
        <v>92246.85</v>
      </c>
    </row>
    <row r="51" spans="1:17" x14ac:dyDescent="0.35">
      <c r="A51" t="s">
        <v>289</v>
      </c>
      <c r="C51" s="4">
        <f>'Bal Sheet'!G55</f>
        <v>11273.43</v>
      </c>
      <c r="D51" s="282">
        <f>C51</f>
        <v>11273.43</v>
      </c>
    </row>
    <row r="52" spans="1:17" x14ac:dyDescent="0.35">
      <c r="A52" s="9" t="s">
        <v>290</v>
      </c>
      <c r="B52" s="9"/>
      <c r="C52" s="283">
        <f ca="1">C49-C50+C51</f>
        <v>445607.79906505317</v>
      </c>
      <c r="D52" s="151">
        <f ca="1">D49-D50+D51</f>
        <v>275335.97595505399</v>
      </c>
    </row>
    <row r="53" spans="1:17" x14ac:dyDescent="0.35">
      <c r="D53" s="15"/>
    </row>
    <row r="54" spans="1:17" x14ac:dyDescent="0.35">
      <c r="A54" s="244" t="s">
        <v>276</v>
      </c>
      <c r="B54" s="244"/>
      <c r="C54" s="280"/>
      <c r="D54" s="284"/>
    </row>
    <row r="55" spans="1:17" x14ac:dyDescent="0.35">
      <c r="A55" s="244" t="s">
        <v>278</v>
      </c>
      <c r="B55" s="244"/>
      <c r="C55" s="280"/>
      <c r="D55" s="284"/>
    </row>
    <row r="56" spans="1:17" x14ac:dyDescent="0.35">
      <c r="A56" s="273" t="s">
        <v>279</v>
      </c>
      <c r="B56" s="273"/>
      <c r="C56" s="285">
        <f>C38</f>
        <v>111.364</v>
      </c>
      <c r="D56" s="286">
        <f>C56</f>
        <v>111.364</v>
      </c>
    </row>
    <row r="57" spans="1:17" x14ac:dyDescent="0.35">
      <c r="D57" s="15"/>
    </row>
    <row r="58" spans="1:17" ht="15" thickBot="1" x14ac:dyDescent="0.4">
      <c r="A58" s="317" t="s">
        <v>291</v>
      </c>
      <c r="B58" s="317"/>
      <c r="C58" s="319">
        <f ca="1">C52/C56</f>
        <v>4001.3630891944717</v>
      </c>
      <c r="D58" s="319">
        <f ca="1">D52/D56</f>
        <v>2472.3966089135984</v>
      </c>
    </row>
    <row r="59" spans="1:17" ht="15" thickTop="1" x14ac:dyDescent="0.35">
      <c r="F59" s="287"/>
    </row>
    <row r="62" spans="1:17" x14ac:dyDescent="0.35">
      <c r="D62" s="531"/>
    </row>
    <row r="63" spans="1:17" x14ac:dyDescent="0.35">
      <c r="A63" s="532"/>
      <c r="B63" s="532"/>
      <c r="C63" s="532"/>
      <c r="D63" s="532"/>
    </row>
    <row r="64" spans="1:17" ht="15" customHeight="1" x14ac:dyDescent="0.35">
      <c r="C64" s="533"/>
      <c r="D64" s="534"/>
      <c r="E64" s="542"/>
      <c r="F64" s="542"/>
    </row>
    <row r="65" spans="1:27" x14ac:dyDescent="0.35">
      <c r="A65" s="535"/>
      <c r="B65" s="535"/>
      <c r="C65" s="536"/>
      <c r="D65" s="537"/>
      <c r="E65" s="542"/>
      <c r="F65" s="542"/>
    </row>
    <row r="66" spans="1:27" x14ac:dyDescent="0.35">
      <c r="C66" s="533"/>
      <c r="D66" s="534"/>
      <c r="E66" s="543"/>
      <c r="F66" s="543"/>
    </row>
    <row r="67" spans="1:27" ht="15" customHeight="1" x14ac:dyDescent="0.35">
      <c r="A67" s="535"/>
      <c r="B67" s="535"/>
      <c r="C67" s="536"/>
      <c r="D67" s="537"/>
      <c r="E67" s="543"/>
      <c r="F67" s="543"/>
    </row>
    <row r="68" spans="1:27" x14ac:dyDescent="0.35">
      <c r="C68" s="533"/>
      <c r="D68" s="534"/>
      <c r="E68" s="543"/>
      <c r="F68" s="543"/>
    </row>
    <row r="69" spans="1:27" x14ac:dyDescent="0.35">
      <c r="A69" s="535"/>
      <c r="B69" s="535"/>
      <c r="C69" s="536"/>
      <c r="D69" s="537"/>
      <c r="E69" s="543"/>
      <c r="F69" s="543"/>
    </row>
    <row r="70" spans="1:27" x14ac:dyDescent="0.35">
      <c r="C70" s="533"/>
      <c r="D70" s="534"/>
    </row>
    <row r="72" spans="1:27" x14ac:dyDescent="0.35">
      <c r="A72" s="532"/>
      <c r="B72" s="532"/>
      <c r="C72" s="532"/>
      <c r="D72" s="538"/>
      <c r="E72" s="530"/>
      <c r="AA72" t="s">
        <v>179</v>
      </c>
    </row>
    <row r="73" spans="1:27" x14ac:dyDescent="0.35">
      <c r="AA73" t="s">
        <v>177</v>
      </c>
    </row>
    <row r="74" spans="1:27" x14ac:dyDescent="0.35">
      <c r="AA74" t="s">
        <v>178</v>
      </c>
    </row>
    <row r="75" spans="1:27" x14ac:dyDescent="0.35">
      <c r="C75" s="288"/>
      <c r="E75" s="288"/>
      <c r="G75" s="255"/>
      <c r="H75" s="316" t="s">
        <v>292</v>
      </c>
      <c r="I75" s="540" t="s">
        <v>259</v>
      </c>
      <c r="J75" s="540"/>
      <c r="K75" s="540"/>
      <c r="L75" s="540"/>
      <c r="M75" s="540"/>
      <c r="N75" s="540"/>
      <c r="O75" s="540"/>
      <c r="Q75" s="255"/>
      <c r="R75" s="316" t="s">
        <v>292</v>
      </c>
      <c r="S75" s="540" t="s">
        <v>259</v>
      </c>
      <c r="T75" s="540"/>
      <c r="U75" s="540"/>
      <c r="V75" s="540"/>
      <c r="W75" s="540"/>
      <c r="X75" s="540"/>
      <c r="Y75" s="540"/>
    </row>
    <row r="76" spans="1:27" ht="15" customHeight="1" x14ac:dyDescent="0.35">
      <c r="C76" s="288"/>
      <c r="E76" s="288"/>
      <c r="G76" s="541" t="s">
        <v>257</v>
      </c>
      <c r="H76" s="12">
        <f ca="1">C40</f>
        <v>2548.3505525490023</v>
      </c>
      <c r="I76" s="165">
        <v>0.03</v>
      </c>
      <c r="J76" s="165">
        <f>I76+0.5%</f>
        <v>3.4999999999999996E-2</v>
      </c>
      <c r="K76" s="165">
        <f t="shared" ref="K76:O76" si="10">J76+0.5%</f>
        <v>3.9999999999999994E-2</v>
      </c>
      <c r="L76" s="165">
        <f t="shared" si="10"/>
        <v>4.4999999999999991E-2</v>
      </c>
      <c r="M76" s="165">
        <f t="shared" si="10"/>
        <v>4.9999999999999989E-2</v>
      </c>
      <c r="N76" s="165">
        <f t="shared" si="10"/>
        <v>5.4999999999999986E-2</v>
      </c>
      <c r="O76" s="165">
        <f t="shared" si="10"/>
        <v>5.9999999999999984E-2</v>
      </c>
      <c r="P76" s="165"/>
      <c r="Q76" s="541" t="s">
        <v>257</v>
      </c>
      <c r="R76" s="12">
        <f ca="1">H76</f>
        <v>2548.3505525490023</v>
      </c>
      <c r="S76" s="165">
        <v>0.03</v>
      </c>
      <c r="T76" s="165">
        <f>S76+0.5%</f>
        <v>3.4999999999999996E-2</v>
      </c>
      <c r="U76" s="165">
        <f t="shared" ref="U76:Y76" si="11">T76+0.5%</f>
        <v>3.9999999999999994E-2</v>
      </c>
      <c r="V76" s="165">
        <f t="shared" si="11"/>
        <v>4.4999999999999991E-2</v>
      </c>
      <c r="W76" s="165">
        <f t="shared" si="11"/>
        <v>4.9999999999999989E-2</v>
      </c>
      <c r="X76" s="165">
        <f t="shared" si="11"/>
        <v>5.4999999999999986E-2</v>
      </c>
      <c r="Y76" s="165">
        <f t="shared" si="11"/>
        <v>5.9999999999999984E-2</v>
      </c>
    </row>
    <row r="77" spans="1:27" x14ac:dyDescent="0.35">
      <c r="C77" s="288"/>
      <c r="E77" s="288"/>
      <c r="G77" s="541"/>
      <c r="H77" s="165">
        <v>9.5000000000000001E-2</v>
      </c>
      <c r="I77" s="3">
        <f t="dataTable" ref="I77:O83" dt2D="1" dtr="1" r1="C14" r2="C12" ca="1"/>
        <v>2548.3505525490023</v>
      </c>
      <c r="J77" s="3">
        <v>2548.3505525490023</v>
      </c>
      <c r="K77" s="3">
        <v>2548.3505525490023</v>
      </c>
      <c r="L77" s="3">
        <v>2548.3505525490023</v>
      </c>
      <c r="M77" s="3">
        <v>2548.3505525490023</v>
      </c>
      <c r="N77" s="3">
        <v>2548.3505525490023</v>
      </c>
      <c r="O77" s="3">
        <v>2548.3505525490023</v>
      </c>
      <c r="P77" s="3"/>
      <c r="Q77" s="541"/>
      <c r="R77" s="165">
        <v>9.5000000000000001E-2</v>
      </c>
      <c r="S77" s="3">
        <v>2503.9230923595283</v>
      </c>
      <c r="T77" s="3">
        <v>2690.6981401406597</v>
      </c>
      <c r="U77" s="3">
        <v>2911.4322875183607</v>
      </c>
      <c r="V77" s="3">
        <v>3176.3132643716021</v>
      </c>
      <c r="W77" s="3">
        <v>3500.0566805255644</v>
      </c>
      <c r="X77" s="3">
        <v>3904.7359507180158</v>
      </c>
      <c r="Y77" s="3">
        <v>4425.0378695368827</v>
      </c>
    </row>
    <row r="78" spans="1:27" x14ac:dyDescent="0.35">
      <c r="G78" s="541"/>
      <c r="H78" s="165">
        <f>H77+0.5%</f>
        <v>0.1</v>
      </c>
      <c r="I78" s="3">
        <v>2548.3505525490023</v>
      </c>
      <c r="J78" s="3">
        <v>2548.3505525490023</v>
      </c>
      <c r="K78" s="3">
        <v>2548.3505525490023</v>
      </c>
      <c r="L78" s="3">
        <v>2548.3505525490023</v>
      </c>
      <c r="M78" s="3">
        <v>2548.3505525490023</v>
      </c>
      <c r="N78" s="3">
        <v>2548.3505525490023</v>
      </c>
      <c r="O78" s="3">
        <v>2548.3505525490023</v>
      </c>
      <c r="P78" s="3"/>
      <c r="Q78" s="541"/>
      <c r="R78" s="165">
        <f>R77+0.5%</f>
        <v>0.1</v>
      </c>
      <c r="S78" s="3">
        <v>2301.9703453021748</v>
      </c>
      <c r="T78" s="3">
        <v>2459.1722495901631</v>
      </c>
      <c r="U78" s="3">
        <v>2642.5744712594833</v>
      </c>
      <c r="V78" s="3">
        <v>2859.3225514141341</v>
      </c>
      <c r="W78" s="3">
        <v>3119.4202475997158</v>
      </c>
      <c r="X78" s="3">
        <v>3437.3174318265364</v>
      </c>
      <c r="Y78" s="3">
        <v>3834.6889121100639</v>
      </c>
    </row>
    <row r="79" spans="1:27" x14ac:dyDescent="0.35">
      <c r="G79" s="541"/>
      <c r="H79" s="165">
        <f t="shared" ref="H79:H83" si="12">H78+0.5%</f>
        <v>0.10500000000000001</v>
      </c>
      <c r="I79" s="3">
        <v>2548.3505525490023</v>
      </c>
      <c r="J79" s="3">
        <v>2548.3505525490023</v>
      </c>
      <c r="K79" s="3">
        <v>2548.3505525490023</v>
      </c>
      <c r="L79" s="3">
        <v>2548.3505525490023</v>
      </c>
      <c r="M79" s="3">
        <v>2548.3505525490023</v>
      </c>
      <c r="N79" s="3">
        <v>2548.3505525490023</v>
      </c>
      <c r="O79" s="3">
        <v>2548.3505525490023</v>
      </c>
      <c r="P79" s="3"/>
      <c r="Q79" s="541"/>
      <c r="R79" s="165">
        <f t="shared" ref="R79:R83" si="13">R78+0.5%</f>
        <v>0.10500000000000001</v>
      </c>
      <c r="S79" s="3">
        <v>2127.2503087013592</v>
      </c>
      <c r="T79" s="3">
        <v>2261.0427333894991</v>
      </c>
      <c r="U79" s="3">
        <v>2415.4186080296604</v>
      </c>
      <c r="V79" s="3">
        <v>2595.5237951098479</v>
      </c>
      <c r="W79" s="3">
        <v>2808.3753798409793</v>
      </c>
      <c r="X79" s="3">
        <v>3063.7972815183366</v>
      </c>
      <c r="Y79" s="3">
        <v>3375.9796057906628</v>
      </c>
    </row>
    <row r="80" spans="1:27" x14ac:dyDescent="0.35">
      <c r="G80" s="541"/>
      <c r="H80" s="165">
        <f t="shared" si="12"/>
        <v>0.11000000000000001</v>
      </c>
      <c r="I80" s="3">
        <v>2548.3505525490023</v>
      </c>
      <c r="J80" s="3">
        <v>2548.3505525490023</v>
      </c>
      <c r="K80" s="3">
        <v>2548.3505525490023</v>
      </c>
      <c r="L80" s="3">
        <v>2548.3505525490023</v>
      </c>
      <c r="M80" s="3">
        <v>2548.3505525490023</v>
      </c>
      <c r="N80" s="3">
        <v>2548.3505525490023</v>
      </c>
      <c r="O80" s="3">
        <v>2548.3505525490023</v>
      </c>
      <c r="P80" s="3"/>
      <c r="Q80" s="541"/>
      <c r="R80" s="165">
        <f>C12</f>
        <v>0.11002461645562833</v>
      </c>
      <c r="S80" s="3">
        <v>1974.6512530287166</v>
      </c>
      <c r="T80" s="3">
        <v>2089.6244941479695</v>
      </c>
      <c r="U80" s="3">
        <v>2221.0224839985449</v>
      </c>
      <c r="V80" s="3">
        <v>2372.6355492107464</v>
      </c>
      <c r="W80" s="3">
        <v>2549.5174586249823</v>
      </c>
      <c r="X80" s="3">
        <v>2758.559715205442</v>
      </c>
      <c r="Y80" s="3">
        <v>3009.4104231019942</v>
      </c>
    </row>
    <row r="81" spans="3:25" x14ac:dyDescent="0.35">
      <c r="G81" s="541"/>
      <c r="H81" s="165">
        <f t="shared" si="12"/>
        <v>0.11500000000000002</v>
      </c>
      <c r="I81" s="3">
        <v>2548.3505525490023</v>
      </c>
      <c r="J81" s="3">
        <v>2548.3505525490023</v>
      </c>
      <c r="K81" s="3">
        <v>2548.3505525490023</v>
      </c>
      <c r="L81" s="3">
        <v>2548.3505525490023</v>
      </c>
      <c r="M81" s="3">
        <v>2548.3505525490023</v>
      </c>
      <c r="N81" s="3">
        <v>2548.3505525490023</v>
      </c>
      <c r="O81" s="3">
        <v>2548.3505525490023</v>
      </c>
      <c r="P81" s="3"/>
      <c r="Q81" s="541"/>
      <c r="R81" s="165">
        <f t="shared" si="13"/>
        <v>0.11502461645562834</v>
      </c>
      <c r="S81" s="3">
        <v>1840.2643377603956</v>
      </c>
      <c r="T81" s="3">
        <v>1939.9038419199887</v>
      </c>
      <c r="U81" s="3">
        <v>2052.8286133008605</v>
      </c>
      <c r="V81" s="3">
        <v>2181.8854948789995</v>
      </c>
      <c r="W81" s="3">
        <v>2330.7972813153151</v>
      </c>
      <c r="X81" s="3">
        <v>2504.5276988243486</v>
      </c>
      <c r="Y81" s="3">
        <v>2709.8454649713894</v>
      </c>
    </row>
    <row r="82" spans="3:25" x14ac:dyDescent="0.35">
      <c r="G82" s="541"/>
      <c r="H82" s="165">
        <f t="shared" si="12"/>
        <v>0.12000000000000002</v>
      </c>
      <c r="I82" s="3">
        <v>2548.3505525490023</v>
      </c>
      <c r="J82" s="3">
        <v>2548.3505525490023</v>
      </c>
      <c r="K82" s="3">
        <v>2548.3505525490023</v>
      </c>
      <c r="L82" s="3">
        <v>2548.3505525490023</v>
      </c>
      <c r="M82" s="3">
        <v>2548.3505525490023</v>
      </c>
      <c r="N82" s="3">
        <v>2548.3505525490023</v>
      </c>
      <c r="O82" s="3">
        <v>2548.3505525490023</v>
      </c>
      <c r="P82" s="3"/>
      <c r="Q82" s="541"/>
      <c r="R82" s="165">
        <f t="shared" si="13"/>
        <v>0.12002461645562834</v>
      </c>
      <c r="S82" s="3">
        <v>1721.0494719718786</v>
      </c>
      <c r="T82" s="3">
        <v>1808.0469001308679</v>
      </c>
      <c r="U82" s="3">
        <v>1905.9190068097309</v>
      </c>
      <c r="V82" s="3">
        <v>2016.8407277124425</v>
      </c>
      <c r="W82" s="3">
        <v>2143.6084087441131</v>
      </c>
      <c r="X82" s="3">
        <v>2289.878809934502</v>
      </c>
      <c r="Y82" s="3">
        <v>2460.5276113232894</v>
      </c>
    </row>
    <row r="83" spans="3:25" x14ac:dyDescent="0.35">
      <c r="G83" s="541"/>
      <c r="H83" s="165">
        <f t="shared" si="12"/>
        <v>0.12500000000000003</v>
      </c>
      <c r="I83" s="3">
        <v>2548.3505525490023</v>
      </c>
      <c r="J83" s="3">
        <v>2548.3505525490023</v>
      </c>
      <c r="K83" s="3">
        <v>2548.3505525490023</v>
      </c>
      <c r="L83" s="3">
        <v>2548.3505525490023</v>
      </c>
      <c r="M83" s="3">
        <v>2548.3505525490023</v>
      </c>
      <c r="N83" s="3">
        <v>2548.3505525490023</v>
      </c>
      <c r="O83" s="3">
        <v>2548.3505525490023</v>
      </c>
      <c r="P83" s="3"/>
      <c r="Q83" s="541"/>
      <c r="R83" s="165">
        <f t="shared" si="13"/>
        <v>0.12502461645562835</v>
      </c>
      <c r="S83" s="3">
        <v>1614.6066927543848</v>
      </c>
      <c r="T83" s="3">
        <v>1691.0718763102814</v>
      </c>
      <c r="U83" s="3">
        <v>1776.5329638139306</v>
      </c>
      <c r="V83" s="3">
        <v>1872.6766872555354</v>
      </c>
      <c r="W83" s="3">
        <v>1981.6395738226884</v>
      </c>
      <c r="X83" s="3">
        <v>2106.1685870422912</v>
      </c>
      <c r="Y83" s="3">
        <v>2249.8559099879867</v>
      </c>
    </row>
    <row r="84" spans="3:25" x14ac:dyDescent="0.35">
      <c r="I84" s="3"/>
      <c r="J84" s="3"/>
      <c r="K84" s="3"/>
      <c r="L84" s="3"/>
      <c r="M84" s="3"/>
      <c r="N84" s="3"/>
      <c r="O84" s="3"/>
      <c r="P84" s="3"/>
      <c r="Q84" s="3"/>
    </row>
    <row r="86" spans="3:25" x14ac:dyDescent="0.35">
      <c r="H86" s="316" t="s">
        <v>293</v>
      </c>
      <c r="I86" s="540" t="s">
        <v>294</v>
      </c>
      <c r="J86" s="540"/>
      <c r="K86" s="540"/>
      <c r="L86" s="540"/>
      <c r="M86" s="540"/>
      <c r="N86" s="540"/>
      <c r="O86" s="540"/>
    </row>
    <row r="87" spans="3:25" ht="14.4" customHeight="1" x14ac:dyDescent="0.35">
      <c r="G87" s="541" t="s">
        <v>258</v>
      </c>
      <c r="H87" s="529">
        <f ca="1">D58</f>
        <v>2472.3966089135984</v>
      </c>
      <c r="I87" s="12">
        <v>9</v>
      </c>
      <c r="J87" s="12">
        <f>I87+1</f>
        <v>10</v>
      </c>
      <c r="K87" s="12">
        <f t="shared" ref="K87:O87" si="14">J87+1</f>
        <v>11</v>
      </c>
      <c r="L87" s="12">
        <f t="shared" si="14"/>
        <v>12</v>
      </c>
      <c r="M87" s="12">
        <f t="shared" si="14"/>
        <v>13</v>
      </c>
      <c r="N87" s="12">
        <f t="shared" si="14"/>
        <v>14</v>
      </c>
      <c r="O87" s="12">
        <f t="shared" si="14"/>
        <v>15</v>
      </c>
    </row>
    <row r="88" spans="3:25" x14ac:dyDescent="0.35">
      <c r="G88" s="541"/>
      <c r="H88" s="165">
        <v>0.06</v>
      </c>
      <c r="I88" s="3">
        <f t="dataTable" ref="I88:O95" dt2D="1" dtr="1" r1="C15" r2="C13" ca="1"/>
        <v>2472.3966089135984</v>
      </c>
      <c r="J88" s="3">
        <v>2472.3966089135984</v>
      </c>
      <c r="K88" s="3">
        <v>2472.3966089135984</v>
      </c>
      <c r="L88" s="3">
        <v>2472.3966089135984</v>
      </c>
      <c r="M88" s="3">
        <v>2472.3966089135984</v>
      </c>
      <c r="N88" s="3">
        <v>2472.3966089135984</v>
      </c>
      <c r="O88" s="3">
        <v>2472.3966089135984</v>
      </c>
    </row>
    <row r="89" spans="3:25" x14ac:dyDescent="0.35">
      <c r="G89" s="541"/>
      <c r="H89" s="165">
        <f>H88+1%</f>
        <v>6.9999999999999993E-2</v>
      </c>
      <c r="I89" s="3">
        <v>2472.3966089135984</v>
      </c>
      <c r="J89" s="3">
        <v>2472.3966089135984</v>
      </c>
      <c r="K89" s="3">
        <v>2472.3966089135984</v>
      </c>
      <c r="L89" s="3">
        <v>2472.3966089135984</v>
      </c>
      <c r="M89" s="3">
        <v>2472.3966089135984</v>
      </c>
      <c r="N89" s="3">
        <v>2472.3966089135984</v>
      </c>
      <c r="O89" s="3">
        <v>2472.3966089135984</v>
      </c>
    </row>
    <row r="90" spans="3:25" x14ac:dyDescent="0.35">
      <c r="G90" s="541"/>
      <c r="H90" s="165">
        <f t="shared" ref="H90:H95" si="15">H89+1%</f>
        <v>7.9999999999999988E-2</v>
      </c>
      <c r="I90" s="3">
        <v>2472.3966089135984</v>
      </c>
      <c r="J90" s="3">
        <v>2472.3966089135984</v>
      </c>
      <c r="K90" s="3">
        <v>2472.3966089135984</v>
      </c>
      <c r="L90" s="3">
        <v>2472.3966089135984</v>
      </c>
      <c r="M90" s="3">
        <v>2472.3966089135984</v>
      </c>
      <c r="N90" s="3">
        <v>2472.3966089135984</v>
      </c>
      <c r="O90" s="3">
        <v>2472.3966089135984</v>
      </c>
    </row>
    <row r="91" spans="3:25" x14ac:dyDescent="0.35">
      <c r="G91" s="541"/>
      <c r="H91" s="165">
        <f t="shared" si="15"/>
        <v>8.9999999999999983E-2</v>
      </c>
      <c r="I91" s="3">
        <v>2472.3966089135984</v>
      </c>
      <c r="J91" s="3">
        <v>2472.3966089135984</v>
      </c>
      <c r="K91" s="3">
        <v>2472.3966089135984</v>
      </c>
      <c r="L91" s="3">
        <v>2472.3966089135984</v>
      </c>
      <c r="M91" s="3">
        <v>2472.3966089135984</v>
      </c>
      <c r="N91" s="3">
        <v>2472.3966089135984</v>
      </c>
      <c r="O91" s="3">
        <v>2472.3966089135984</v>
      </c>
    </row>
    <row r="92" spans="3:25" x14ac:dyDescent="0.35">
      <c r="G92" s="541"/>
      <c r="H92" s="165">
        <f t="shared" si="15"/>
        <v>9.9999999999999978E-2</v>
      </c>
      <c r="I92" s="3">
        <v>2472.3966089135984</v>
      </c>
      <c r="J92" s="3">
        <v>2472.3966089135984</v>
      </c>
      <c r="K92" s="3">
        <v>2472.3966089135984</v>
      </c>
      <c r="L92" s="3">
        <v>2472.3966089135984</v>
      </c>
      <c r="M92" s="3">
        <v>2472.3966089135984</v>
      </c>
      <c r="N92" s="3">
        <v>2472.3966089135984</v>
      </c>
      <c r="O92" s="3">
        <v>2472.3966089135984</v>
      </c>
    </row>
    <row r="93" spans="3:25" x14ac:dyDescent="0.35">
      <c r="G93" s="541"/>
      <c r="H93" s="165">
        <f t="shared" si="15"/>
        <v>0.10999999999999997</v>
      </c>
      <c r="I93" s="3">
        <v>2472.3966089135984</v>
      </c>
      <c r="J93" s="3">
        <v>2472.3966089135984</v>
      </c>
      <c r="K93" s="3">
        <v>2472.3966089135984</v>
      </c>
      <c r="L93" s="3">
        <v>2472.3966089135984</v>
      </c>
      <c r="M93" s="3">
        <v>2472.3966089135984</v>
      </c>
      <c r="N93" s="3">
        <v>2472.3966089135984</v>
      </c>
      <c r="O93" s="3">
        <v>2472.3966089135984</v>
      </c>
    </row>
    <row r="94" spans="3:25" x14ac:dyDescent="0.35">
      <c r="G94" s="541"/>
      <c r="H94" s="165">
        <f t="shared" si="15"/>
        <v>0.11999999999999997</v>
      </c>
      <c r="I94" s="3">
        <v>2472.3966089135984</v>
      </c>
      <c r="J94" s="3">
        <v>2472.3966089135984</v>
      </c>
      <c r="K94" s="3">
        <v>2472.3966089135984</v>
      </c>
      <c r="L94" s="3">
        <v>2472.3966089135984</v>
      </c>
      <c r="M94" s="3">
        <v>2472.3966089135984</v>
      </c>
      <c r="N94" s="3">
        <v>2472.3966089135984</v>
      </c>
      <c r="O94" s="3">
        <v>2472.3966089135984</v>
      </c>
    </row>
    <row r="95" spans="3:25" x14ac:dyDescent="0.35">
      <c r="C95" s="280"/>
      <c r="G95" s="541"/>
      <c r="H95" s="165">
        <f t="shared" si="15"/>
        <v>0.12999999999999998</v>
      </c>
      <c r="I95" s="3">
        <v>2472.3966089135984</v>
      </c>
      <c r="J95" s="3">
        <v>2472.3966089135984</v>
      </c>
      <c r="K95" s="3">
        <v>2472.3966089135984</v>
      </c>
      <c r="L95" s="3">
        <v>2472.3966089135984</v>
      </c>
      <c r="M95" s="3">
        <v>2472.3966089135984</v>
      </c>
      <c r="N95" s="3">
        <v>2472.3966089135984</v>
      </c>
      <c r="O95" s="3">
        <v>2472.3966089135984</v>
      </c>
    </row>
  </sheetData>
  <mergeCells count="8">
    <mergeCell ref="S75:Y75"/>
    <mergeCell ref="Q76:Q83"/>
    <mergeCell ref="G87:G95"/>
    <mergeCell ref="E64:F65"/>
    <mergeCell ref="E66:F69"/>
    <mergeCell ref="I75:O75"/>
    <mergeCell ref="G76:G83"/>
    <mergeCell ref="I86:O86"/>
  </mergeCells>
  <conditionalFormatting sqref="D4">
    <cfRule type="expression" dxfId="6" priority="2">
      <formula>"="</formula>
    </cfRule>
  </conditionalFormatting>
  <conditionalFormatting sqref="I77:O83">
    <cfRule type="cellIs" dxfId="5" priority="4" operator="greaterThan">
      <formula>$H$76</formula>
    </cfRule>
  </conditionalFormatting>
  <conditionalFormatting sqref="I87:O87 H88:O95">
    <cfRule type="cellIs" dxfId="4" priority="3" operator="greaterThan">
      <formula>$H$87</formula>
    </cfRule>
  </conditionalFormatting>
  <conditionalFormatting sqref="P88:Q95">
    <cfRule type="cellIs" dxfId="3" priority="5" operator="greaterThan">
      <formula>$H$87</formula>
    </cfRule>
  </conditionalFormatting>
  <conditionalFormatting sqref="S77:Y83">
    <cfRule type="cellIs" dxfId="2" priority="1" operator="greaterThan">
      <formula>$H$76</formula>
    </cfRule>
  </conditionalFormatting>
  <dataValidations count="1">
    <dataValidation type="list" allowBlank="1" showInputMessage="1" showErrorMessage="1" sqref="D62" xr:uid="{503AF124-5718-4CE2-9F82-BE410593D9EE}">
      <formula1>$C$79:$C$81</formula1>
    </dataValidation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176D-395E-4274-858C-2ADEBE8003B0}">
  <dimension ref="A1:P58"/>
  <sheetViews>
    <sheetView zoomScale="109" zoomScaleNormal="109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H22" sqref="H22"/>
    </sheetView>
  </sheetViews>
  <sheetFormatPr defaultColWidth="9.08984375" defaultRowHeight="14.5" x14ac:dyDescent="0.35"/>
  <cols>
    <col min="1" max="1" width="28" style="212" customWidth="1"/>
    <col min="2" max="2" width="3" style="212" bestFit="1" customWidth="1"/>
    <col min="3" max="3" width="10" style="212" bestFit="1" customWidth="1"/>
    <col min="4" max="4" width="7.54296875" style="212" customWidth="1"/>
    <col min="5" max="6" width="7.453125" style="212" bestFit="1" customWidth="1"/>
    <col min="7" max="12" width="10" style="212" bestFit="1" customWidth="1"/>
    <col min="13" max="13" width="9.08984375" style="212"/>
    <col min="14" max="16384" width="9.08984375" style="293"/>
  </cols>
  <sheetData>
    <row r="1" spans="1:16" s="17" customFormat="1" x14ac:dyDescent="0.35">
      <c r="A1" s="82"/>
      <c r="B1" s="83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6" s="20" customFormat="1" x14ac:dyDescent="0.35">
      <c r="A2" s="85" t="s">
        <v>80</v>
      </c>
      <c r="B2" s="86"/>
      <c r="C2" s="87"/>
      <c r="D2" s="19"/>
      <c r="E2" s="19"/>
      <c r="F2" s="19"/>
      <c r="G2" s="19"/>
      <c r="H2" s="19"/>
      <c r="I2" s="19"/>
      <c r="J2" s="19"/>
      <c r="K2" s="19"/>
      <c r="L2" s="19"/>
    </row>
    <row r="3" spans="1:16" s="20" customFormat="1" x14ac:dyDescent="0.35">
      <c r="A3" s="1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6" s="20" customFormat="1" x14ac:dyDescent="0.35">
      <c r="A4" s="21" t="s">
        <v>296</v>
      </c>
      <c r="B4" s="18"/>
      <c r="C4" s="19"/>
      <c r="D4" s="22"/>
      <c r="E4" s="19"/>
      <c r="F4" s="19"/>
      <c r="G4" s="19"/>
      <c r="H4" s="19"/>
      <c r="I4" s="19"/>
      <c r="J4" s="19"/>
      <c r="K4" s="19"/>
      <c r="L4" s="19"/>
    </row>
    <row r="5" spans="1:16" s="20" customFormat="1" x14ac:dyDescent="0.35">
      <c r="A5" s="18" t="s">
        <v>82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6" s="20" customFormat="1" x14ac:dyDescent="0.35">
      <c r="A6" s="18" t="s">
        <v>83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6" s="17" customFormat="1" x14ac:dyDescent="0.35">
      <c r="A7" s="78" t="s">
        <v>84</v>
      </c>
      <c r="B7" s="79"/>
      <c r="C7" s="80">
        <v>2019</v>
      </c>
      <c r="D7" s="80">
        <f>C7+1</f>
        <v>2020</v>
      </c>
      <c r="E7" s="80">
        <f t="shared" ref="E7:G7" si="0">D7+1</f>
        <v>2021</v>
      </c>
      <c r="F7" s="80">
        <f t="shared" si="0"/>
        <v>2022</v>
      </c>
      <c r="G7" s="80">
        <f t="shared" si="0"/>
        <v>2023</v>
      </c>
      <c r="H7" s="81">
        <v>2024</v>
      </c>
      <c r="I7" s="81">
        <f>H7+1</f>
        <v>2025</v>
      </c>
      <c r="J7" s="81">
        <f t="shared" ref="J7:L7" si="1">I7+1</f>
        <v>2026</v>
      </c>
      <c r="K7" s="81">
        <f t="shared" si="1"/>
        <v>2027</v>
      </c>
      <c r="L7" s="81">
        <f t="shared" si="1"/>
        <v>2028</v>
      </c>
    </row>
    <row r="8" spans="1:16" s="212" customFormat="1" ht="29.5" thickBot="1" x14ac:dyDescent="0.4">
      <c r="A8" s="417" t="s">
        <v>438</v>
      </c>
      <c r="B8" s="418"/>
      <c r="C8" s="418"/>
      <c r="D8" s="418"/>
      <c r="E8" s="418"/>
      <c r="F8" s="418"/>
      <c r="G8" s="418"/>
      <c r="H8" s="418"/>
      <c r="I8" s="418"/>
      <c r="J8" s="418"/>
      <c r="K8" s="418"/>
      <c r="L8" s="418"/>
      <c r="O8" s="493">
        <v>1</v>
      </c>
      <c r="P8" s="212">
        <v>1</v>
      </c>
    </row>
    <row r="9" spans="1:16" s="212" customFormat="1" ht="29" x14ac:dyDescent="0.35">
      <c r="A9" s="5" t="s">
        <v>439</v>
      </c>
      <c r="B9" s="214"/>
      <c r="C9" s="214"/>
      <c r="D9" s="214"/>
      <c r="E9" s="214"/>
      <c r="F9" s="419"/>
      <c r="G9" s="419"/>
      <c r="H9" s="420">
        <f ca="1">'Cash Flow'!H29+'Cash Flow'!H48</f>
        <v>3033.0588965943662</v>
      </c>
      <c r="I9" s="420">
        <f ca="1">'Cash Flow'!I29+'Cash Flow'!I48</f>
        <v>9361.6759804553294</v>
      </c>
      <c r="J9" s="420">
        <f ca="1">'Cash Flow'!J29+'Cash Flow'!J48</f>
        <v>9566.2083478821951</v>
      </c>
      <c r="K9" s="420">
        <f ca="1">'Cash Flow'!K29+'Cash Flow'!K48</f>
        <v>9978.1582704327793</v>
      </c>
      <c r="L9" s="420">
        <f ca="1">'Cash Flow'!L29+'Cash Flow'!L48</f>
        <v>10699.091045751749</v>
      </c>
      <c r="P9" s="212">
        <v>0</v>
      </c>
    </row>
    <row r="10" spans="1:16" s="212" customFormat="1" x14ac:dyDescent="0.35">
      <c r="A10" s="6" t="s">
        <v>440</v>
      </c>
      <c r="B10" s="214"/>
      <c r="C10" s="214"/>
      <c r="D10" s="214"/>
      <c r="E10" s="214"/>
      <c r="F10" s="421"/>
      <c r="G10" s="421"/>
      <c r="H10" s="420">
        <f ca="1">Euity!H12</f>
        <v>-1725.5396390938481</v>
      </c>
      <c r="I10" s="420">
        <f ca="1">Euity!I12</f>
        <v>-1859.7693876557673</v>
      </c>
      <c r="J10" s="420">
        <f ca="1">Euity!J12</f>
        <v>-2060.4564638448182</v>
      </c>
      <c r="K10" s="420">
        <f ca="1">Euity!K12</f>
        <v>-2214.1632631997272</v>
      </c>
      <c r="L10" s="420">
        <f ca="1">Euity!L12</f>
        <v>-2289.570325910036</v>
      </c>
    </row>
    <row r="11" spans="1:16" s="212" customFormat="1" x14ac:dyDescent="0.35">
      <c r="A11" s="6" t="s">
        <v>441</v>
      </c>
      <c r="B11" s="214"/>
      <c r="C11" s="214"/>
      <c r="D11" s="214"/>
      <c r="E11" s="214"/>
      <c r="F11" s="421"/>
      <c r="G11" s="421"/>
      <c r="H11" s="422">
        <f ca="1">-H41</f>
        <v>-7012.9256038541444</v>
      </c>
      <c r="I11" s="422">
        <f t="shared" ref="I11:L11" ca="1" si="2">-I41</f>
        <v>-6962.7394208294872</v>
      </c>
      <c r="J11" s="422">
        <f t="shared" ca="1" si="2"/>
        <v>-7138.6475436324963</v>
      </c>
      <c r="K11" s="422">
        <f t="shared" ca="1" si="2"/>
        <v>-7701.3726757151117</v>
      </c>
      <c r="L11" s="422">
        <f t="shared" ca="1" si="2"/>
        <v>-8445.8284779901751</v>
      </c>
    </row>
    <row r="12" spans="1:16" s="212" customFormat="1" x14ac:dyDescent="0.35">
      <c r="A12" s="423" t="s">
        <v>442</v>
      </c>
      <c r="B12" s="214"/>
      <c r="C12" s="214"/>
      <c r="D12" s="214"/>
      <c r="E12" s="214"/>
      <c r="F12" s="419"/>
      <c r="G12" s="419"/>
      <c r="H12" s="420">
        <f>'Bal Sheet'!G55</f>
        <v>11273.43</v>
      </c>
      <c r="I12" s="420">
        <f ca="1">'Bal Sheet'!H55</f>
        <v>999.99999999999636</v>
      </c>
      <c r="J12" s="420">
        <f ca="1">'Bal Sheet'!I55</f>
        <v>999.99999999999636</v>
      </c>
      <c r="K12" s="420">
        <f ca="1">'Bal Sheet'!J55</f>
        <v>9486.3593319202846</v>
      </c>
      <c r="L12" s="420">
        <f ca="1">'Bal Sheet'!K55</f>
        <v>24196.567958381078</v>
      </c>
    </row>
    <row r="13" spans="1:16" s="212" customFormat="1" x14ac:dyDescent="0.35">
      <c r="A13" s="423" t="s">
        <v>443</v>
      </c>
      <c r="B13" s="214"/>
      <c r="C13" s="214"/>
      <c r="D13" s="214"/>
      <c r="E13" s="214"/>
      <c r="F13" s="421"/>
      <c r="G13" s="424"/>
      <c r="H13" s="425">
        <v>-1000</v>
      </c>
      <c r="I13" s="425">
        <v>-1000</v>
      </c>
      <c r="J13" s="425">
        <v>-1000</v>
      </c>
      <c r="K13" s="425">
        <v>-1000</v>
      </c>
      <c r="L13" s="425">
        <v>-1000</v>
      </c>
    </row>
    <row r="14" spans="1:16" s="212" customFormat="1" ht="29" x14ac:dyDescent="0.35">
      <c r="A14" s="6" t="s">
        <v>444</v>
      </c>
      <c r="B14" s="214"/>
      <c r="C14" s="214"/>
      <c r="D14" s="214"/>
      <c r="E14" s="214"/>
      <c r="F14" s="419">
        <f>SUM(F9:F13)</f>
        <v>0</v>
      </c>
      <c r="G14" s="419">
        <f>SUM(G9:G13)</f>
        <v>0</v>
      </c>
      <c r="H14" s="420">
        <f ca="1">SUM(H9:H13)</f>
        <v>4568.0236536463744</v>
      </c>
      <c r="I14" s="420">
        <f t="shared" ref="I14:L14" ca="1" si="3">SUM(I9:I13)</f>
        <v>539.16717197007074</v>
      </c>
      <c r="J14" s="420">
        <f t="shared" ca="1" si="3"/>
        <v>367.10434040487689</v>
      </c>
      <c r="K14" s="420">
        <f t="shared" ca="1" si="3"/>
        <v>8548.981663438226</v>
      </c>
      <c r="L14" s="420">
        <f t="shared" ca="1" si="3"/>
        <v>23160.260200232617</v>
      </c>
    </row>
    <row r="15" spans="1:16" s="212" customFormat="1" x14ac:dyDescent="0.35">
      <c r="A15" s="6" t="s">
        <v>445</v>
      </c>
      <c r="B15" s="214"/>
      <c r="C15" s="214"/>
      <c r="D15" s="214"/>
      <c r="E15" s="214"/>
      <c r="F15" s="419"/>
      <c r="G15" s="419"/>
      <c r="H15" s="420">
        <f ca="1">H54-G54</f>
        <v>11415.143223199513</v>
      </c>
      <c r="I15" s="420">
        <f t="shared" ref="I15:L15" ca="1" si="4">I54-H54</f>
        <v>12303.127347083806</v>
      </c>
      <c r="J15" s="420">
        <f t="shared" ca="1" si="4"/>
        <v>13630.75359561565</v>
      </c>
      <c r="K15" s="420">
        <f t="shared" ca="1" si="4"/>
        <v>14647.586294942856</v>
      </c>
      <c r="L15" s="420">
        <f t="shared" ca="1" si="4"/>
        <v>15146.434540081391</v>
      </c>
    </row>
    <row r="16" spans="1:16" s="212" customFormat="1" x14ac:dyDescent="0.35">
      <c r="A16" s="6" t="s">
        <v>446</v>
      </c>
      <c r="B16" s="214"/>
      <c r="C16" s="214"/>
      <c r="D16" s="214"/>
      <c r="E16" s="214"/>
      <c r="F16" s="214"/>
      <c r="G16" s="426"/>
      <c r="H16" s="425"/>
      <c r="I16" s="425"/>
      <c r="J16" s="425"/>
      <c r="K16" s="425"/>
      <c r="L16" s="425"/>
    </row>
    <row r="17" spans="1:12" s="212" customFormat="1" ht="29.5" thickBot="1" x14ac:dyDescent="0.4">
      <c r="A17" s="427" t="s">
        <v>447</v>
      </c>
      <c r="B17" s="428"/>
      <c r="C17" s="428"/>
      <c r="D17" s="428"/>
      <c r="E17" s="428"/>
      <c r="F17" s="429"/>
      <c r="G17" s="429">
        <f>G14+G15+G16</f>
        <v>0</v>
      </c>
      <c r="H17" s="430">
        <f t="shared" ref="H17" ca="1" si="5">H14+H15+H16</f>
        <v>15983.166876845888</v>
      </c>
      <c r="I17" s="430">
        <f t="shared" ref="I17:L17" ca="1" si="6">I14+I15+I16</f>
        <v>12842.294519053878</v>
      </c>
      <c r="J17" s="430">
        <f t="shared" ca="1" si="6"/>
        <v>13997.857936020526</v>
      </c>
      <c r="K17" s="430">
        <f t="shared" ca="1" si="6"/>
        <v>23196.567958381082</v>
      </c>
      <c r="L17" s="430">
        <f t="shared" ca="1" si="6"/>
        <v>38306.694740314008</v>
      </c>
    </row>
    <row r="18" spans="1:12" s="212" customFormat="1" ht="15" thickTop="1" x14ac:dyDescent="0.35">
      <c r="A18"/>
      <c r="B18" s="213"/>
      <c r="C18" s="213"/>
      <c r="D18" s="213"/>
      <c r="E18" s="213"/>
      <c r="F18" s="213"/>
      <c r="G18" s="213"/>
      <c r="H18" s="213"/>
      <c r="I18" s="213"/>
      <c r="J18" s="213"/>
      <c r="K18" s="213"/>
      <c r="L18" s="213"/>
    </row>
    <row r="19" spans="1:12" s="212" customFormat="1" x14ac:dyDescent="0.35">
      <c r="A19"/>
      <c r="B19" s="213"/>
      <c r="C19" s="213"/>
      <c r="D19" s="213"/>
      <c r="E19" s="213"/>
      <c r="F19" s="213"/>
      <c r="G19" s="213"/>
      <c r="H19" s="213"/>
      <c r="I19" s="213"/>
      <c r="J19" s="213"/>
      <c r="K19" s="213"/>
      <c r="L19" s="213"/>
    </row>
    <row r="20" spans="1:12" s="212" customFormat="1" x14ac:dyDescent="0.35">
      <c r="A20" s="431" t="s">
        <v>448</v>
      </c>
      <c r="B20" s="432"/>
      <c r="C20" s="432"/>
      <c r="D20" s="432"/>
      <c r="E20" s="432"/>
      <c r="F20" s="432"/>
      <c r="G20" s="432"/>
      <c r="H20" s="432"/>
      <c r="I20" s="432"/>
      <c r="J20" s="432"/>
      <c r="K20" s="432"/>
      <c r="L20" s="432"/>
    </row>
    <row r="21" spans="1:12" s="212" customFormat="1" x14ac:dyDescent="0.35">
      <c r="A21" t="s">
        <v>449</v>
      </c>
      <c r="B21" s="433"/>
      <c r="C21" s="433"/>
      <c r="D21" s="433"/>
      <c r="E21" s="433"/>
      <c r="F21" s="433"/>
      <c r="G21" s="433"/>
      <c r="H21" s="433">
        <f>G23</f>
        <v>34336.959999999999</v>
      </c>
      <c r="I21" s="433">
        <f t="shared" ref="I21:L21" ca="1" si="7">H23</f>
        <v>18353.793123154112</v>
      </c>
      <c r="J21" s="433">
        <f t="shared" ca="1" si="7"/>
        <v>5511.4986041002339</v>
      </c>
      <c r="K21" s="433">
        <f t="shared" ca="1" si="7"/>
        <v>0</v>
      </c>
      <c r="L21" s="433">
        <f t="shared" ca="1" si="7"/>
        <v>0</v>
      </c>
    </row>
    <row r="22" spans="1:12" s="212" customFormat="1" x14ac:dyDescent="0.35">
      <c r="A22" t="s">
        <v>450</v>
      </c>
      <c r="B22" s="433"/>
      <c r="C22" s="433"/>
      <c r="D22" s="433"/>
      <c r="E22" s="433"/>
      <c r="F22" s="433"/>
      <c r="G22" s="433"/>
      <c r="H22" s="433">
        <f ca="1">IF(H17&lt;0,-H17,-MIN(H17,H21))</f>
        <v>-15983.166876845888</v>
      </c>
      <c r="I22" s="433">
        <f t="shared" ref="I22:L22" ca="1" si="8">IF(I17&lt;0,-I17,-MIN(I17,I21))</f>
        <v>-12842.294519053878</v>
      </c>
      <c r="J22" s="433">
        <f t="shared" ca="1" si="8"/>
        <v>-5511.4986041002339</v>
      </c>
      <c r="K22" s="433">
        <f t="shared" ca="1" si="8"/>
        <v>0</v>
      </c>
      <c r="L22" s="433">
        <f t="shared" ca="1" si="8"/>
        <v>0</v>
      </c>
    </row>
    <row r="23" spans="1:12" s="212" customFormat="1" ht="15" thickBot="1" x14ac:dyDescent="0.4">
      <c r="A23" s="400" t="s">
        <v>451</v>
      </c>
      <c r="B23" s="434"/>
      <c r="C23" s="434"/>
      <c r="D23" s="434"/>
      <c r="E23" s="434"/>
      <c r="F23" s="434"/>
      <c r="G23" s="434">
        <f>'Bal Sheet'!G26</f>
        <v>34336.959999999999</v>
      </c>
      <c r="H23" s="434">
        <f t="shared" ref="H23" ca="1" si="9">SUM(H21:H22)</f>
        <v>18353.793123154112</v>
      </c>
      <c r="I23" s="434">
        <f t="shared" ref="I23:L23" ca="1" si="10">SUM(I21:I22)</f>
        <v>5511.4986041002339</v>
      </c>
      <c r="J23" s="434">
        <f t="shared" ca="1" si="10"/>
        <v>0</v>
      </c>
      <c r="K23" s="434">
        <f t="shared" ca="1" si="10"/>
        <v>0</v>
      </c>
      <c r="L23" s="434">
        <f t="shared" ca="1" si="10"/>
        <v>0</v>
      </c>
    </row>
    <row r="24" spans="1:12" s="212" customFormat="1" ht="15" thickTop="1" x14ac:dyDescent="0.35">
      <c r="A24"/>
      <c r="B24" s="433"/>
      <c r="C24" s="433"/>
      <c r="D24" s="433"/>
      <c r="E24" s="433"/>
      <c r="F24" s="433"/>
      <c r="G24" s="433"/>
      <c r="H24" s="433"/>
      <c r="I24" s="433"/>
      <c r="J24" s="433"/>
      <c r="K24" s="433"/>
      <c r="L24" s="433"/>
    </row>
    <row r="25" spans="1:12" s="212" customFormat="1" x14ac:dyDescent="0.35">
      <c r="A25" s="431" t="s">
        <v>452</v>
      </c>
      <c r="B25" s="432"/>
      <c r="C25" s="432"/>
      <c r="D25" s="432"/>
      <c r="E25" s="432"/>
      <c r="F25" s="432"/>
      <c r="G25" s="432"/>
      <c r="H25" s="432"/>
      <c r="I25" s="432"/>
      <c r="J25" s="432"/>
      <c r="K25" s="432"/>
      <c r="L25" s="432"/>
    </row>
    <row r="26" spans="1:12" s="212" customFormat="1" x14ac:dyDescent="0.35">
      <c r="A26" t="s">
        <v>449</v>
      </c>
      <c r="B26" s="433"/>
      <c r="C26" s="433"/>
      <c r="D26" s="433"/>
      <c r="E26" s="433"/>
      <c r="F26" s="433"/>
      <c r="G26" s="433"/>
      <c r="H26" s="433">
        <f>G29</f>
        <v>57909.89</v>
      </c>
      <c r="I26" s="433">
        <f t="shared" ref="I26:L26" ca="1" si="11">H29</f>
        <v>69325.033223199513</v>
      </c>
      <c r="J26" s="433">
        <f t="shared" ca="1" si="11"/>
        <v>81628.160570283319</v>
      </c>
      <c r="K26" s="433">
        <f t="shared" ca="1" si="11"/>
        <v>95258.914165898968</v>
      </c>
      <c r="L26" s="433">
        <f t="shared" ca="1" si="11"/>
        <v>109906.50046084182</v>
      </c>
    </row>
    <row r="27" spans="1:12" s="212" customFormat="1" x14ac:dyDescent="0.35">
      <c r="A27" t="s">
        <v>453</v>
      </c>
      <c r="B27" s="435"/>
      <c r="C27" s="435"/>
      <c r="D27" s="435"/>
      <c r="E27" s="435"/>
      <c r="F27" s="436"/>
      <c r="G27" s="436"/>
      <c r="H27" s="436">
        <f ca="1">H15</f>
        <v>11415.143223199513</v>
      </c>
      <c r="I27" s="436">
        <f t="shared" ref="I27:L27" ca="1" si="12">I15</f>
        <v>12303.127347083806</v>
      </c>
      <c r="J27" s="436">
        <f t="shared" ca="1" si="12"/>
        <v>13630.75359561565</v>
      </c>
      <c r="K27" s="436">
        <f t="shared" ca="1" si="12"/>
        <v>14647.586294942856</v>
      </c>
      <c r="L27" s="436">
        <f t="shared" ca="1" si="12"/>
        <v>15146.434540081391</v>
      </c>
    </row>
    <row r="28" spans="1:12" s="212" customFormat="1" x14ac:dyDescent="0.35">
      <c r="A28" t="s">
        <v>454</v>
      </c>
      <c r="B28" s="435"/>
      <c r="C28" s="435"/>
      <c r="D28" s="435"/>
      <c r="E28" s="435"/>
      <c r="F28" s="435"/>
      <c r="G28" s="435"/>
      <c r="H28" s="435"/>
      <c r="I28" s="435"/>
      <c r="J28" s="435"/>
      <c r="K28" s="435"/>
      <c r="L28" s="435"/>
    </row>
    <row r="29" spans="1:12" s="212" customFormat="1" ht="15" thickBot="1" x14ac:dyDescent="0.4">
      <c r="A29" s="166" t="s">
        <v>451</v>
      </c>
      <c r="B29" s="437"/>
      <c r="C29" s="437"/>
      <c r="D29" s="437"/>
      <c r="E29" s="437"/>
      <c r="F29" s="437"/>
      <c r="G29" s="437">
        <f>G54</f>
        <v>57909.89</v>
      </c>
      <c r="H29" s="437">
        <f t="shared" ref="H29:L29" ca="1" si="13">SUM(H26:H28)</f>
        <v>69325.033223199513</v>
      </c>
      <c r="I29" s="437">
        <f t="shared" ca="1" si="13"/>
        <v>81628.160570283319</v>
      </c>
      <c r="J29" s="437">
        <f t="shared" ca="1" si="13"/>
        <v>95258.914165898968</v>
      </c>
      <c r="K29" s="437">
        <f t="shared" ca="1" si="13"/>
        <v>109906.50046084182</v>
      </c>
      <c r="L29" s="437">
        <f t="shared" ca="1" si="13"/>
        <v>125052.93500092321</v>
      </c>
    </row>
    <row r="30" spans="1:12" s="212" customFormat="1" ht="15" thickTop="1" x14ac:dyDescent="0.35">
      <c r="A30"/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213"/>
    </row>
    <row r="31" spans="1:12" s="212" customFormat="1" x14ac:dyDescent="0.35">
      <c r="A31" s="431" t="s">
        <v>455</v>
      </c>
      <c r="B31" s="438"/>
      <c r="C31" s="438"/>
      <c r="D31" s="438"/>
      <c r="E31" s="438"/>
      <c r="F31" s="438"/>
      <c r="G31" s="438"/>
      <c r="H31" s="438"/>
      <c r="I31" s="438"/>
      <c r="J31" s="438"/>
      <c r="K31" s="438"/>
      <c r="L31" s="438"/>
    </row>
    <row r="32" spans="1:12" s="212" customFormat="1" x14ac:dyDescent="0.35">
      <c r="A32"/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13"/>
    </row>
    <row r="33" spans="1:12" s="212" customFormat="1" x14ac:dyDescent="0.35">
      <c r="A33" s="200" t="s">
        <v>456</v>
      </c>
      <c r="B33" s="439"/>
      <c r="C33" s="439"/>
      <c r="D33" s="439"/>
      <c r="E33" s="439"/>
      <c r="F33" s="440"/>
      <c r="G33" s="440">
        <f t="shared" ref="G33" si="14">AVERAGE(E23:G23)</f>
        <v>34336.959999999999</v>
      </c>
      <c r="H33" s="440">
        <f ca="1">AVERAGE(G23:H23)</f>
        <v>26345.376561577054</v>
      </c>
      <c r="I33" s="440">
        <f t="shared" ref="I33:L33" ca="1" si="15">AVERAGE(H23:I23)</f>
        <v>11932.645863627173</v>
      </c>
      <c r="J33" s="440">
        <f t="shared" ca="1" si="15"/>
        <v>2755.749302050117</v>
      </c>
      <c r="K33" s="440">
        <f t="shared" ca="1" si="15"/>
        <v>0</v>
      </c>
      <c r="L33" s="440">
        <f t="shared" ca="1" si="15"/>
        <v>0</v>
      </c>
    </row>
    <row r="34" spans="1:12" s="212" customFormat="1" x14ac:dyDescent="0.35">
      <c r="A34"/>
      <c r="B34" s="441"/>
      <c r="C34" s="441"/>
      <c r="D34" s="441"/>
      <c r="E34" s="441"/>
      <c r="F34" s="442"/>
      <c r="G34" s="442">
        <v>0.08</v>
      </c>
      <c r="H34" s="441">
        <f>G34</f>
        <v>0.08</v>
      </c>
      <c r="I34" s="441">
        <f t="shared" ref="I34:L34" si="16">H34</f>
        <v>0.08</v>
      </c>
      <c r="J34" s="441">
        <f t="shared" si="16"/>
        <v>0.08</v>
      </c>
      <c r="K34" s="441">
        <f t="shared" si="16"/>
        <v>0.08</v>
      </c>
      <c r="L34" s="441">
        <f t="shared" si="16"/>
        <v>0.08</v>
      </c>
    </row>
    <row r="35" spans="1:12" s="212" customFormat="1" x14ac:dyDescent="0.35">
      <c r="A35" s="443" t="s">
        <v>457</v>
      </c>
      <c r="B35" s="444"/>
      <c r="C35" s="444"/>
      <c r="D35" s="444"/>
      <c r="E35" s="444"/>
      <c r="F35" s="444"/>
      <c r="G35" s="444"/>
      <c r="H35" s="444">
        <f ca="1">H34*H33</f>
        <v>2107.6301249261642</v>
      </c>
      <c r="I35" s="444">
        <f t="shared" ref="I35:L35" ca="1" si="17">I34*I33</f>
        <v>954.61166909017379</v>
      </c>
      <c r="J35" s="444">
        <f t="shared" ca="1" si="17"/>
        <v>220.45994416400936</v>
      </c>
      <c r="K35" s="444">
        <f t="shared" ca="1" si="17"/>
        <v>0</v>
      </c>
      <c r="L35" s="444">
        <f t="shared" ca="1" si="17"/>
        <v>0</v>
      </c>
    </row>
    <row r="36" spans="1:12" s="212" customFormat="1" x14ac:dyDescent="0.35">
      <c r="A36"/>
      <c r="B36" s="213"/>
      <c r="C36" s="213"/>
      <c r="D36" s="213"/>
      <c r="E36" s="213"/>
      <c r="F36" s="213"/>
      <c r="G36" s="213"/>
      <c r="H36" s="213"/>
      <c r="I36" s="213"/>
      <c r="J36" s="213"/>
      <c r="K36" s="213"/>
      <c r="L36" s="213"/>
    </row>
    <row r="37" spans="1:12" s="212" customFormat="1" x14ac:dyDescent="0.35">
      <c r="A37" s="200" t="s">
        <v>458</v>
      </c>
      <c r="B37" s="439"/>
      <c r="C37" s="439"/>
      <c r="D37" s="439"/>
      <c r="E37" s="439"/>
      <c r="F37" s="440"/>
      <c r="G37" s="440">
        <f>AVERAGE(F29:G29)</f>
        <v>57909.89</v>
      </c>
      <c r="H37" s="440">
        <f t="shared" ref="H37:L37" ca="1" si="18">AVERAGE(G29:H29)</f>
        <v>63617.461611599756</v>
      </c>
      <c r="I37" s="440">
        <f t="shared" ca="1" si="18"/>
        <v>75476.596896741423</v>
      </c>
      <c r="J37" s="440">
        <f t="shared" ca="1" si="18"/>
        <v>88443.537368091143</v>
      </c>
      <c r="K37" s="440">
        <f t="shared" ca="1" si="18"/>
        <v>102582.7073133704</v>
      </c>
      <c r="L37" s="440">
        <f t="shared" ca="1" si="18"/>
        <v>117479.71773088252</v>
      </c>
    </row>
    <row r="38" spans="1:12" s="212" customFormat="1" x14ac:dyDescent="0.35">
      <c r="A38"/>
      <c r="B38" s="445"/>
      <c r="C38" s="445"/>
      <c r="D38" s="445"/>
      <c r="E38" s="445"/>
      <c r="F38" s="442"/>
      <c r="G38" s="442">
        <v>0.08</v>
      </c>
      <c r="H38" s="441">
        <f>G38</f>
        <v>0.08</v>
      </c>
      <c r="I38" s="441">
        <f t="shared" ref="I38:L38" si="19">H38</f>
        <v>0.08</v>
      </c>
      <c r="J38" s="441">
        <f t="shared" si="19"/>
        <v>0.08</v>
      </c>
      <c r="K38" s="441">
        <f t="shared" si="19"/>
        <v>0.08</v>
      </c>
      <c r="L38" s="441">
        <f t="shared" si="19"/>
        <v>0.08</v>
      </c>
    </row>
    <row r="39" spans="1:12" s="212" customFormat="1" x14ac:dyDescent="0.35">
      <c r="A39" s="443" t="s">
        <v>459</v>
      </c>
      <c r="B39" s="444"/>
      <c r="C39" s="444"/>
      <c r="D39" s="444"/>
      <c r="E39" s="444"/>
      <c r="F39" s="446"/>
      <c r="G39" s="446"/>
      <c r="H39" s="446">
        <f t="shared" ref="H39:L39" ca="1" si="20">H38*H37</f>
        <v>5089.3969289279803</v>
      </c>
      <c r="I39" s="446">
        <f t="shared" ca="1" si="20"/>
        <v>6038.1277517393137</v>
      </c>
      <c r="J39" s="446">
        <f t="shared" ca="1" si="20"/>
        <v>7075.4829894472914</v>
      </c>
      <c r="K39" s="446">
        <f t="shared" ca="1" si="20"/>
        <v>8206.6165850696325</v>
      </c>
      <c r="L39" s="446">
        <f t="shared" ca="1" si="20"/>
        <v>9398.3774184706017</v>
      </c>
    </row>
    <row r="40" spans="1:12" s="212" customFormat="1" x14ac:dyDescent="0.35">
      <c r="A40"/>
      <c r="B40" s="213"/>
      <c r="C40" s="213"/>
      <c r="D40" s="213"/>
      <c r="E40" s="213"/>
      <c r="F40" s="440"/>
      <c r="G40" s="440"/>
      <c r="H40" s="440"/>
      <c r="I40" s="440"/>
      <c r="J40" s="440"/>
      <c r="K40" s="440"/>
      <c r="L40" s="440"/>
    </row>
    <row r="41" spans="1:12" s="212" customFormat="1" ht="15" thickBot="1" x14ac:dyDescent="0.4">
      <c r="A41" s="447" t="s">
        <v>460</v>
      </c>
      <c r="B41" s="448"/>
      <c r="C41" s="448"/>
      <c r="D41" s="448"/>
      <c r="E41" s="448"/>
      <c r="F41" s="449"/>
      <c r="G41" s="449"/>
      <c r="H41" s="449">
        <f ca="1">IF($O$8=1,(H39+H35-H49),0)</f>
        <v>7012.9256038541444</v>
      </c>
      <c r="I41" s="449">
        <f t="shared" ref="I41:L41" ca="1" si="21">IF($O$8=1,(I39+I35-I49),0)</f>
        <v>6962.7394208294872</v>
      </c>
      <c r="J41" s="449">
        <f t="shared" ca="1" si="21"/>
        <v>7138.6475436324963</v>
      </c>
      <c r="K41" s="449">
        <f t="shared" ca="1" si="21"/>
        <v>7701.3726757151117</v>
      </c>
      <c r="L41" s="449">
        <f t="shared" ca="1" si="21"/>
        <v>8445.8284779901751</v>
      </c>
    </row>
    <row r="42" spans="1:12" s="212" customFormat="1" x14ac:dyDescent="0.35">
      <c r="A42"/>
      <c r="B42" s="450"/>
      <c r="C42" s="450"/>
      <c r="D42" s="450"/>
      <c r="E42" s="450"/>
      <c r="F42" s="450"/>
      <c r="G42" s="450"/>
      <c r="H42" s="213"/>
      <c r="I42" s="213"/>
      <c r="J42" s="213"/>
      <c r="K42" s="213"/>
      <c r="L42" s="213"/>
    </row>
    <row r="43" spans="1:12" s="212" customFormat="1" x14ac:dyDescent="0.35">
      <c r="A43"/>
      <c r="B43" s="450"/>
      <c r="C43" s="450"/>
      <c r="D43" s="450"/>
      <c r="E43" s="450"/>
      <c r="F43" s="450"/>
      <c r="G43" s="450"/>
      <c r="H43" s="213"/>
      <c r="I43" s="213"/>
      <c r="J43" s="213"/>
      <c r="K43" s="213"/>
      <c r="L43" s="213"/>
    </row>
    <row r="44" spans="1:12" s="212" customFormat="1" x14ac:dyDescent="0.35">
      <c r="A44" s="200" t="s">
        <v>461</v>
      </c>
      <c r="B44" s="439"/>
      <c r="C44" s="439"/>
      <c r="D44" s="439"/>
      <c r="E44" s="439"/>
      <c r="F44" s="439"/>
      <c r="G44" s="439"/>
      <c r="H44" s="439"/>
      <c r="I44" s="213"/>
      <c r="J44" s="213"/>
      <c r="K44" s="213"/>
      <c r="L44" s="213"/>
    </row>
    <row r="45" spans="1:12" s="212" customFormat="1" x14ac:dyDescent="0.35">
      <c r="A45"/>
      <c r="B45" s="451"/>
      <c r="C45" s="451"/>
      <c r="D45" s="451"/>
      <c r="E45" s="451"/>
      <c r="F45" s="451"/>
      <c r="G45" s="451"/>
      <c r="H45" s="451"/>
      <c r="I45" s="213"/>
      <c r="J45" s="213"/>
      <c r="K45" s="213"/>
      <c r="L45" s="213"/>
    </row>
    <row r="46" spans="1:12" s="212" customFormat="1" x14ac:dyDescent="0.35">
      <c r="A46" t="s">
        <v>462</v>
      </c>
      <c r="B46" s="450"/>
      <c r="C46" s="452">
        <f>F12</f>
        <v>0</v>
      </c>
      <c r="D46" s="452"/>
      <c r="E46" s="452"/>
      <c r="F46" s="452"/>
      <c r="G46" s="452">
        <f>'Bal Sheet'!G55</f>
        <v>11273.43</v>
      </c>
      <c r="H46" s="452">
        <f ca="1">'Bal Sheet'!H55</f>
        <v>999.99999999999636</v>
      </c>
      <c r="I46" s="452">
        <f ca="1">'Bal Sheet'!I55</f>
        <v>999.99999999999636</v>
      </c>
      <c r="J46" s="452">
        <f ca="1">'Bal Sheet'!J55</f>
        <v>9486.3593319202846</v>
      </c>
      <c r="K46" s="452">
        <f ca="1">'Bal Sheet'!K55</f>
        <v>24196.567958381078</v>
      </c>
      <c r="L46" s="452">
        <f ca="1">'Bal Sheet'!L55</f>
        <v>39306.694740314008</v>
      </c>
    </row>
    <row r="47" spans="1:12" s="212" customFormat="1" x14ac:dyDescent="0.35">
      <c r="A47" t="s">
        <v>233</v>
      </c>
      <c r="B47" s="213"/>
      <c r="C47" s="452"/>
      <c r="D47" s="452"/>
      <c r="E47" s="452"/>
      <c r="F47" s="452"/>
      <c r="G47" s="452"/>
      <c r="H47" s="452">
        <f t="shared" ref="H47:L47" ca="1" si="22">AVERAGE(G46:H46)</f>
        <v>6136.7149999999983</v>
      </c>
      <c r="I47" s="452">
        <f t="shared" ca="1" si="22"/>
        <v>999.99999999999636</v>
      </c>
      <c r="J47" s="452">
        <f t="shared" ca="1" si="22"/>
        <v>5243.1796659601405</v>
      </c>
      <c r="K47" s="452">
        <f t="shared" ca="1" si="22"/>
        <v>16841.463645150681</v>
      </c>
      <c r="L47" s="452">
        <f t="shared" ca="1" si="22"/>
        <v>31751.631349347543</v>
      </c>
    </row>
    <row r="48" spans="1:12" s="212" customFormat="1" x14ac:dyDescent="0.35">
      <c r="A48"/>
      <c r="B48" s="213"/>
      <c r="C48" s="452"/>
      <c r="D48" s="452"/>
      <c r="E48" s="452"/>
      <c r="F48" s="452"/>
      <c r="G48" s="452"/>
      <c r="H48" s="452"/>
      <c r="I48" s="452"/>
      <c r="J48" s="452"/>
      <c r="K48" s="452"/>
      <c r="L48" s="452"/>
    </row>
    <row r="49" spans="1:12" s="212" customFormat="1" ht="15" thickBot="1" x14ac:dyDescent="0.4">
      <c r="A49" s="453" t="s">
        <v>463</v>
      </c>
      <c r="B49" s="454">
        <v>0.03</v>
      </c>
      <c r="C49" s="455"/>
      <c r="D49" s="455"/>
      <c r="E49" s="455"/>
      <c r="F49" s="455"/>
      <c r="G49" s="455"/>
      <c r="H49" s="455">
        <f t="shared" ref="H49:I49" ca="1" si="23">H47*$B$49</f>
        <v>184.10144999999994</v>
      </c>
      <c r="I49" s="455">
        <f t="shared" ca="1" si="23"/>
        <v>29.99999999999989</v>
      </c>
      <c r="J49" s="455">
        <f ca="1">J47*$B$49</f>
        <v>157.2953899788042</v>
      </c>
      <c r="K49" s="455">
        <f ca="1">K47*$B$49</f>
        <v>505.24390935452044</v>
      </c>
      <c r="L49" s="455">
        <f t="shared" ref="L49" ca="1" si="24">L47*$B$49</f>
        <v>952.54894048042627</v>
      </c>
    </row>
    <row r="50" spans="1:12" s="212" customFormat="1" x14ac:dyDescent="0.35">
      <c r="A50"/>
    </row>
    <row r="51" spans="1:12" s="212" customFormat="1" x14ac:dyDescent="0.35">
      <c r="A51"/>
    </row>
    <row r="52" spans="1:12" s="212" customFormat="1" x14ac:dyDescent="0.35">
      <c r="A52"/>
    </row>
    <row r="53" spans="1:12" s="212" customFormat="1" x14ac:dyDescent="0.35">
      <c r="A53"/>
    </row>
    <row r="54" spans="1:12" s="212" customFormat="1" x14ac:dyDescent="0.35">
      <c r="A54" s="212" t="s">
        <v>464</v>
      </c>
      <c r="B54" s="456"/>
      <c r="C54" s="457">
        <f>'Bal Sheet'!C19</f>
        <v>43526.17</v>
      </c>
      <c r="D54" s="457">
        <f>'Bal Sheet'!D19</f>
        <v>52298.05</v>
      </c>
      <c r="E54" s="457">
        <f>'Bal Sheet'!E19</f>
        <v>54906.559999999998</v>
      </c>
      <c r="F54" s="457">
        <f>'Bal Sheet'!F19</f>
        <v>51057.61</v>
      </c>
      <c r="G54" s="457">
        <f>'Bal Sheet'!G19</f>
        <v>57909.89</v>
      </c>
      <c r="H54" s="458">
        <f ca="1">H56*H55</f>
        <v>69325.033223199513</v>
      </c>
      <c r="I54" s="458">
        <f t="shared" ref="I54:L54" ca="1" si="25">I56*I55</f>
        <v>81628.160570283319</v>
      </c>
      <c r="J54" s="458">
        <f t="shared" ca="1" si="25"/>
        <v>95258.914165898968</v>
      </c>
      <c r="K54" s="458">
        <f t="shared" ca="1" si="25"/>
        <v>109906.50046084182</v>
      </c>
      <c r="L54" s="458">
        <f t="shared" ca="1" si="25"/>
        <v>125052.93500092321</v>
      </c>
    </row>
    <row r="55" spans="1:12" s="212" customFormat="1" x14ac:dyDescent="0.35">
      <c r="A55" s="212" t="s">
        <v>140</v>
      </c>
      <c r="B55" s="456"/>
      <c r="C55" s="457">
        <f>'Bal Sheet'!C14</f>
        <v>39983.409999999996</v>
      </c>
      <c r="D55" s="457">
        <f>'Bal Sheet'!D14</f>
        <v>39969.31</v>
      </c>
      <c r="E55" s="457">
        <f>'Bal Sheet'!E14</f>
        <v>41581.919999999998</v>
      </c>
      <c r="F55" s="457">
        <f>'Bal Sheet'!F14</f>
        <v>47122.64</v>
      </c>
      <c r="G55" s="457">
        <f>'Bal Sheet'!G14</f>
        <v>56365.79</v>
      </c>
      <c r="H55" s="457">
        <f ca="1">'Bal Sheet'!H14</f>
        <v>67476.561678875354</v>
      </c>
      <c r="I55" s="457">
        <f ca="1">'Bal Sheet'!I14</f>
        <v>79451.640415667687</v>
      </c>
      <c r="J55" s="457">
        <f ca="1">'Bal Sheet'!J14</f>
        <v>92718.945788069817</v>
      </c>
      <c r="K55" s="457">
        <f ca="1">'Bal Sheet'!K14</f>
        <v>106975.97119612407</v>
      </c>
      <c r="L55" s="457">
        <f ca="1">'Bal Sheet'!L14</f>
        <v>121718.54363988065</v>
      </c>
    </row>
    <row r="56" spans="1:12" s="212" customFormat="1" x14ac:dyDescent="0.35">
      <c r="A56" s="459" t="s">
        <v>465</v>
      </c>
      <c r="B56" s="460"/>
      <c r="C56" s="460">
        <f>C54/C55</f>
        <v>1.0886057492344952</v>
      </c>
      <c r="D56" s="460">
        <f t="shared" ref="D56:G56" si="26">D54/D55</f>
        <v>1.3084551622232159</v>
      </c>
      <c r="E56" s="460">
        <f t="shared" si="26"/>
        <v>1.3204431156618068</v>
      </c>
      <c r="F56" s="460">
        <f t="shared" si="26"/>
        <v>1.0835048715436997</v>
      </c>
      <c r="G56" s="460">
        <f t="shared" si="26"/>
        <v>1.0273942758542016</v>
      </c>
      <c r="H56" s="461">
        <f>G56</f>
        <v>1.0273942758542016</v>
      </c>
      <c r="I56" s="461">
        <f t="shared" ref="I56:L56" si="27">H56</f>
        <v>1.0273942758542016</v>
      </c>
      <c r="J56" s="461">
        <f t="shared" si="27"/>
        <v>1.0273942758542016</v>
      </c>
      <c r="K56" s="461">
        <f t="shared" si="27"/>
        <v>1.0273942758542016</v>
      </c>
      <c r="L56" s="461">
        <f t="shared" si="27"/>
        <v>1.0273942758542016</v>
      </c>
    </row>
    <row r="57" spans="1:12" s="212" customFormat="1" x14ac:dyDescent="0.35"/>
    <row r="58" spans="1:12" s="212" customFormat="1" x14ac:dyDescent="0.35"/>
  </sheetData>
  <conditionalFormatting sqref="D4">
    <cfRule type="expression" dxfId="1" priority="1">
      <formula>"="</formula>
    </cfRule>
  </conditionalFormatting>
  <dataValidations count="1">
    <dataValidation type="list" allowBlank="1" showInputMessage="1" showErrorMessage="1" sqref="O8" xr:uid="{E8F9885B-0F38-46CC-8B66-DFDA4CD2C077}">
      <formula1>$P$8:$P$9</formula1>
    </dataValidation>
  </dataValidation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7194-2BB3-49F6-96B1-458B9FEFB504}">
  <sheetPr>
    <tabColor rgb="FFFF0000"/>
  </sheetPr>
  <dimension ref="A1:K184"/>
  <sheetViews>
    <sheetView zoomScale="81" zoomScaleNormal="81" workbookViewId="0">
      <selection activeCell="H15" sqref="H15"/>
    </sheetView>
  </sheetViews>
  <sheetFormatPr defaultRowHeight="14.5" x14ac:dyDescent="0.35"/>
  <cols>
    <col min="1" max="1" width="20.1796875" bestFit="1" customWidth="1"/>
    <col min="2" max="2" width="12.36328125" customWidth="1"/>
    <col min="3" max="3" width="16" bestFit="1" customWidth="1"/>
    <col min="5" max="5" width="10.453125" bestFit="1" customWidth="1"/>
  </cols>
  <sheetData>
    <row r="1" spans="1:11" x14ac:dyDescent="0.35">
      <c r="D1" s="462" t="s">
        <v>514</v>
      </c>
      <c r="F1" s="494" t="s">
        <v>513</v>
      </c>
      <c r="G1" s="495"/>
      <c r="H1" s="495"/>
      <c r="I1" s="495"/>
      <c r="J1" s="495"/>
      <c r="K1" s="495"/>
    </row>
    <row r="2" spans="1:11" x14ac:dyDescent="0.35">
      <c r="A2" s="295"/>
    </row>
    <row r="3" spans="1:11" ht="16.5" x14ac:dyDescent="0.35">
      <c r="A3" s="297" t="s">
        <v>297</v>
      </c>
      <c r="B3" s="298" t="s">
        <v>298</v>
      </c>
      <c r="C3" s="299" t="s">
        <v>299</v>
      </c>
      <c r="E3" t="s">
        <v>300</v>
      </c>
    </row>
    <row r="4" spans="1:11" x14ac:dyDescent="0.35">
      <c r="A4" s="498">
        <v>45170</v>
      </c>
      <c r="B4" s="497">
        <v>67696.22</v>
      </c>
      <c r="C4" s="296">
        <f>B4/B5-1</f>
        <v>4.4188611662155708E-2</v>
      </c>
      <c r="E4" s="165">
        <f>RATE(5,0,-B64,B4,0)</f>
        <v>0.13319871659231963</v>
      </c>
    </row>
    <row r="5" spans="1:11" x14ac:dyDescent="0.35">
      <c r="A5" s="498">
        <v>45139</v>
      </c>
      <c r="B5" s="497">
        <v>64831.41</v>
      </c>
      <c r="C5" s="296">
        <f t="shared" ref="C5:C68" si="0">B5/B6-1</f>
        <v>-2.5497060095445945E-2</v>
      </c>
      <c r="E5" s="165">
        <f t="shared" ref="E5:E63" si="1">RATE(5,0,-B65,B5,0)</f>
        <v>0.10901717951508963</v>
      </c>
    </row>
    <row r="6" spans="1:11" x14ac:dyDescent="0.35">
      <c r="A6" s="498">
        <v>45108</v>
      </c>
      <c r="B6" s="497">
        <v>66527.67</v>
      </c>
      <c r="C6" s="296">
        <f t="shared" si="0"/>
        <v>2.7953495875062684E-2</v>
      </c>
      <c r="E6" s="165">
        <f t="shared" si="1"/>
        <v>0.12085051246884725</v>
      </c>
    </row>
    <row r="7" spans="1:11" x14ac:dyDescent="0.35">
      <c r="A7" s="498">
        <v>45078</v>
      </c>
      <c r="B7" s="497">
        <v>64718.559999999998</v>
      </c>
      <c r="C7" s="296">
        <f t="shared" si="0"/>
        <v>3.3475646990589913E-2</v>
      </c>
      <c r="E7" s="165">
        <f t="shared" si="1"/>
        <v>0.12809980541698521</v>
      </c>
    </row>
    <row r="8" spans="1:11" x14ac:dyDescent="0.35">
      <c r="A8" s="498">
        <v>45047</v>
      </c>
      <c r="B8" s="497">
        <v>62622.239999999998</v>
      </c>
      <c r="C8" s="296">
        <f t="shared" si="0"/>
        <v>2.4705280954254061E-2</v>
      </c>
      <c r="E8" s="165">
        <f t="shared" si="1"/>
        <v>0.12133590387645425</v>
      </c>
    </row>
    <row r="9" spans="1:11" x14ac:dyDescent="0.35">
      <c r="A9" s="498">
        <v>45017</v>
      </c>
      <c r="B9" s="497">
        <v>61112.44</v>
      </c>
      <c r="C9" s="296">
        <f t="shared" si="0"/>
        <v>3.5952964087041739E-2</v>
      </c>
      <c r="E9" s="165">
        <f t="shared" si="1"/>
        <v>0.1169024977514569</v>
      </c>
    </row>
    <row r="10" spans="1:11" x14ac:dyDescent="0.35">
      <c r="A10" s="498">
        <v>44986</v>
      </c>
      <c r="B10" s="497">
        <v>58991.519999999997</v>
      </c>
      <c r="C10" s="296">
        <f t="shared" si="0"/>
        <v>4.9862521903887291E-4</v>
      </c>
      <c r="E10" s="165">
        <f t="shared" si="1"/>
        <v>0.12340824113440162</v>
      </c>
    </row>
    <row r="11" spans="1:11" x14ac:dyDescent="0.35">
      <c r="A11" s="498">
        <v>44958</v>
      </c>
      <c r="B11" s="497">
        <v>58962.12</v>
      </c>
      <c r="C11" s="296">
        <f t="shared" si="0"/>
        <v>-9.8703776160833367E-3</v>
      </c>
      <c r="E11" s="165">
        <f t="shared" si="1"/>
        <v>0.11519275796307743</v>
      </c>
    </row>
    <row r="12" spans="1:11" x14ac:dyDescent="0.35">
      <c r="A12" s="498">
        <v>44927</v>
      </c>
      <c r="B12" s="497">
        <v>59549.9</v>
      </c>
      <c r="C12" s="296">
        <f t="shared" si="0"/>
        <v>-2.1216704464804281E-2</v>
      </c>
      <c r="E12" s="165">
        <f t="shared" si="1"/>
        <v>0.10611465426138535</v>
      </c>
    </row>
    <row r="13" spans="1:11" x14ac:dyDescent="0.35">
      <c r="A13" s="498">
        <v>44896</v>
      </c>
      <c r="B13" s="497">
        <v>60840.74</v>
      </c>
      <c r="C13" s="296">
        <f t="shared" si="0"/>
        <v>-3.5799089218403024E-2</v>
      </c>
      <c r="E13" s="165">
        <f t="shared" si="1"/>
        <v>0.12304731337614543</v>
      </c>
      <c r="I13" s="539"/>
    </row>
    <row r="14" spans="1:11" x14ac:dyDescent="0.35">
      <c r="A14" s="498">
        <v>44866</v>
      </c>
      <c r="B14" s="497">
        <v>63099.65</v>
      </c>
      <c r="C14" s="296">
        <f t="shared" si="0"/>
        <v>3.8735672241026364E-2</v>
      </c>
      <c r="E14" s="165">
        <f t="shared" si="1"/>
        <v>0.1373925693289452</v>
      </c>
    </row>
    <row r="15" spans="1:11" x14ac:dyDescent="0.35">
      <c r="A15" s="498">
        <v>44835</v>
      </c>
      <c r="B15" s="497">
        <v>60746.59</v>
      </c>
      <c r="C15" s="296">
        <f t="shared" si="0"/>
        <v>5.7806861311733293E-2</v>
      </c>
      <c r="E15" s="165">
        <f t="shared" si="1"/>
        <v>0.12834632747750768</v>
      </c>
    </row>
    <row r="16" spans="1:11" x14ac:dyDescent="0.35">
      <c r="A16" s="498">
        <v>44805</v>
      </c>
      <c r="B16" s="497">
        <v>57426.92</v>
      </c>
      <c r="C16" s="296">
        <f t="shared" si="0"/>
        <v>-3.5442624233943731E-2</v>
      </c>
      <c r="E16" s="165">
        <f t="shared" si="1"/>
        <v>0.1291702485709435</v>
      </c>
    </row>
    <row r="17" spans="1:5" x14ac:dyDescent="0.35">
      <c r="A17" s="498">
        <v>44774</v>
      </c>
      <c r="B17" s="497">
        <v>59537.07</v>
      </c>
      <c r="C17" s="296">
        <f t="shared" si="0"/>
        <v>3.4163825934401926E-2</v>
      </c>
      <c r="E17" s="165">
        <f t="shared" si="1"/>
        <v>0.13412816488213566</v>
      </c>
    </row>
    <row r="18" spans="1:5" x14ac:dyDescent="0.35">
      <c r="A18" s="498">
        <v>44743</v>
      </c>
      <c r="B18" s="497">
        <v>57570.25</v>
      </c>
      <c r="C18" s="296">
        <f t="shared" si="0"/>
        <v>8.5843096825398479E-2</v>
      </c>
      <c r="E18" s="165">
        <f t="shared" si="1"/>
        <v>0.12104496303475443</v>
      </c>
    </row>
    <row r="19" spans="1:5" x14ac:dyDescent="0.35">
      <c r="A19" s="498">
        <v>44713</v>
      </c>
      <c r="B19" s="497">
        <v>53018.94</v>
      </c>
      <c r="C19" s="296">
        <f t="shared" si="0"/>
        <v>-4.5845502705681329E-2</v>
      </c>
      <c r="E19" s="165">
        <f t="shared" si="1"/>
        <v>0.11386815664722831</v>
      </c>
    </row>
    <row r="20" spans="1:5" x14ac:dyDescent="0.35">
      <c r="A20" s="498">
        <v>44682</v>
      </c>
      <c r="B20" s="497">
        <v>55566.41</v>
      </c>
      <c r="C20" s="296">
        <f t="shared" si="0"/>
        <v>-2.6190627657797672E-2</v>
      </c>
      <c r="E20" s="165">
        <f t="shared" si="1"/>
        <v>0.12274872284813101</v>
      </c>
    </row>
    <row r="21" spans="1:5" x14ac:dyDescent="0.35">
      <c r="A21" s="498">
        <v>44652</v>
      </c>
      <c r="B21" s="497">
        <v>57060.87</v>
      </c>
      <c r="C21" s="296">
        <f t="shared" si="0"/>
        <v>-2.5741477800954815E-2</v>
      </c>
      <c r="E21" s="165">
        <f t="shared" si="1"/>
        <v>0.13783687677860346</v>
      </c>
    </row>
    <row r="22" spans="1:5" x14ac:dyDescent="0.35">
      <c r="A22" s="498">
        <v>44621</v>
      </c>
      <c r="B22" s="497">
        <v>58568.51</v>
      </c>
      <c r="C22" s="296">
        <f t="shared" si="0"/>
        <v>4.1268306663006626E-2</v>
      </c>
      <c r="E22" s="165">
        <f t="shared" si="1"/>
        <v>0.14607848064959134</v>
      </c>
    </row>
    <row r="23" spans="1:5" x14ac:dyDescent="0.35">
      <c r="A23" s="498">
        <v>44593</v>
      </c>
      <c r="B23" s="497">
        <v>56247.28</v>
      </c>
      <c r="C23" s="296">
        <f t="shared" si="0"/>
        <v>-3.0456179929834404E-2</v>
      </c>
      <c r="E23" s="165">
        <f t="shared" si="1"/>
        <v>0.14370210164544489</v>
      </c>
    </row>
    <row r="24" spans="1:5" x14ac:dyDescent="0.35">
      <c r="A24" s="498">
        <v>44562</v>
      </c>
      <c r="B24" s="497">
        <v>58014.17</v>
      </c>
      <c r="C24" s="296">
        <f t="shared" si="0"/>
        <v>-4.113893303477778E-3</v>
      </c>
      <c r="E24" s="165">
        <f t="shared" si="1"/>
        <v>0.15970911060915829</v>
      </c>
    </row>
    <row r="25" spans="1:5" x14ac:dyDescent="0.35">
      <c r="A25" s="498">
        <v>44531</v>
      </c>
      <c r="B25" s="497">
        <v>58253.82</v>
      </c>
      <c r="C25" s="296">
        <f t="shared" si="0"/>
        <v>2.0835060169242414E-2</v>
      </c>
      <c r="E25" s="165">
        <f t="shared" si="1"/>
        <v>0.16950530399329133</v>
      </c>
    </row>
    <row r="26" spans="1:5" x14ac:dyDescent="0.35">
      <c r="A26" s="498">
        <v>44501</v>
      </c>
      <c r="B26" s="497">
        <v>57064.87</v>
      </c>
      <c r="C26" s="296">
        <f t="shared" si="0"/>
        <v>-3.7804351026094252E-2</v>
      </c>
      <c r="E26" s="165">
        <f t="shared" si="1"/>
        <v>0.16446158453181625</v>
      </c>
    </row>
    <row r="27" spans="1:5" x14ac:dyDescent="0.35">
      <c r="A27" s="498">
        <v>44470</v>
      </c>
      <c r="B27" s="497">
        <v>59306.93</v>
      </c>
      <c r="C27" s="296">
        <f t="shared" si="0"/>
        <v>3.0539678072520893E-3</v>
      </c>
      <c r="E27" s="165">
        <f t="shared" si="1"/>
        <v>0.16253556640803155</v>
      </c>
    </row>
    <row r="28" spans="1:5" x14ac:dyDescent="0.35">
      <c r="A28" s="498">
        <v>44440</v>
      </c>
      <c r="B28" s="497">
        <v>59126.36</v>
      </c>
      <c r="C28" s="296">
        <f t="shared" si="0"/>
        <v>2.7348473277999386E-2</v>
      </c>
      <c r="E28" s="165">
        <f t="shared" si="1"/>
        <v>0.16236206221750754</v>
      </c>
    </row>
    <row r="29" spans="1:5" x14ac:dyDescent="0.35">
      <c r="A29" s="498">
        <v>44409</v>
      </c>
      <c r="B29" s="497">
        <v>57552.39</v>
      </c>
      <c r="C29" s="296">
        <f t="shared" si="0"/>
        <v>9.4425715635318763E-2</v>
      </c>
      <c r="E29" s="165">
        <f t="shared" si="1"/>
        <v>0.15130288702522882</v>
      </c>
    </row>
    <row r="30" spans="1:5" x14ac:dyDescent="0.35">
      <c r="A30" s="498">
        <v>44378</v>
      </c>
      <c r="B30" s="497">
        <v>52586.84</v>
      </c>
      <c r="C30" s="296">
        <f t="shared" si="0"/>
        <v>1.9840819957657185E-3</v>
      </c>
      <c r="E30" s="165">
        <f t="shared" si="1"/>
        <v>0.13392174124822492</v>
      </c>
    </row>
    <row r="31" spans="1:5" x14ac:dyDescent="0.35">
      <c r="A31" s="498">
        <v>44348</v>
      </c>
      <c r="B31" s="497">
        <v>52482.71</v>
      </c>
      <c r="C31" s="296">
        <f t="shared" si="0"/>
        <v>1.0498592152404784E-2</v>
      </c>
      <c r="E31" s="165">
        <f t="shared" si="1"/>
        <v>0.14217170810180768</v>
      </c>
    </row>
    <row r="32" spans="1:5" x14ac:dyDescent="0.35">
      <c r="A32" s="498">
        <v>44317</v>
      </c>
      <c r="B32" s="497">
        <v>51937.440000000002</v>
      </c>
      <c r="C32" s="296">
        <f t="shared" si="0"/>
        <v>6.4676657709877183E-2</v>
      </c>
      <c r="E32" s="165">
        <f t="shared" si="1"/>
        <v>0.14261033737965798</v>
      </c>
    </row>
    <row r="33" spans="1:5" x14ac:dyDescent="0.35">
      <c r="A33" s="498">
        <v>44287</v>
      </c>
      <c r="B33" s="497">
        <v>48782.36</v>
      </c>
      <c r="C33" s="296">
        <f t="shared" si="0"/>
        <v>-1.4679912703005393E-2</v>
      </c>
      <c r="E33" s="165">
        <f t="shared" si="1"/>
        <v>0.137580424338794</v>
      </c>
    </row>
    <row r="34" spans="1:5" x14ac:dyDescent="0.35">
      <c r="A34" s="498">
        <v>44256</v>
      </c>
      <c r="B34" s="497">
        <v>49509.15</v>
      </c>
      <c r="C34" s="296">
        <f t="shared" si="0"/>
        <v>8.3331992531974208E-3</v>
      </c>
      <c r="E34" s="165">
        <f t="shared" si="1"/>
        <v>0.14332420145049055</v>
      </c>
    </row>
    <row r="35" spans="1:5" x14ac:dyDescent="0.35">
      <c r="A35" s="498">
        <v>44228</v>
      </c>
      <c r="B35" s="497">
        <v>49099.99</v>
      </c>
      <c r="C35" s="296">
        <f t="shared" si="0"/>
        <v>6.0800976196355938E-2</v>
      </c>
      <c r="E35" s="165">
        <f t="shared" si="1"/>
        <v>0.16375929011751847</v>
      </c>
    </row>
    <row r="36" spans="1:5" x14ac:dyDescent="0.35">
      <c r="A36" s="498">
        <v>44197</v>
      </c>
      <c r="B36" s="497">
        <v>46285.77</v>
      </c>
      <c r="C36" s="296">
        <f t="shared" si="0"/>
        <v>-3.0691501158187751E-2</v>
      </c>
      <c r="E36" s="165">
        <f t="shared" si="1"/>
        <v>0.13227503465678248</v>
      </c>
    </row>
    <row r="37" spans="1:5" x14ac:dyDescent="0.35">
      <c r="A37" s="498">
        <v>44166</v>
      </c>
      <c r="B37" s="497">
        <v>47751.33</v>
      </c>
      <c r="C37" s="296">
        <f t="shared" si="0"/>
        <v>8.15771878054945E-2</v>
      </c>
      <c r="E37" s="165">
        <f t="shared" si="1"/>
        <v>0.12826376519623814</v>
      </c>
    </row>
    <row r="38" spans="1:5" x14ac:dyDescent="0.35">
      <c r="A38" s="498">
        <v>44136</v>
      </c>
      <c r="B38" s="497">
        <v>44149.72</v>
      </c>
      <c r="C38" s="296">
        <f t="shared" si="0"/>
        <v>0.11449593540880798</v>
      </c>
      <c r="E38" s="165">
        <f t="shared" si="1"/>
        <v>0.11046694526585137</v>
      </c>
    </row>
    <row r="39" spans="1:5" x14ac:dyDescent="0.35">
      <c r="A39" s="498">
        <v>44105</v>
      </c>
      <c r="B39" s="497">
        <v>39614.07</v>
      </c>
      <c r="C39" s="296">
        <f t="shared" si="0"/>
        <v>4.061528956263194E-2</v>
      </c>
      <c r="E39" s="165">
        <f t="shared" si="1"/>
        <v>8.245086660427417E-2</v>
      </c>
    </row>
    <row r="40" spans="1:5" x14ac:dyDescent="0.35">
      <c r="A40" s="498">
        <v>44075</v>
      </c>
      <c r="B40" s="497">
        <v>38067.93</v>
      </c>
      <c r="C40" s="296">
        <f t="shared" si="0"/>
        <v>-1.4506466633651183E-2</v>
      </c>
      <c r="E40" s="165">
        <f t="shared" si="1"/>
        <v>7.795708694004394E-2</v>
      </c>
    </row>
    <row r="41" spans="1:5" x14ac:dyDescent="0.35">
      <c r="A41" s="498">
        <v>44044</v>
      </c>
      <c r="B41" s="497">
        <v>38628.29</v>
      </c>
      <c r="C41" s="296">
        <f t="shared" si="0"/>
        <v>2.7159916706752441E-2</v>
      </c>
      <c r="E41" s="165">
        <f t="shared" si="1"/>
        <v>8.0054851847574285E-2</v>
      </c>
    </row>
    <row r="42" spans="1:5" x14ac:dyDescent="0.35">
      <c r="A42" s="498">
        <v>44013</v>
      </c>
      <c r="B42" s="497">
        <v>37606.89</v>
      </c>
      <c r="C42" s="296">
        <f t="shared" si="0"/>
        <v>7.7073703022700224E-2</v>
      </c>
      <c r="E42" s="165">
        <f t="shared" si="1"/>
        <v>5.9905695159283373E-2</v>
      </c>
    </row>
    <row r="43" spans="1:5" x14ac:dyDescent="0.35">
      <c r="A43" s="498">
        <v>43983</v>
      </c>
      <c r="B43" s="497">
        <v>34915.800000000003</v>
      </c>
      <c r="C43" s="296">
        <f t="shared" si="0"/>
        <v>7.6847159982852409E-2</v>
      </c>
      <c r="E43" s="165">
        <f t="shared" si="1"/>
        <v>4.6779854729870028E-2</v>
      </c>
    </row>
    <row r="44" spans="1:5" x14ac:dyDescent="0.35">
      <c r="A44" s="498">
        <v>43952</v>
      </c>
      <c r="B44" s="497">
        <v>32424.1</v>
      </c>
      <c r="C44" s="296">
        <f t="shared" si="0"/>
        <v>-3.8363324576289881E-2</v>
      </c>
      <c r="E44" s="165">
        <f t="shared" si="1"/>
        <v>3.1040710649722181E-2</v>
      </c>
    </row>
    <row r="45" spans="1:5" x14ac:dyDescent="0.35">
      <c r="A45" s="498">
        <v>43922</v>
      </c>
      <c r="B45" s="497">
        <v>33717.620000000003</v>
      </c>
      <c r="C45" s="296">
        <f t="shared" si="0"/>
        <v>0.14419232203618182</v>
      </c>
      <c r="E45" s="165">
        <f t="shared" si="1"/>
        <v>4.5351274146376748E-2</v>
      </c>
    </row>
    <row r="46" spans="1:5" x14ac:dyDescent="0.35">
      <c r="A46" s="498">
        <v>43891</v>
      </c>
      <c r="B46" s="497">
        <v>29468.49</v>
      </c>
      <c r="C46" s="296">
        <f t="shared" si="0"/>
        <v>-0.23053328316442234</v>
      </c>
      <c r="E46" s="165">
        <f t="shared" si="1"/>
        <v>1.0582889732125735E-2</v>
      </c>
    </row>
    <row r="47" spans="1:5" x14ac:dyDescent="0.35">
      <c r="A47" s="498">
        <v>43862</v>
      </c>
      <c r="B47" s="497">
        <v>38297.29</v>
      </c>
      <c r="C47" s="296">
        <f t="shared" si="0"/>
        <v>-5.957740851778659E-2</v>
      </c>
      <c r="E47" s="165">
        <f t="shared" si="1"/>
        <v>5.4576188154313227E-2</v>
      </c>
    </row>
    <row r="48" spans="1:5" x14ac:dyDescent="0.35">
      <c r="A48" s="498">
        <v>43831</v>
      </c>
      <c r="B48" s="497">
        <v>40723.49</v>
      </c>
      <c r="C48" s="296">
        <f t="shared" si="0"/>
        <v>-1.285338008141812E-2</v>
      </c>
      <c r="E48" s="165">
        <f t="shared" si="1"/>
        <v>6.8914971059173241E-2</v>
      </c>
    </row>
    <row r="49" spans="1:5" x14ac:dyDescent="0.35">
      <c r="A49" s="498">
        <v>43800</v>
      </c>
      <c r="B49" s="497">
        <v>41253.74</v>
      </c>
      <c r="C49" s="296">
        <f t="shared" si="0"/>
        <v>1.127450463685542E-2</v>
      </c>
      <c r="E49" s="165">
        <f t="shared" si="1"/>
        <v>8.4496010212907521E-2</v>
      </c>
    </row>
    <row r="50" spans="1:5" x14ac:dyDescent="0.35">
      <c r="A50" s="498">
        <v>43770</v>
      </c>
      <c r="B50" s="497">
        <v>40793.81</v>
      </c>
      <c r="C50" s="296">
        <f t="shared" si="0"/>
        <v>1.6565555376965024E-2</v>
      </c>
      <c r="E50" s="165">
        <f t="shared" si="1"/>
        <v>7.2903507903743447E-2</v>
      </c>
    </row>
    <row r="51" spans="1:5" x14ac:dyDescent="0.35">
      <c r="A51" s="498">
        <v>43739</v>
      </c>
      <c r="B51" s="497">
        <v>40129.050000000003</v>
      </c>
      <c r="C51" s="296">
        <f t="shared" si="0"/>
        <v>3.7802454940643715E-2</v>
      </c>
      <c r="E51" s="165">
        <f t="shared" si="1"/>
        <v>7.5665845261907824E-2</v>
      </c>
    </row>
    <row r="52" spans="1:5" x14ac:dyDescent="0.35">
      <c r="A52" s="498">
        <v>43709</v>
      </c>
      <c r="B52" s="497">
        <v>38667.33</v>
      </c>
      <c r="C52" s="296">
        <f t="shared" si="0"/>
        <v>3.5747127391229094E-2</v>
      </c>
      <c r="E52" s="165">
        <f t="shared" si="1"/>
        <v>7.7439616762227687E-2</v>
      </c>
    </row>
    <row r="53" spans="1:5" x14ac:dyDescent="0.35">
      <c r="A53" s="498">
        <v>43678</v>
      </c>
      <c r="B53" s="497">
        <v>37332.79</v>
      </c>
      <c r="C53" s="296">
        <f t="shared" si="0"/>
        <v>-3.9574591154160066E-3</v>
      </c>
      <c r="E53" s="165">
        <f t="shared" si="1"/>
        <v>6.9836492819494916E-2</v>
      </c>
    </row>
    <row r="54" spans="1:5" x14ac:dyDescent="0.35">
      <c r="A54" s="498">
        <v>43647</v>
      </c>
      <c r="B54" s="497">
        <v>37481.120000000003</v>
      </c>
      <c r="C54" s="296">
        <f t="shared" si="0"/>
        <v>-4.8573105376771952E-2</v>
      </c>
      <c r="E54" s="165">
        <f t="shared" si="1"/>
        <v>7.6761278674424102E-2</v>
      </c>
    </row>
    <row r="55" spans="1:5" x14ac:dyDescent="0.35">
      <c r="A55" s="498">
        <v>43617</v>
      </c>
      <c r="B55" s="497">
        <v>39394.639999999999</v>
      </c>
      <c r="C55" s="296">
        <f t="shared" si="0"/>
        <v>-8.0464921866737482E-3</v>
      </c>
      <c r="E55" s="165">
        <f t="shared" si="1"/>
        <v>9.1625253493403475E-2</v>
      </c>
    </row>
    <row r="56" spans="1:5" x14ac:dyDescent="0.35">
      <c r="A56" s="498">
        <v>43586</v>
      </c>
      <c r="B56" s="497">
        <v>39714.199999999997</v>
      </c>
      <c r="C56" s="296">
        <f t="shared" si="0"/>
        <v>1.7489697437073293E-2</v>
      </c>
      <c r="E56" s="165">
        <f t="shared" si="1"/>
        <v>0.10398678775617284</v>
      </c>
    </row>
    <row r="57" spans="1:5" x14ac:dyDescent="0.35">
      <c r="A57" s="498">
        <v>43556</v>
      </c>
      <c r="B57" s="497">
        <v>39031.550000000003</v>
      </c>
      <c r="C57" s="296">
        <f t="shared" si="0"/>
        <v>9.2736750350568276E-3</v>
      </c>
      <c r="E57" s="165">
        <f t="shared" si="1"/>
        <v>0.11728652643379169</v>
      </c>
    </row>
    <row r="58" spans="1:5" x14ac:dyDescent="0.35">
      <c r="A58" s="498">
        <v>43525</v>
      </c>
      <c r="B58" s="497">
        <v>38672.910000000003</v>
      </c>
      <c r="C58" s="296">
        <f t="shared" si="0"/>
        <v>7.8217737312727076E-2</v>
      </c>
      <c r="E58" s="165">
        <f t="shared" si="1"/>
        <v>0.11553968037186554</v>
      </c>
    </row>
    <row r="59" spans="1:5" x14ac:dyDescent="0.35">
      <c r="A59" s="498">
        <v>43497</v>
      </c>
      <c r="B59" s="497">
        <v>35867.440000000002</v>
      </c>
      <c r="C59" s="296">
        <f t="shared" si="0"/>
        <v>-1.0735949696455971E-2</v>
      </c>
      <c r="E59" s="165">
        <f t="shared" si="1"/>
        <v>0.1117337746790542</v>
      </c>
    </row>
    <row r="60" spans="1:5" x14ac:dyDescent="0.35">
      <c r="A60" s="498">
        <v>43466</v>
      </c>
      <c r="B60" s="497">
        <v>36256.69</v>
      </c>
      <c r="C60" s="296">
        <f t="shared" si="0"/>
        <v>5.2223099877370949E-3</v>
      </c>
      <c r="E60" s="165">
        <f t="shared" si="1"/>
        <v>0.12064535551590891</v>
      </c>
    </row>
    <row r="61" spans="1:5" x14ac:dyDescent="0.35">
      <c r="A61" s="498">
        <v>43435</v>
      </c>
      <c r="B61" s="497">
        <v>36068.33</v>
      </c>
      <c r="C61" s="296">
        <f t="shared" si="0"/>
        <v>-3.4803822701364728E-3</v>
      </c>
      <c r="E61" s="165">
        <f t="shared" si="1"/>
        <v>0.11244422379272741</v>
      </c>
    </row>
    <row r="62" spans="1:5" x14ac:dyDescent="0.35">
      <c r="A62" s="498">
        <v>43405</v>
      </c>
      <c r="B62" s="497">
        <v>36194.300000000003</v>
      </c>
      <c r="C62" s="296">
        <f t="shared" si="0"/>
        <v>5.0875310848221833E-2</v>
      </c>
      <c r="E62" s="165">
        <f t="shared" si="1"/>
        <v>0.11724668692497707</v>
      </c>
    </row>
    <row r="63" spans="1:5" x14ac:dyDescent="0.35">
      <c r="A63" s="498">
        <v>43374</v>
      </c>
      <c r="B63" s="497">
        <v>34442.050000000003</v>
      </c>
      <c r="C63" s="296">
        <f t="shared" si="0"/>
        <v>-4.9274935863002023E-2</v>
      </c>
      <c r="E63" s="165">
        <f t="shared" si="1"/>
        <v>0.10229062539664288</v>
      </c>
    </row>
    <row r="64" spans="1:5" x14ac:dyDescent="0.35">
      <c r="A64" s="498">
        <v>43344</v>
      </c>
      <c r="B64" s="497">
        <v>36227.14</v>
      </c>
      <c r="C64" s="296">
        <f t="shared" si="0"/>
        <v>-6.2567618586277685E-2</v>
      </c>
      <c r="E64" s="165"/>
    </row>
    <row r="65" spans="1:5" x14ac:dyDescent="0.35">
      <c r="A65" s="498">
        <v>43313</v>
      </c>
      <c r="B65" s="497">
        <v>38645.07</v>
      </c>
      <c r="C65" s="296">
        <f t="shared" si="0"/>
        <v>2.7614582341707106E-2</v>
      </c>
      <c r="E65" s="165"/>
    </row>
    <row r="66" spans="1:5" x14ac:dyDescent="0.35">
      <c r="A66" s="498">
        <v>43282</v>
      </c>
      <c r="B66" s="497">
        <v>37606.58</v>
      </c>
      <c r="C66" s="296">
        <f t="shared" si="0"/>
        <v>6.1628614692853301E-2</v>
      </c>
      <c r="E66" s="165"/>
    </row>
    <row r="67" spans="1:5" x14ac:dyDescent="0.35">
      <c r="A67" s="498">
        <v>43252</v>
      </c>
      <c r="B67" s="497">
        <v>35423.480000000003</v>
      </c>
      <c r="C67" s="296">
        <f t="shared" si="0"/>
        <v>2.8622080392093352E-3</v>
      </c>
      <c r="E67" s="165"/>
    </row>
    <row r="68" spans="1:5" x14ac:dyDescent="0.35">
      <c r="A68" s="498">
        <v>43221</v>
      </c>
      <c r="B68" s="497">
        <v>35322.379999999997</v>
      </c>
      <c r="C68" s="296">
        <f t="shared" si="0"/>
        <v>4.6080301794406697E-3</v>
      </c>
      <c r="E68" s="165"/>
    </row>
    <row r="69" spans="1:5" x14ac:dyDescent="0.35">
      <c r="A69" s="498">
        <v>43191</v>
      </c>
      <c r="B69" s="497">
        <v>35160.36</v>
      </c>
      <c r="C69" s="296">
        <f t="shared" ref="C69:C122" si="2">B69/B70-1</f>
        <v>6.6477638777166614E-2</v>
      </c>
      <c r="E69" s="165"/>
    </row>
    <row r="70" spans="1:5" x14ac:dyDescent="0.35">
      <c r="A70" s="498">
        <v>43160</v>
      </c>
      <c r="B70" s="497">
        <v>32968.68</v>
      </c>
      <c r="C70" s="296">
        <f t="shared" si="2"/>
        <v>-3.5553433707660065E-2</v>
      </c>
      <c r="E70" s="165"/>
    </row>
    <row r="71" spans="1:5" x14ac:dyDescent="0.35">
      <c r="A71" s="498">
        <v>43132</v>
      </c>
      <c r="B71" s="497">
        <v>34184.04</v>
      </c>
      <c r="C71" s="296">
        <f t="shared" si="2"/>
        <v>-4.9519783389526673E-2</v>
      </c>
      <c r="E71" s="165"/>
    </row>
    <row r="72" spans="1:5" x14ac:dyDescent="0.35">
      <c r="A72" s="498">
        <v>43101</v>
      </c>
      <c r="B72" s="497">
        <v>35965.019999999997</v>
      </c>
      <c r="C72" s="296">
        <f t="shared" si="2"/>
        <v>5.6029583493237389E-2</v>
      </c>
      <c r="E72" s="165"/>
    </row>
    <row r="73" spans="1:5" x14ac:dyDescent="0.35">
      <c r="A73" s="498">
        <v>43070</v>
      </c>
      <c r="B73" s="497">
        <v>34056.83</v>
      </c>
      <c r="C73" s="296">
        <f t="shared" si="2"/>
        <v>2.7375499067100906E-2</v>
      </c>
      <c r="E73" s="165"/>
    </row>
    <row r="74" spans="1:5" x14ac:dyDescent="0.35">
      <c r="A74" s="498">
        <v>43040</v>
      </c>
      <c r="B74" s="497">
        <v>33149.35</v>
      </c>
      <c r="C74" s="296">
        <f t="shared" si="2"/>
        <v>-1.9203248835625297E-3</v>
      </c>
      <c r="E74" s="165"/>
    </row>
    <row r="75" spans="1:5" x14ac:dyDescent="0.35">
      <c r="A75" s="498">
        <v>43009</v>
      </c>
      <c r="B75" s="497">
        <v>33213.129999999997</v>
      </c>
      <c r="C75" s="296">
        <f t="shared" si="2"/>
        <v>6.1674570671262696E-2</v>
      </c>
      <c r="E75" s="165"/>
    </row>
    <row r="76" spans="1:5" x14ac:dyDescent="0.35">
      <c r="A76" s="498">
        <v>42979</v>
      </c>
      <c r="B76" s="497">
        <v>31283.72</v>
      </c>
      <c r="C76" s="296">
        <f t="shared" si="2"/>
        <v>-1.4080148147727956E-2</v>
      </c>
      <c r="E76" s="165"/>
    </row>
    <row r="77" spans="1:5" x14ac:dyDescent="0.35">
      <c r="A77" s="498">
        <v>42948</v>
      </c>
      <c r="B77" s="497">
        <v>31730.49</v>
      </c>
      <c r="C77" s="296">
        <f t="shared" si="2"/>
        <v>-2.4125832617252208E-2</v>
      </c>
      <c r="E77" s="165"/>
    </row>
    <row r="78" spans="1:5" x14ac:dyDescent="0.35">
      <c r="A78" s="498">
        <v>42917</v>
      </c>
      <c r="B78" s="497">
        <v>32514.94</v>
      </c>
      <c r="C78" s="296">
        <f t="shared" si="2"/>
        <v>5.1528041392411295E-2</v>
      </c>
      <c r="E78" s="165"/>
    </row>
    <row r="79" spans="1:5" x14ac:dyDescent="0.35">
      <c r="A79" s="498">
        <v>42887</v>
      </c>
      <c r="B79" s="497">
        <v>30921.61</v>
      </c>
      <c r="C79" s="296">
        <f t="shared" si="2"/>
        <v>-7.1980812822274309E-3</v>
      </c>
      <c r="E79" s="165"/>
    </row>
    <row r="80" spans="1:5" x14ac:dyDescent="0.35">
      <c r="A80" s="498">
        <v>42856</v>
      </c>
      <c r="B80" s="497">
        <v>31145.8</v>
      </c>
      <c r="C80" s="296">
        <f t="shared" si="2"/>
        <v>4.1024921118776314E-2</v>
      </c>
      <c r="E80" s="165"/>
    </row>
    <row r="81" spans="1:5" x14ac:dyDescent="0.35">
      <c r="A81" s="498">
        <v>42826</v>
      </c>
      <c r="B81" s="497">
        <v>29918.400000000001</v>
      </c>
      <c r="C81" s="296">
        <f t="shared" si="2"/>
        <v>1.0057223882108834E-2</v>
      </c>
      <c r="E81" s="165"/>
    </row>
    <row r="82" spans="1:5" x14ac:dyDescent="0.35">
      <c r="A82" s="498">
        <v>42795</v>
      </c>
      <c r="B82" s="497">
        <v>29620.5</v>
      </c>
      <c r="C82" s="296">
        <f t="shared" si="2"/>
        <v>3.0517699416768851E-2</v>
      </c>
      <c r="E82" s="165"/>
    </row>
    <row r="83" spans="1:5" x14ac:dyDescent="0.35">
      <c r="A83" s="498">
        <v>42767</v>
      </c>
      <c r="B83" s="497">
        <v>28743.32</v>
      </c>
      <c r="C83" s="296">
        <f t="shared" si="2"/>
        <v>3.931738402861451E-2</v>
      </c>
      <c r="E83" s="165"/>
    </row>
    <row r="84" spans="1:5" x14ac:dyDescent="0.35">
      <c r="A84" s="498">
        <v>42736</v>
      </c>
      <c r="B84" s="497">
        <v>27655.96</v>
      </c>
      <c r="C84" s="296">
        <f t="shared" si="2"/>
        <v>3.8664546469939998E-2</v>
      </c>
      <c r="E84" s="165"/>
    </row>
    <row r="85" spans="1:5" x14ac:dyDescent="0.35">
      <c r="A85" s="498">
        <v>42705</v>
      </c>
      <c r="B85" s="497">
        <v>26626.46</v>
      </c>
      <c r="C85" s="296">
        <f t="shared" si="2"/>
        <v>-9.8863872139565157E-4</v>
      </c>
      <c r="E85" s="165"/>
    </row>
    <row r="86" spans="1:5" x14ac:dyDescent="0.35">
      <c r="A86" s="498">
        <v>42675</v>
      </c>
      <c r="B86" s="497">
        <v>26652.81</v>
      </c>
      <c r="C86" s="296">
        <f t="shared" si="2"/>
        <v>-4.5735424116037704E-2</v>
      </c>
      <c r="E86" s="165"/>
    </row>
    <row r="87" spans="1:5" x14ac:dyDescent="0.35">
      <c r="A87" s="498">
        <v>42644</v>
      </c>
      <c r="B87" s="497">
        <v>27930.21</v>
      </c>
      <c r="C87" s="296">
        <f t="shared" si="2"/>
        <v>2.3056804789787222E-3</v>
      </c>
      <c r="E87" s="165"/>
    </row>
    <row r="88" spans="1:5" x14ac:dyDescent="0.35">
      <c r="A88" s="498">
        <v>42614</v>
      </c>
      <c r="B88" s="497">
        <v>27865.96</v>
      </c>
      <c r="C88" s="296">
        <f t="shared" si="2"/>
        <v>-2.0603349410607263E-2</v>
      </c>
      <c r="E88" s="165"/>
    </row>
    <row r="89" spans="1:5" x14ac:dyDescent="0.35">
      <c r="A89" s="498">
        <v>42583</v>
      </c>
      <c r="B89" s="497">
        <v>28452.17</v>
      </c>
      <c r="C89" s="296">
        <f t="shared" si="2"/>
        <v>1.4270354978243693E-2</v>
      </c>
      <c r="E89" s="165"/>
    </row>
    <row r="90" spans="1:5" x14ac:dyDescent="0.35">
      <c r="A90" s="498">
        <v>42552</v>
      </c>
      <c r="B90" s="497">
        <v>28051.86</v>
      </c>
      <c r="C90" s="296">
        <f t="shared" si="2"/>
        <v>3.8968552266468004E-2</v>
      </c>
      <c r="E90" s="165"/>
    </row>
    <row r="91" spans="1:5" x14ac:dyDescent="0.35">
      <c r="A91" s="498">
        <v>42522</v>
      </c>
      <c r="B91" s="497">
        <v>26999.72</v>
      </c>
      <c r="C91" s="296">
        <f t="shared" si="2"/>
        <v>1.2440396640762907E-2</v>
      </c>
      <c r="E91" s="165"/>
    </row>
    <row r="92" spans="1:5" x14ac:dyDescent="0.35">
      <c r="A92" s="498">
        <v>42491</v>
      </c>
      <c r="B92" s="497">
        <v>26667.96</v>
      </c>
      <c r="C92" s="296">
        <f t="shared" si="2"/>
        <v>4.1447875588422001E-2</v>
      </c>
      <c r="E92" s="165"/>
    </row>
    <row r="93" spans="1:5" x14ac:dyDescent="0.35">
      <c r="A93" s="498">
        <v>42461</v>
      </c>
      <c r="B93" s="497">
        <v>25606.62</v>
      </c>
      <c r="C93" s="296">
        <f t="shared" si="2"/>
        <v>1.0447536210838493E-2</v>
      </c>
      <c r="E93" s="165"/>
    </row>
    <row r="94" spans="1:5" x14ac:dyDescent="0.35">
      <c r="A94" s="498">
        <v>42430</v>
      </c>
      <c r="B94" s="497">
        <v>25341.86</v>
      </c>
      <c r="C94" s="296">
        <f t="shared" si="2"/>
        <v>0.1017241978958352</v>
      </c>
      <c r="E94" s="165"/>
    </row>
    <row r="95" spans="1:5" x14ac:dyDescent="0.35">
      <c r="A95" s="498">
        <v>42401</v>
      </c>
      <c r="B95" s="497">
        <v>23002</v>
      </c>
      <c r="C95" s="296">
        <f t="shared" si="2"/>
        <v>-7.5136234660156176E-2</v>
      </c>
      <c r="E95" s="165"/>
    </row>
    <row r="96" spans="1:5" x14ac:dyDescent="0.35">
      <c r="A96" s="498">
        <v>42370</v>
      </c>
      <c r="B96" s="497">
        <v>24870.69</v>
      </c>
      <c r="C96" s="296">
        <f t="shared" si="2"/>
        <v>-4.7739947943029937E-2</v>
      </c>
      <c r="E96" s="165"/>
    </row>
    <row r="97" spans="1:5" x14ac:dyDescent="0.35">
      <c r="A97" s="498">
        <v>42339</v>
      </c>
      <c r="B97" s="497">
        <v>26117.54</v>
      </c>
      <c r="C97" s="296">
        <f t="shared" si="2"/>
        <v>-1.0758951673449646E-3</v>
      </c>
      <c r="E97" s="165"/>
    </row>
    <row r="98" spans="1:5" x14ac:dyDescent="0.35">
      <c r="A98" s="498">
        <v>42309</v>
      </c>
      <c r="B98" s="497">
        <v>26145.67</v>
      </c>
      <c r="C98" s="296">
        <f t="shared" si="2"/>
        <v>-1.9175573389634271E-2</v>
      </c>
      <c r="E98" s="165"/>
    </row>
    <row r="99" spans="1:5" x14ac:dyDescent="0.35">
      <c r="A99" s="498">
        <v>42278</v>
      </c>
      <c r="B99" s="497">
        <v>26656.83</v>
      </c>
      <c r="C99" s="296">
        <f t="shared" si="2"/>
        <v>1.9193395636675881E-2</v>
      </c>
      <c r="E99" s="165"/>
    </row>
    <row r="100" spans="1:5" x14ac:dyDescent="0.35">
      <c r="A100" s="498">
        <v>42248</v>
      </c>
      <c r="B100" s="497">
        <v>26154.83</v>
      </c>
      <c r="C100" s="296">
        <f t="shared" si="2"/>
        <v>-4.8799437204680718E-3</v>
      </c>
      <c r="E100" s="165"/>
    </row>
    <row r="101" spans="1:5" x14ac:dyDescent="0.35">
      <c r="A101" s="498">
        <v>42217</v>
      </c>
      <c r="B101" s="497">
        <v>26283.09</v>
      </c>
      <c r="C101" s="296">
        <f t="shared" si="2"/>
        <v>-6.5143114457419937E-2</v>
      </c>
      <c r="E101" s="165"/>
    </row>
    <row r="102" spans="1:5" x14ac:dyDescent="0.35">
      <c r="A102" s="498">
        <v>42186</v>
      </c>
      <c r="B102" s="497">
        <v>28114.560000000001</v>
      </c>
      <c r="C102" s="296">
        <f t="shared" si="2"/>
        <v>1.2012960015953533E-2</v>
      </c>
      <c r="E102" s="165"/>
    </row>
    <row r="103" spans="1:5" x14ac:dyDescent="0.35">
      <c r="A103" s="498">
        <v>42156</v>
      </c>
      <c r="B103" s="497">
        <v>27780.83</v>
      </c>
      <c r="C103" s="296">
        <f t="shared" si="2"/>
        <v>-1.7108397021176058E-3</v>
      </c>
      <c r="E103" s="165"/>
    </row>
    <row r="104" spans="1:5" x14ac:dyDescent="0.35">
      <c r="A104" s="498">
        <v>42125</v>
      </c>
      <c r="B104" s="497">
        <v>27828.44</v>
      </c>
      <c r="C104" s="296">
        <f t="shared" si="2"/>
        <v>3.0251402097861924E-2</v>
      </c>
      <c r="E104" s="165"/>
    </row>
    <row r="105" spans="1:5" x14ac:dyDescent="0.35">
      <c r="A105" s="498">
        <v>42095</v>
      </c>
      <c r="B105" s="497">
        <v>27011.31</v>
      </c>
      <c r="C105" s="296">
        <f t="shared" si="2"/>
        <v>-3.3843524579638573E-2</v>
      </c>
      <c r="E105" s="165"/>
    </row>
    <row r="106" spans="1:5" x14ac:dyDescent="0.35">
      <c r="A106" s="498">
        <v>42064</v>
      </c>
      <c r="B106" s="497">
        <v>27957.49</v>
      </c>
      <c r="C106" s="296">
        <f t="shared" si="2"/>
        <v>-4.7818061066362327E-2</v>
      </c>
      <c r="E106" s="165"/>
    </row>
    <row r="107" spans="1:5" x14ac:dyDescent="0.35">
      <c r="A107" s="498">
        <v>42036</v>
      </c>
      <c r="B107" s="497">
        <v>29361.5</v>
      </c>
      <c r="C107" s="296">
        <f t="shared" si="2"/>
        <v>6.1182985270509249E-3</v>
      </c>
      <c r="E107" s="165"/>
    </row>
    <row r="108" spans="1:5" x14ac:dyDescent="0.35">
      <c r="A108" s="498">
        <v>42005</v>
      </c>
      <c r="B108" s="497">
        <v>29182.95</v>
      </c>
      <c r="C108" s="296">
        <f t="shared" si="2"/>
        <v>6.1220563924621052E-2</v>
      </c>
      <c r="E108" s="165"/>
    </row>
    <row r="109" spans="1:5" x14ac:dyDescent="0.35">
      <c r="A109" s="498">
        <v>41974</v>
      </c>
      <c r="B109" s="497">
        <v>27499.42</v>
      </c>
      <c r="C109" s="296">
        <f t="shared" si="2"/>
        <v>-4.163136601079187E-2</v>
      </c>
      <c r="E109" s="165"/>
    </row>
    <row r="110" spans="1:5" x14ac:dyDescent="0.35">
      <c r="A110" s="498">
        <v>41944</v>
      </c>
      <c r="B110" s="497">
        <v>28693.99</v>
      </c>
      <c r="C110" s="296">
        <f t="shared" si="2"/>
        <v>2.9719552584652975E-2</v>
      </c>
      <c r="E110" s="165"/>
    </row>
    <row r="111" spans="1:5" x14ac:dyDescent="0.35">
      <c r="A111" s="498">
        <v>41913</v>
      </c>
      <c r="B111" s="497">
        <v>27865.83</v>
      </c>
      <c r="C111" s="296">
        <f t="shared" si="2"/>
        <v>4.6387395509887019E-2</v>
      </c>
      <c r="E111" s="165"/>
    </row>
    <row r="112" spans="1:5" x14ac:dyDescent="0.35">
      <c r="A112" s="498">
        <v>41883</v>
      </c>
      <c r="B112" s="497">
        <v>26630.51</v>
      </c>
      <c r="C112" s="296">
        <f t="shared" si="2"/>
        <v>-2.8530552655581243E-4</v>
      </c>
      <c r="E112" s="165"/>
    </row>
    <row r="113" spans="1:5" x14ac:dyDescent="0.35">
      <c r="A113" s="498">
        <v>41852</v>
      </c>
      <c r="B113" s="497">
        <v>26638.11</v>
      </c>
      <c r="C113" s="296">
        <f t="shared" si="2"/>
        <v>2.8698237534162008E-2</v>
      </c>
      <c r="E113" s="165"/>
    </row>
    <row r="114" spans="1:5" x14ac:dyDescent="0.35">
      <c r="A114" s="498">
        <v>41821</v>
      </c>
      <c r="B114" s="497">
        <v>25894.97</v>
      </c>
      <c r="C114" s="296">
        <f t="shared" si="2"/>
        <v>1.8934216004073523E-2</v>
      </c>
      <c r="E114" s="165"/>
    </row>
    <row r="115" spans="1:5" x14ac:dyDescent="0.35">
      <c r="A115" s="498">
        <v>41791</v>
      </c>
      <c r="B115" s="497">
        <v>25413.78</v>
      </c>
      <c r="C115" s="296">
        <f t="shared" si="2"/>
        <v>4.9404269833102976E-2</v>
      </c>
      <c r="E115" s="165"/>
    </row>
    <row r="116" spans="1:5" x14ac:dyDescent="0.35">
      <c r="A116" s="498">
        <v>41760</v>
      </c>
      <c r="B116" s="497">
        <v>24217.34</v>
      </c>
      <c r="C116" s="296">
        <f t="shared" si="2"/>
        <v>8.0272818920679168E-2</v>
      </c>
      <c r="E116" s="165"/>
    </row>
    <row r="117" spans="1:5" x14ac:dyDescent="0.35">
      <c r="A117" s="498">
        <v>41730</v>
      </c>
      <c r="B117" s="497">
        <v>22417.8</v>
      </c>
      <c r="C117" s="296">
        <f t="shared" si="2"/>
        <v>1.4084525917001933E-3</v>
      </c>
      <c r="E117" s="165"/>
    </row>
    <row r="118" spans="1:5" x14ac:dyDescent="0.35">
      <c r="A118" s="498">
        <v>41699</v>
      </c>
      <c r="B118" s="497">
        <v>22386.27</v>
      </c>
      <c r="C118" s="296">
        <f t="shared" si="2"/>
        <v>5.9949943466230282E-2</v>
      </c>
      <c r="E118" s="165"/>
    </row>
    <row r="119" spans="1:5" x14ac:dyDescent="0.35">
      <c r="A119" s="498">
        <v>41671</v>
      </c>
      <c r="B119" s="497">
        <v>21120.12</v>
      </c>
      <c r="C119" s="296">
        <f t="shared" si="2"/>
        <v>2.9554179249628998E-2</v>
      </c>
      <c r="E119" s="165"/>
    </row>
    <row r="120" spans="1:5" x14ac:dyDescent="0.35">
      <c r="A120" s="498">
        <v>41640</v>
      </c>
      <c r="B120" s="497">
        <v>20513.849999999999</v>
      </c>
      <c r="C120" s="296">
        <f t="shared" si="2"/>
        <v>-3.1025455960791093E-2</v>
      </c>
      <c r="E120" s="165"/>
    </row>
    <row r="121" spans="1:5" x14ac:dyDescent="0.35">
      <c r="A121" s="498">
        <v>41609</v>
      </c>
      <c r="B121" s="497">
        <v>21170.68</v>
      </c>
      <c r="C121" s="296">
        <f t="shared" si="2"/>
        <v>1.8216202151507765E-2</v>
      </c>
      <c r="E121" s="165"/>
    </row>
    <row r="122" spans="1:5" x14ac:dyDescent="0.35">
      <c r="A122" s="498">
        <v>41579</v>
      </c>
      <c r="B122" s="497">
        <v>20791.93</v>
      </c>
      <c r="C122" s="296">
        <f t="shared" si="2"/>
        <v>-1.7604462562817447E-2</v>
      </c>
      <c r="E122" s="165"/>
    </row>
    <row r="123" spans="1:5" x14ac:dyDescent="0.35">
      <c r="A123" s="498">
        <v>41548</v>
      </c>
      <c r="B123" s="497">
        <v>21164.52</v>
      </c>
      <c r="C123" s="296"/>
    </row>
    <row r="124" spans="1:5" x14ac:dyDescent="0.35">
      <c r="A124" s="499" t="s">
        <v>301</v>
      </c>
      <c r="B124" s="212"/>
      <c r="C124" s="165">
        <f>AVERAGE(C4:C122)</f>
        <v>1.0930186353998726E-2</v>
      </c>
    </row>
    <row r="125" spans="1:5" x14ac:dyDescent="0.35">
      <c r="A125" s="499"/>
      <c r="B125" s="212"/>
    </row>
    <row r="126" spans="1:5" x14ac:dyDescent="0.35">
      <c r="A126" s="500" t="s">
        <v>302</v>
      </c>
      <c r="B126" s="212"/>
      <c r="C126" s="296">
        <f>C124*12</f>
        <v>0.1311622362479847</v>
      </c>
    </row>
    <row r="127" spans="1:5" x14ac:dyDescent="0.35">
      <c r="A127" s="499"/>
      <c r="B127" s="212"/>
    </row>
    <row r="128" spans="1:5" x14ac:dyDescent="0.35">
      <c r="A128" s="501" t="s">
        <v>303</v>
      </c>
      <c r="B128" s="299"/>
      <c r="C128" s="299"/>
      <c r="D128" s="299"/>
      <c r="E128" s="300">
        <f>AVERAGE(E4:E63)</f>
        <v>0.11205417019636423</v>
      </c>
    </row>
    <row r="129" spans="1:2" x14ac:dyDescent="0.35">
      <c r="A129" s="499"/>
      <c r="B129" s="212"/>
    </row>
    <row r="130" spans="1:2" x14ac:dyDescent="0.35">
      <c r="A130" s="500"/>
      <c r="B130" s="212"/>
    </row>
    <row r="131" spans="1:2" x14ac:dyDescent="0.35">
      <c r="A131" s="499"/>
      <c r="B131" s="212"/>
    </row>
    <row r="132" spans="1:2" x14ac:dyDescent="0.35">
      <c r="A132" s="500"/>
      <c r="B132" s="212"/>
    </row>
    <row r="133" spans="1:2" x14ac:dyDescent="0.35">
      <c r="A133" s="499"/>
      <c r="B133" s="212"/>
    </row>
    <row r="134" spans="1:2" x14ac:dyDescent="0.35">
      <c r="A134" s="500"/>
      <c r="B134" s="212"/>
    </row>
    <row r="135" spans="1:2" x14ac:dyDescent="0.35">
      <c r="A135" s="500"/>
      <c r="B135" s="212"/>
    </row>
    <row r="136" spans="1:2" x14ac:dyDescent="0.35">
      <c r="A136" s="499"/>
    </row>
    <row r="137" spans="1:2" x14ac:dyDescent="0.35">
      <c r="A137" s="500"/>
    </row>
    <row r="138" spans="1:2" x14ac:dyDescent="0.35">
      <c r="A138" s="499"/>
    </row>
    <row r="139" spans="1:2" x14ac:dyDescent="0.35">
      <c r="A139" s="500"/>
    </row>
    <row r="140" spans="1:2" x14ac:dyDescent="0.35">
      <c r="A140" s="502"/>
    </row>
    <row r="141" spans="1:2" x14ac:dyDescent="0.35">
      <c r="A141" s="502"/>
    </row>
    <row r="142" spans="1:2" x14ac:dyDescent="0.35">
      <c r="A142" s="502"/>
    </row>
    <row r="143" spans="1:2" x14ac:dyDescent="0.35">
      <c r="A143" s="502"/>
    </row>
    <row r="144" spans="1:2" x14ac:dyDescent="0.35">
      <c r="A144" s="502"/>
    </row>
    <row r="145" spans="1:1" x14ac:dyDescent="0.35">
      <c r="A145" s="502"/>
    </row>
    <row r="146" spans="1:1" x14ac:dyDescent="0.35">
      <c r="A146" s="502"/>
    </row>
    <row r="147" spans="1:1" x14ac:dyDescent="0.35">
      <c r="A147" s="502"/>
    </row>
    <row r="148" spans="1:1" x14ac:dyDescent="0.35">
      <c r="A148" s="502"/>
    </row>
    <row r="149" spans="1:1" x14ac:dyDescent="0.35">
      <c r="A149" s="502"/>
    </row>
    <row r="150" spans="1:1" x14ac:dyDescent="0.35">
      <c r="A150" s="502"/>
    </row>
    <row r="151" spans="1:1" x14ac:dyDescent="0.35">
      <c r="A151" s="502"/>
    </row>
    <row r="152" spans="1:1" x14ac:dyDescent="0.35">
      <c r="A152" s="502"/>
    </row>
    <row r="153" spans="1:1" x14ac:dyDescent="0.35">
      <c r="A153" s="502"/>
    </row>
    <row r="154" spans="1:1" x14ac:dyDescent="0.35">
      <c r="A154" s="502"/>
    </row>
    <row r="155" spans="1:1" x14ac:dyDescent="0.35">
      <c r="A155" s="502"/>
    </row>
    <row r="156" spans="1:1" x14ac:dyDescent="0.35">
      <c r="A156" s="502"/>
    </row>
    <row r="157" spans="1:1" x14ac:dyDescent="0.35">
      <c r="A157" s="502"/>
    </row>
    <row r="158" spans="1:1" x14ac:dyDescent="0.35">
      <c r="A158" s="502"/>
    </row>
    <row r="159" spans="1:1" x14ac:dyDescent="0.35">
      <c r="A159" s="502"/>
    </row>
    <row r="160" spans="1:1" x14ac:dyDescent="0.35">
      <c r="A160" s="502"/>
    </row>
    <row r="161" spans="1:1" x14ac:dyDescent="0.35">
      <c r="A161" s="502"/>
    </row>
    <row r="162" spans="1:1" x14ac:dyDescent="0.35">
      <c r="A162" s="502"/>
    </row>
    <row r="163" spans="1:1" x14ac:dyDescent="0.35">
      <c r="A163" s="502"/>
    </row>
    <row r="164" spans="1:1" x14ac:dyDescent="0.35">
      <c r="A164" s="502"/>
    </row>
    <row r="165" spans="1:1" x14ac:dyDescent="0.35">
      <c r="A165" s="502"/>
    </row>
    <row r="166" spans="1:1" x14ac:dyDescent="0.35">
      <c r="A166" s="502"/>
    </row>
    <row r="167" spans="1:1" x14ac:dyDescent="0.35">
      <c r="A167" s="502"/>
    </row>
    <row r="168" spans="1:1" x14ac:dyDescent="0.35">
      <c r="A168" s="502"/>
    </row>
    <row r="169" spans="1:1" x14ac:dyDescent="0.35">
      <c r="A169" s="502"/>
    </row>
    <row r="170" spans="1:1" x14ac:dyDescent="0.35">
      <c r="A170" s="502"/>
    </row>
    <row r="171" spans="1:1" x14ac:dyDescent="0.35">
      <c r="A171" s="502"/>
    </row>
    <row r="172" spans="1:1" x14ac:dyDescent="0.35">
      <c r="A172" s="502"/>
    </row>
    <row r="173" spans="1:1" x14ac:dyDescent="0.35">
      <c r="A173" s="502"/>
    </row>
    <row r="174" spans="1:1" x14ac:dyDescent="0.35">
      <c r="A174" s="502"/>
    </row>
    <row r="175" spans="1:1" x14ac:dyDescent="0.35">
      <c r="A175" s="502"/>
    </row>
    <row r="176" spans="1:1" x14ac:dyDescent="0.35">
      <c r="A176" s="502"/>
    </row>
    <row r="177" spans="1:1" x14ac:dyDescent="0.35">
      <c r="A177" s="502"/>
    </row>
    <row r="178" spans="1:1" x14ac:dyDescent="0.35">
      <c r="A178" s="502"/>
    </row>
    <row r="179" spans="1:1" x14ac:dyDescent="0.35">
      <c r="A179" s="502"/>
    </row>
    <row r="180" spans="1:1" x14ac:dyDescent="0.35">
      <c r="A180" s="502"/>
    </row>
    <row r="181" spans="1:1" x14ac:dyDescent="0.35">
      <c r="A181" s="502"/>
    </row>
    <row r="182" spans="1:1" x14ac:dyDescent="0.35">
      <c r="A182" s="502"/>
    </row>
    <row r="183" spans="1:1" x14ac:dyDescent="0.35">
      <c r="A183" s="502"/>
    </row>
    <row r="184" spans="1:1" x14ac:dyDescent="0.35">
      <c r="A184" s="502"/>
    </row>
  </sheetData>
  <hyperlinks>
    <hyperlink ref="F1" r:id="rId1" xr:uid="{7E5F4D35-0E5F-445B-8AEB-ED59D4B225E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418F-C29D-4709-9899-5B137FBC2518}">
  <sheetPr>
    <tabColor rgb="FFFF0000"/>
  </sheetPr>
  <dimension ref="A2:P253"/>
  <sheetViews>
    <sheetView workbookViewId="0">
      <selection activeCell="N12" sqref="N12"/>
    </sheetView>
  </sheetViews>
  <sheetFormatPr defaultRowHeight="14.5" x14ac:dyDescent="0.35"/>
  <cols>
    <col min="1" max="1" width="9.453125" bestFit="1" customWidth="1"/>
    <col min="5" max="5" width="28.7265625" customWidth="1"/>
    <col min="9" max="9" width="17.453125" bestFit="1" customWidth="1"/>
  </cols>
  <sheetData>
    <row r="2" spans="1:16" x14ac:dyDescent="0.35">
      <c r="A2" s="503" t="s">
        <v>514</v>
      </c>
      <c r="B2" s="503"/>
      <c r="C2" s="503"/>
      <c r="D2" s="503"/>
      <c r="E2" s="503" t="s">
        <v>655</v>
      </c>
      <c r="F2" s="503"/>
      <c r="G2" s="503"/>
      <c r="H2" s="503"/>
      <c r="I2" s="503"/>
      <c r="J2" s="503"/>
      <c r="K2" s="503"/>
      <c r="L2" s="503"/>
      <c r="M2" s="503"/>
      <c r="N2" s="503"/>
      <c r="O2" s="503"/>
      <c r="P2" s="503"/>
    </row>
    <row r="5" spans="1:16" x14ac:dyDescent="0.35">
      <c r="A5" s="512" t="s">
        <v>297</v>
      </c>
      <c r="B5" t="s">
        <v>643</v>
      </c>
      <c r="C5" t="s">
        <v>644</v>
      </c>
      <c r="D5" t="s">
        <v>645</v>
      </c>
      <c r="E5" s="489" t="s">
        <v>646</v>
      </c>
      <c r="F5" t="s">
        <v>647</v>
      </c>
      <c r="G5" t="s">
        <v>648</v>
      </c>
      <c r="H5" t="s">
        <v>649</v>
      </c>
      <c r="I5" t="s">
        <v>650</v>
      </c>
      <c r="J5" t="s">
        <v>651</v>
      </c>
      <c r="K5" t="s">
        <v>652</v>
      </c>
      <c r="L5" t="s">
        <v>653</v>
      </c>
      <c r="M5" t="s">
        <v>654</v>
      </c>
    </row>
    <row r="6" spans="1:16" x14ac:dyDescent="0.35">
      <c r="A6" s="513">
        <v>45183</v>
      </c>
      <c r="B6">
        <v>1545</v>
      </c>
      <c r="C6">
        <v>1576.2</v>
      </c>
      <c r="D6">
        <v>1539.2</v>
      </c>
      <c r="E6" s="489">
        <v>1566.05</v>
      </c>
      <c r="F6">
        <v>1554.773872</v>
      </c>
      <c r="G6">
        <v>29218</v>
      </c>
      <c r="H6">
        <v>2428</v>
      </c>
      <c r="I6">
        <v>45427383</v>
      </c>
      <c r="J6">
        <v>10590</v>
      </c>
      <c r="K6">
        <v>36.24</v>
      </c>
      <c r="L6">
        <v>37</v>
      </c>
      <c r="M6">
        <v>21.05</v>
      </c>
    </row>
    <row r="7" spans="1:16" x14ac:dyDescent="0.35">
      <c r="A7" s="513">
        <v>45182</v>
      </c>
      <c r="B7">
        <v>1558.05</v>
      </c>
      <c r="C7">
        <v>1568</v>
      </c>
      <c r="D7">
        <v>1531</v>
      </c>
      <c r="E7" s="489">
        <v>1536.8</v>
      </c>
      <c r="F7">
        <v>1545.38275</v>
      </c>
      <c r="G7">
        <v>30563</v>
      </c>
      <c r="H7">
        <v>2415</v>
      </c>
      <c r="I7">
        <v>47231533</v>
      </c>
      <c r="J7">
        <v>13064</v>
      </c>
      <c r="K7">
        <v>42.74</v>
      </c>
      <c r="L7">
        <v>37</v>
      </c>
      <c r="M7">
        <v>-21.25</v>
      </c>
    </row>
    <row r="8" spans="1:16" x14ac:dyDescent="0.35">
      <c r="A8" s="513">
        <v>45181</v>
      </c>
      <c r="B8">
        <v>1581.5</v>
      </c>
      <c r="C8">
        <v>1589.7</v>
      </c>
      <c r="D8">
        <v>1513</v>
      </c>
      <c r="E8" s="489">
        <v>1557.6</v>
      </c>
      <c r="F8">
        <v>1547.7728910000001</v>
      </c>
      <c r="G8">
        <v>133394</v>
      </c>
      <c r="H8">
        <v>9118</v>
      </c>
      <c r="I8">
        <v>206463617</v>
      </c>
      <c r="J8">
        <v>41770</v>
      </c>
      <c r="K8">
        <v>31.31</v>
      </c>
      <c r="L8">
        <v>76.7</v>
      </c>
      <c r="M8">
        <v>-23.9</v>
      </c>
    </row>
    <row r="9" spans="1:16" x14ac:dyDescent="0.35">
      <c r="A9" s="513">
        <v>45180</v>
      </c>
      <c r="B9">
        <v>1566.8</v>
      </c>
      <c r="C9">
        <v>1588.95</v>
      </c>
      <c r="D9">
        <v>1564</v>
      </c>
      <c r="E9" s="489">
        <v>1582.1</v>
      </c>
      <c r="F9">
        <v>1578.5700449999999</v>
      </c>
      <c r="G9">
        <v>54836</v>
      </c>
      <c r="H9">
        <v>4896</v>
      </c>
      <c r="I9">
        <v>86562467</v>
      </c>
      <c r="J9">
        <v>36094</v>
      </c>
      <c r="K9">
        <v>65.819999999999993</v>
      </c>
      <c r="L9">
        <v>24.95</v>
      </c>
      <c r="M9">
        <v>15.3</v>
      </c>
    </row>
    <row r="10" spans="1:16" x14ac:dyDescent="0.35">
      <c r="A10" s="513">
        <v>45177</v>
      </c>
      <c r="B10">
        <v>1567.95</v>
      </c>
      <c r="C10">
        <v>1577.5</v>
      </c>
      <c r="D10">
        <v>1561</v>
      </c>
      <c r="E10" s="489">
        <v>1567.7</v>
      </c>
      <c r="F10">
        <v>1568.4941759999999</v>
      </c>
      <c r="G10">
        <v>168436</v>
      </c>
      <c r="H10">
        <v>9953</v>
      </c>
      <c r="I10">
        <v>264190885</v>
      </c>
      <c r="J10">
        <v>27448</v>
      </c>
      <c r="K10">
        <v>16.3</v>
      </c>
      <c r="L10">
        <v>16.5</v>
      </c>
      <c r="M10">
        <v>-0.25</v>
      </c>
    </row>
    <row r="11" spans="1:16" x14ac:dyDescent="0.35">
      <c r="A11" s="513">
        <v>45176</v>
      </c>
      <c r="B11">
        <v>1572.1</v>
      </c>
      <c r="C11">
        <v>1577</v>
      </c>
      <c r="D11">
        <v>1560.5</v>
      </c>
      <c r="E11" s="489">
        <v>1566.05</v>
      </c>
      <c r="F11">
        <v>1565.914984</v>
      </c>
      <c r="G11">
        <v>34523</v>
      </c>
      <c r="H11">
        <v>3307</v>
      </c>
      <c r="I11">
        <v>54060083</v>
      </c>
      <c r="J11">
        <v>16108</v>
      </c>
      <c r="K11">
        <v>46.66</v>
      </c>
      <c r="L11">
        <v>16.5</v>
      </c>
      <c r="M11">
        <v>-6.05</v>
      </c>
    </row>
    <row r="12" spans="1:16" x14ac:dyDescent="0.35">
      <c r="A12" s="513">
        <v>45175</v>
      </c>
      <c r="B12">
        <v>1573.8</v>
      </c>
      <c r="C12">
        <v>1580.8</v>
      </c>
      <c r="D12">
        <v>1560</v>
      </c>
      <c r="E12" s="489">
        <v>1577.75</v>
      </c>
      <c r="F12">
        <v>1571.001962</v>
      </c>
      <c r="G12">
        <v>23446</v>
      </c>
      <c r="H12">
        <v>1710</v>
      </c>
      <c r="I12">
        <v>36833712</v>
      </c>
      <c r="J12">
        <v>11407</v>
      </c>
      <c r="K12">
        <v>48.65</v>
      </c>
      <c r="L12">
        <v>20.8</v>
      </c>
      <c r="M12">
        <v>3.95</v>
      </c>
    </row>
    <row r="13" spans="1:16" x14ac:dyDescent="0.35">
      <c r="A13" s="513">
        <v>45174</v>
      </c>
      <c r="B13">
        <v>1578.4</v>
      </c>
      <c r="C13">
        <v>1583.9</v>
      </c>
      <c r="D13">
        <v>1565.9</v>
      </c>
      <c r="E13" s="489">
        <v>1570.5</v>
      </c>
      <c r="F13">
        <v>1572.581991</v>
      </c>
      <c r="G13">
        <v>26887</v>
      </c>
      <c r="H13">
        <v>1344</v>
      </c>
      <c r="I13">
        <v>42282012</v>
      </c>
      <c r="J13">
        <v>13152</v>
      </c>
      <c r="K13">
        <v>48.92</v>
      </c>
      <c r="L13">
        <v>18</v>
      </c>
      <c r="M13">
        <v>-7.9</v>
      </c>
    </row>
    <row r="14" spans="1:16" x14ac:dyDescent="0.35">
      <c r="A14" s="513">
        <v>45173</v>
      </c>
      <c r="B14">
        <v>1600</v>
      </c>
      <c r="C14">
        <v>1604</v>
      </c>
      <c r="D14">
        <v>1564.1</v>
      </c>
      <c r="E14" s="489">
        <v>1576.05</v>
      </c>
      <c r="F14">
        <v>1579.2532619999999</v>
      </c>
      <c r="G14">
        <v>33870</v>
      </c>
      <c r="H14">
        <v>2492</v>
      </c>
      <c r="I14">
        <v>53489308</v>
      </c>
      <c r="J14">
        <v>15710</v>
      </c>
      <c r="K14">
        <v>46.38</v>
      </c>
      <c r="L14">
        <v>39.9</v>
      </c>
      <c r="M14">
        <v>-23.95</v>
      </c>
    </row>
    <row r="15" spans="1:16" x14ac:dyDescent="0.35">
      <c r="A15" s="513">
        <v>45170</v>
      </c>
      <c r="B15">
        <v>1578.95</v>
      </c>
      <c r="C15">
        <v>1604.55</v>
      </c>
      <c r="D15">
        <v>1576</v>
      </c>
      <c r="E15" s="489">
        <v>1591.5</v>
      </c>
      <c r="F15">
        <v>1595.0978500000001</v>
      </c>
      <c r="G15">
        <v>83332</v>
      </c>
      <c r="H15">
        <v>6225</v>
      </c>
      <c r="I15">
        <v>132922694</v>
      </c>
      <c r="J15">
        <v>40722</v>
      </c>
      <c r="K15">
        <v>48.87</v>
      </c>
      <c r="L15">
        <v>28.55</v>
      </c>
      <c r="M15">
        <v>12.55</v>
      </c>
    </row>
    <row r="16" spans="1:16" x14ac:dyDescent="0.35">
      <c r="A16" s="513">
        <v>45169</v>
      </c>
      <c r="B16">
        <v>1589</v>
      </c>
      <c r="C16">
        <v>1589.75</v>
      </c>
      <c r="D16">
        <v>1567.1</v>
      </c>
      <c r="E16" s="489">
        <v>1576.1</v>
      </c>
      <c r="F16">
        <v>1580.772995</v>
      </c>
      <c r="G16">
        <v>51858</v>
      </c>
      <c r="H16">
        <v>4102</v>
      </c>
      <c r="I16">
        <v>81975726</v>
      </c>
      <c r="J16">
        <v>28319</v>
      </c>
      <c r="K16">
        <v>54.61</v>
      </c>
      <c r="L16">
        <v>22.65</v>
      </c>
      <c r="M16">
        <v>-12.9</v>
      </c>
    </row>
    <row r="17" spans="1:13" x14ac:dyDescent="0.35">
      <c r="A17" s="513">
        <v>45168</v>
      </c>
      <c r="B17">
        <v>1568.95</v>
      </c>
      <c r="C17">
        <v>1589</v>
      </c>
      <c r="D17">
        <v>1559.5</v>
      </c>
      <c r="E17" s="489">
        <v>1583.4</v>
      </c>
      <c r="F17">
        <v>1580.8769119999999</v>
      </c>
      <c r="G17">
        <v>41637</v>
      </c>
      <c r="H17">
        <v>2104</v>
      </c>
      <c r="I17">
        <v>65822972</v>
      </c>
      <c r="J17">
        <v>14214</v>
      </c>
      <c r="K17">
        <v>34.14</v>
      </c>
      <c r="L17">
        <v>29.5</v>
      </c>
      <c r="M17">
        <v>14.45</v>
      </c>
    </row>
    <row r="18" spans="1:13" x14ac:dyDescent="0.35">
      <c r="A18" s="513">
        <v>45167</v>
      </c>
      <c r="B18">
        <v>1564.95</v>
      </c>
      <c r="C18">
        <v>1564.95</v>
      </c>
      <c r="D18">
        <v>1540</v>
      </c>
      <c r="E18" s="489">
        <v>1559.5</v>
      </c>
      <c r="F18">
        <v>1552.289681</v>
      </c>
      <c r="G18">
        <v>48115</v>
      </c>
      <c r="H18">
        <v>4056</v>
      </c>
      <c r="I18">
        <v>74688418</v>
      </c>
      <c r="J18">
        <v>28967</v>
      </c>
      <c r="K18">
        <v>60.2</v>
      </c>
      <c r="L18">
        <v>24.95</v>
      </c>
      <c r="M18">
        <v>-5.45</v>
      </c>
    </row>
    <row r="19" spans="1:13" x14ac:dyDescent="0.35">
      <c r="A19" s="513">
        <v>45166</v>
      </c>
      <c r="B19">
        <v>1523.05</v>
      </c>
      <c r="C19">
        <v>1552</v>
      </c>
      <c r="D19">
        <v>1523.05</v>
      </c>
      <c r="E19" s="489">
        <v>1549.65</v>
      </c>
      <c r="F19">
        <v>1541.100136</v>
      </c>
      <c r="G19">
        <v>100463</v>
      </c>
      <c r="H19">
        <v>5711</v>
      </c>
      <c r="I19">
        <v>154823543</v>
      </c>
      <c r="J19">
        <v>75184</v>
      </c>
      <c r="K19">
        <v>74.84</v>
      </c>
      <c r="L19">
        <v>28.95</v>
      </c>
      <c r="M19">
        <v>26.6</v>
      </c>
    </row>
    <row r="20" spans="1:13" x14ac:dyDescent="0.35">
      <c r="A20" s="513">
        <v>45163</v>
      </c>
      <c r="B20">
        <v>1530.15</v>
      </c>
      <c r="C20">
        <v>1547.45</v>
      </c>
      <c r="D20">
        <v>1508.9</v>
      </c>
      <c r="E20" s="489">
        <v>1520.05</v>
      </c>
      <c r="F20">
        <v>1527.240779</v>
      </c>
      <c r="G20">
        <v>69923</v>
      </c>
      <c r="H20">
        <v>4750</v>
      </c>
      <c r="I20">
        <v>106789257</v>
      </c>
      <c r="J20">
        <v>26740</v>
      </c>
      <c r="K20">
        <v>38.24</v>
      </c>
      <c r="L20">
        <v>38.549999999999997</v>
      </c>
      <c r="M20">
        <v>-10.1</v>
      </c>
    </row>
    <row r="21" spans="1:13" x14ac:dyDescent="0.35">
      <c r="A21" s="513">
        <v>45162</v>
      </c>
      <c r="B21">
        <v>1559.85</v>
      </c>
      <c r="C21">
        <v>1559.85</v>
      </c>
      <c r="D21">
        <v>1528.6</v>
      </c>
      <c r="E21" s="489">
        <v>1542.6</v>
      </c>
      <c r="F21">
        <v>1540.790859</v>
      </c>
      <c r="G21">
        <v>32208</v>
      </c>
      <c r="H21">
        <v>1865</v>
      </c>
      <c r="I21">
        <v>49625792</v>
      </c>
      <c r="J21">
        <v>16669</v>
      </c>
      <c r="K21">
        <v>51.75</v>
      </c>
      <c r="L21">
        <v>31.25</v>
      </c>
      <c r="M21">
        <v>-17.25</v>
      </c>
    </row>
    <row r="22" spans="1:13" x14ac:dyDescent="0.35">
      <c r="A22" s="513">
        <v>45161</v>
      </c>
      <c r="B22">
        <v>1550.25</v>
      </c>
      <c r="C22">
        <v>1554.2</v>
      </c>
      <c r="D22">
        <v>1535.85</v>
      </c>
      <c r="E22" s="489">
        <v>1542.25</v>
      </c>
      <c r="F22">
        <v>1542.691738</v>
      </c>
      <c r="G22">
        <v>34993</v>
      </c>
      <c r="H22">
        <v>2847</v>
      </c>
      <c r="I22">
        <v>53983412</v>
      </c>
      <c r="J22">
        <v>23707</v>
      </c>
      <c r="K22">
        <v>67.75</v>
      </c>
      <c r="L22">
        <v>18.350000000000001</v>
      </c>
      <c r="M22">
        <v>-8</v>
      </c>
    </row>
    <row r="23" spans="1:13" x14ac:dyDescent="0.35">
      <c r="A23" s="513">
        <v>45160</v>
      </c>
      <c r="B23">
        <v>1539</v>
      </c>
      <c r="C23">
        <v>1554.95</v>
      </c>
      <c r="D23">
        <v>1535.05</v>
      </c>
      <c r="E23" s="489">
        <v>1550.3</v>
      </c>
      <c r="F23">
        <v>1549.501663</v>
      </c>
      <c r="G23">
        <v>41793</v>
      </c>
      <c r="H23">
        <v>3608</v>
      </c>
      <c r="I23">
        <v>64758323</v>
      </c>
      <c r="J23">
        <v>28345</v>
      </c>
      <c r="K23">
        <v>67.819999999999993</v>
      </c>
      <c r="L23">
        <v>19.899999999999999</v>
      </c>
      <c r="M23">
        <v>11.3</v>
      </c>
    </row>
    <row r="24" spans="1:13" x14ac:dyDescent="0.35">
      <c r="A24" s="513">
        <v>45159</v>
      </c>
      <c r="B24">
        <v>1550</v>
      </c>
      <c r="C24">
        <v>1551.15</v>
      </c>
      <c r="D24">
        <v>1531.35</v>
      </c>
      <c r="E24" s="489">
        <v>1538.7</v>
      </c>
      <c r="F24">
        <v>1540.3578259999999</v>
      </c>
      <c r="G24">
        <v>35126</v>
      </c>
      <c r="H24">
        <v>2186</v>
      </c>
      <c r="I24">
        <v>54106609</v>
      </c>
      <c r="J24">
        <v>16259</v>
      </c>
      <c r="K24">
        <v>46.29</v>
      </c>
      <c r="L24">
        <v>19.8</v>
      </c>
      <c r="M24">
        <v>-11.3</v>
      </c>
    </row>
    <row r="25" spans="1:13" x14ac:dyDescent="0.35">
      <c r="A25" s="513">
        <v>45156</v>
      </c>
      <c r="B25">
        <v>1565.2</v>
      </c>
      <c r="C25">
        <v>1582</v>
      </c>
      <c r="D25">
        <v>1545</v>
      </c>
      <c r="E25" s="489">
        <v>1552.25</v>
      </c>
      <c r="F25">
        <v>1558.441198</v>
      </c>
      <c r="G25">
        <v>61231</v>
      </c>
      <c r="H25">
        <v>2733</v>
      </c>
      <c r="I25">
        <v>95424913</v>
      </c>
      <c r="J25">
        <v>10298</v>
      </c>
      <c r="K25">
        <v>16.82</v>
      </c>
      <c r="L25">
        <v>37</v>
      </c>
      <c r="M25">
        <v>-12.95</v>
      </c>
    </row>
    <row r="26" spans="1:13" x14ac:dyDescent="0.35">
      <c r="A26" s="513">
        <v>45155</v>
      </c>
      <c r="B26">
        <v>1570.4</v>
      </c>
      <c r="C26">
        <v>1579.2</v>
      </c>
      <c r="D26">
        <v>1559.95</v>
      </c>
      <c r="E26" s="489">
        <v>1572.8</v>
      </c>
      <c r="F26">
        <v>1571.100271</v>
      </c>
      <c r="G26">
        <v>52468</v>
      </c>
      <c r="H26">
        <v>5984</v>
      </c>
      <c r="I26">
        <v>82432489</v>
      </c>
      <c r="J26">
        <v>28019</v>
      </c>
      <c r="K26">
        <v>53.4</v>
      </c>
      <c r="L26">
        <v>19.25</v>
      </c>
      <c r="M26">
        <v>2.4</v>
      </c>
    </row>
    <row r="27" spans="1:13" x14ac:dyDescent="0.35">
      <c r="A27" s="513">
        <v>45154</v>
      </c>
      <c r="B27">
        <v>1550.2</v>
      </c>
      <c r="C27">
        <v>1572.9</v>
      </c>
      <c r="D27">
        <v>1538.9</v>
      </c>
      <c r="E27" s="489">
        <v>1570.35</v>
      </c>
      <c r="F27">
        <v>1559.2251530000001</v>
      </c>
      <c r="G27">
        <v>50690</v>
      </c>
      <c r="H27">
        <v>2115</v>
      </c>
      <c r="I27">
        <v>79037123</v>
      </c>
      <c r="J27">
        <v>30137</v>
      </c>
      <c r="K27">
        <v>59.45</v>
      </c>
      <c r="L27">
        <v>34</v>
      </c>
      <c r="M27">
        <v>20.149999999999999</v>
      </c>
    </row>
    <row r="28" spans="1:13" x14ac:dyDescent="0.35">
      <c r="A28" s="513">
        <v>45152</v>
      </c>
      <c r="B28">
        <v>1545</v>
      </c>
      <c r="C28">
        <v>1550</v>
      </c>
      <c r="D28">
        <v>1524.4</v>
      </c>
      <c r="E28" s="489">
        <v>1546.45</v>
      </c>
      <c r="F28">
        <v>1539.269239</v>
      </c>
      <c r="G28">
        <v>57525</v>
      </c>
      <c r="H28">
        <v>2347</v>
      </c>
      <c r="I28">
        <v>88546463</v>
      </c>
      <c r="J28">
        <v>30884</v>
      </c>
      <c r="K28">
        <v>53.69</v>
      </c>
      <c r="L28">
        <v>25.6</v>
      </c>
      <c r="M28">
        <v>1.45</v>
      </c>
    </row>
    <row r="29" spans="1:13" x14ac:dyDescent="0.35">
      <c r="A29" s="513">
        <v>45149</v>
      </c>
      <c r="B29">
        <v>1559.45</v>
      </c>
      <c r="C29">
        <v>1559.5</v>
      </c>
      <c r="D29">
        <v>1533.3</v>
      </c>
      <c r="E29" s="489">
        <v>1546.15</v>
      </c>
      <c r="F29">
        <v>1548.7819340000001</v>
      </c>
      <c r="G29">
        <v>70254</v>
      </c>
      <c r="H29">
        <v>5703</v>
      </c>
      <c r="I29">
        <v>108808126</v>
      </c>
      <c r="J29">
        <v>38875</v>
      </c>
      <c r="K29">
        <v>55.33</v>
      </c>
      <c r="L29">
        <v>26.2</v>
      </c>
      <c r="M29">
        <v>-13.3</v>
      </c>
    </row>
    <row r="30" spans="1:13" x14ac:dyDescent="0.35">
      <c r="A30" s="513">
        <v>45148</v>
      </c>
      <c r="B30">
        <v>1530.25</v>
      </c>
      <c r="C30">
        <v>1555.5</v>
      </c>
      <c r="D30">
        <v>1530.25</v>
      </c>
      <c r="E30" s="489">
        <v>1545.6</v>
      </c>
      <c r="F30">
        <v>1544.6357390000001</v>
      </c>
      <c r="G30">
        <v>121973</v>
      </c>
      <c r="H30">
        <v>8271</v>
      </c>
      <c r="I30">
        <v>188403855</v>
      </c>
      <c r="J30">
        <v>72205</v>
      </c>
      <c r="K30">
        <v>59.2</v>
      </c>
      <c r="L30">
        <v>25.25</v>
      </c>
      <c r="M30">
        <v>15.35</v>
      </c>
    </row>
    <row r="31" spans="1:13" x14ac:dyDescent="0.35">
      <c r="A31" s="513">
        <v>45147</v>
      </c>
      <c r="B31">
        <v>1502.65</v>
      </c>
      <c r="C31">
        <v>1537.2</v>
      </c>
      <c r="D31">
        <v>1493.15</v>
      </c>
      <c r="E31" s="489">
        <v>1534.85</v>
      </c>
      <c r="F31">
        <v>1528.049</v>
      </c>
      <c r="G31">
        <v>137674</v>
      </c>
      <c r="H31">
        <v>7630</v>
      </c>
      <c r="I31">
        <v>210372618</v>
      </c>
      <c r="J31">
        <v>83967</v>
      </c>
      <c r="K31">
        <v>60.99</v>
      </c>
      <c r="L31">
        <v>44.05</v>
      </c>
      <c r="M31">
        <v>32.200000000000003</v>
      </c>
    </row>
    <row r="32" spans="1:13" x14ac:dyDescent="0.35">
      <c r="A32" s="513">
        <v>45146</v>
      </c>
      <c r="B32">
        <v>1530</v>
      </c>
      <c r="C32">
        <v>1533</v>
      </c>
      <c r="D32">
        <v>1485</v>
      </c>
      <c r="E32" s="489">
        <v>1499.55</v>
      </c>
      <c r="F32">
        <v>1500.913867</v>
      </c>
      <c r="G32">
        <v>96247</v>
      </c>
      <c r="H32">
        <v>4780</v>
      </c>
      <c r="I32">
        <v>144458457</v>
      </c>
      <c r="J32">
        <v>36728</v>
      </c>
      <c r="K32">
        <v>38.159999999999997</v>
      </c>
      <c r="L32">
        <v>48</v>
      </c>
      <c r="M32">
        <v>-30.45</v>
      </c>
    </row>
    <row r="33" spans="1:13" x14ac:dyDescent="0.35">
      <c r="A33" s="513">
        <v>45145</v>
      </c>
      <c r="B33">
        <v>1495</v>
      </c>
      <c r="C33">
        <v>1530.65</v>
      </c>
      <c r="D33">
        <v>1480.4</v>
      </c>
      <c r="E33" s="489">
        <v>1526.75</v>
      </c>
      <c r="F33">
        <v>1510.908138</v>
      </c>
      <c r="G33">
        <v>312501</v>
      </c>
      <c r="H33">
        <v>15780</v>
      </c>
      <c r="I33">
        <v>472160304</v>
      </c>
      <c r="J33">
        <v>140129</v>
      </c>
      <c r="K33">
        <v>44.84</v>
      </c>
      <c r="L33">
        <v>50.25</v>
      </c>
      <c r="M33">
        <v>31.75</v>
      </c>
    </row>
    <row r="34" spans="1:13" x14ac:dyDescent="0.35">
      <c r="A34" s="513">
        <v>45142</v>
      </c>
      <c r="B34">
        <v>1480</v>
      </c>
      <c r="C34">
        <v>1503</v>
      </c>
      <c r="D34">
        <v>1418.55</v>
      </c>
      <c r="E34" s="489">
        <v>1465.05</v>
      </c>
      <c r="F34">
        <v>1471.9879639999999</v>
      </c>
      <c r="G34">
        <v>187433</v>
      </c>
      <c r="H34">
        <v>13500</v>
      </c>
      <c r="I34">
        <v>275899120</v>
      </c>
      <c r="J34">
        <v>36049</v>
      </c>
      <c r="K34">
        <v>19.23</v>
      </c>
      <c r="L34">
        <v>84.45</v>
      </c>
      <c r="M34">
        <v>-14.95</v>
      </c>
    </row>
    <row r="35" spans="1:13" x14ac:dyDescent="0.35">
      <c r="A35" s="513">
        <v>45141</v>
      </c>
      <c r="B35">
        <v>1485.8</v>
      </c>
      <c r="C35">
        <v>1501</v>
      </c>
      <c r="D35">
        <v>1449.05</v>
      </c>
      <c r="E35" s="489">
        <v>1468.35</v>
      </c>
      <c r="F35">
        <v>1475.9731119999999</v>
      </c>
      <c r="G35">
        <v>101531</v>
      </c>
      <c r="H35">
        <v>10479</v>
      </c>
      <c r="I35">
        <v>149857026</v>
      </c>
      <c r="J35">
        <v>36164</v>
      </c>
      <c r="K35">
        <v>35.619999999999997</v>
      </c>
      <c r="L35">
        <v>51.95</v>
      </c>
      <c r="M35">
        <v>-17.45</v>
      </c>
    </row>
    <row r="36" spans="1:13" x14ac:dyDescent="0.35">
      <c r="A36" s="513">
        <v>45140</v>
      </c>
      <c r="B36">
        <v>1493.25</v>
      </c>
      <c r="C36">
        <v>1496.85</v>
      </c>
      <c r="D36">
        <v>1465.65</v>
      </c>
      <c r="E36" s="489">
        <v>1485.8</v>
      </c>
      <c r="F36">
        <v>1480.381556</v>
      </c>
      <c r="G36">
        <v>27532</v>
      </c>
      <c r="H36">
        <v>2446</v>
      </c>
      <c r="I36">
        <v>40757865</v>
      </c>
      <c r="J36">
        <v>12522</v>
      </c>
      <c r="K36">
        <v>45.48</v>
      </c>
      <c r="L36">
        <v>31.2</v>
      </c>
      <c r="M36">
        <v>-7.45</v>
      </c>
    </row>
    <row r="37" spans="1:13" x14ac:dyDescent="0.35">
      <c r="A37" s="513">
        <v>45139</v>
      </c>
      <c r="B37">
        <v>1476.3</v>
      </c>
      <c r="C37">
        <v>1503.85</v>
      </c>
      <c r="D37">
        <v>1470.05</v>
      </c>
      <c r="E37" s="489">
        <v>1493.25</v>
      </c>
      <c r="F37">
        <v>1491.022847</v>
      </c>
      <c r="G37">
        <v>119707</v>
      </c>
      <c r="H37">
        <v>9663</v>
      </c>
      <c r="I37">
        <v>178485872</v>
      </c>
      <c r="J37">
        <v>60353</v>
      </c>
      <c r="K37">
        <v>50.42</v>
      </c>
      <c r="L37">
        <v>33.799999999999997</v>
      </c>
      <c r="M37">
        <v>16.95</v>
      </c>
    </row>
    <row r="38" spans="1:13" x14ac:dyDescent="0.35">
      <c r="A38" s="513">
        <v>45138</v>
      </c>
      <c r="B38">
        <v>1473.05</v>
      </c>
      <c r="C38">
        <v>1479</v>
      </c>
      <c r="D38">
        <v>1458.6</v>
      </c>
      <c r="E38" s="489">
        <v>1475.95</v>
      </c>
      <c r="F38">
        <v>1469.478631</v>
      </c>
      <c r="G38">
        <v>31237</v>
      </c>
      <c r="H38">
        <v>2376</v>
      </c>
      <c r="I38">
        <v>45902104</v>
      </c>
      <c r="J38">
        <v>14242</v>
      </c>
      <c r="K38">
        <v>45.59</v>
      </c>
      <c r="L38">
        <v>20.399999999999999</v>
      </c>
      <c r="M38">
        <v>2.9</v>
      </c>
    </row>
    <row r="39" spans="1:13" x14ac:dyDescent="0.35">
      <c r="A39" s="513">
        <v>45135</v>
      </c>
      <c r="B39">
        <v>1458.4</v>
      </c>
      <c r="C39">
        <v>1471.15</v>
      </c>
      <c r="D39">
        <v>1450.9</v>
      </c>
      <c r="E39" s="489">
        <v>1467.6</v>
      </c>
      <c r="F39">
        <v>1463.5920309999999</v>
      </c>
      <c r="G39">
        <v>60735</v>
      </c>
      <c r="H39">
        <v>3645</v>
      </c>
      <c r="I39">
        <v>88891262</v>
      </c>
      <c r="J39">
        <v>23187</v>
      </c>
      <c r="K39">
        <v>38.18</v>
      </c>
      <c r="L39">
        <v>20.25</v>
      </c>
      <c r="M39">
        <v>9.1999999999999993</v>
      </c>
    </row>
    <row r="40" spans="1:13" x14ac:dyDescent="0.35">
      <c r="A40" s="513">
        <v>45134</v>
      </c>
      <c r="B40">
        <v>1500</v>
      </c>
      <c r="C40">
        <v>1500</v>
      </c>
      <c r="D40">
        <v>1438</v>
      </c>
      <c r="E40" s="489">
        <v>1446.85</v>
      </c>
      <c r="F40">
        <v>1459.8391779999999</v>
      </c>
      <c r="G40">
        <v>385533</v>
      </c>
      <c r="H40">
        <v>30319</v>
      </c>
      <c r="I40">
        <v>562816178</v>
      </c>
      <c r="J40">
        <v>190676</v>
      </c>
      <c r="K40">
        <v>49.46</v>
      </c>
      <c r="L40">
        <v>62</v>
      </c>
      <c r="M40">
        <v>-53.15</v>
      </c>
    </row>
    <row r="41" spans="1:13" x14ac:dyDescent="0.35">
      <c r="A41" s="513">
        <v>45133</v>
      </c>
      <c r="B41">
        <v>1566.4</v>
      </c>
      <c r="C41">
        <v>1573.55</v>
      </c>
      <c r="D41">
        <v>1532.25</v>
      </c>
      <c r="E41" s="489">
        <v>1545.55</v>
      </c>
      <c r="F41">
        <v>1549.8053870000001</v>
      </c>
      <c r="G41">
        <v>64297</v>
      </c>
      <c r="H41">
        <v>4483</v>
      </c>
      <c r="I41">
        <v>99647837</v>
      </c>
      <c r="J41">
        <v>27337</v>
      </c>
      <c r="K41">
        <v>42.52</v>
      </c>
      <c r="L41">
        <v>41.3</v>
      </c>
      <c r="M41">
        <v>-20.85</v>
      </c>
    </row>
    <row r="42" spans="1:13" x14ac:dyDescent="0.35">
      <c r="A42" s="513">
        <v>45132</v>
      </c>
      <c r="B42">
        <v>1547.05</v>
      </c>
      <c r="C42">
        <v>1569.35</v>
      </c>
      <c r="D42">
        <v>1547.05</v>
      </c>
      <c r="E42" s="489">
        <v>1566.25</v>
      </c>
      <c r="F42">
        <v>1561.1125420000001</v>
      </c>
      <c r="G42">
        <v>79428</v>
      </c>
      <c r="H42">
        <v>6038</v>
      </c>
      <c r="I42">
        <v>123996047</v>
      </c>
      <c r="J42">
        <v>53815</v>
      </c>
      <c r="K42">
        <v>67.75</v>
      </c>
      <c r="L42">
        <v>22.3</v>
      </c>
      <c r="M42">
        <v>19.2</v>
      </c>
    </row>
    <row r="43" spans="1:13" x14ac:dyDescent="0.35">
      <c r="A43" s="513">
        <v>45131</v>
      </c>
      <c r="B43">
        <v>1522.55</v>
      </c>
      <c r="C43">
        <v>1557</v>
      </c>
      <c r="D43">
        <v>1516</v>
      </c>
      <c r="E43" s="489">
        <v>1547</v>
      </c>
      <c r="F43">
        <v>1546.314026</v>
      </c>
      <c r="G43">
        <v>54470</v>
      </c>
      <c r="H43">
        <v>4875</v>
      </c>
      <c r="I43">
        <v>84227725</v>
      </c>
      <c r="J43">
        <v>25374</v>
      </c>
      <c r="K43">
        <v>46.58</v>
      </c>
      <c r="L43">
        <v>41</v>
      </c>
      <c r="M43">
        <v>24.45</v>
      </c>
    </row>
    <row r="44" spans="1:13" x14ac:dyDescent="0.35">
      <c r="A44" s="513">
        <v>45128</v>
      </c>
      <c r="B44">
        <v>1544.75</v>
      </c>
      <c r="C44">
        <v>1552.55</v>
      </c>
      <c r="D44">
        <v>1519.05</v>
      </c>
      <c r="E44" s="489">
        <v>1522.55</v>
      </c>
      <c r="F44">
        <v>1536.0203469999999</v>
      </c>
      <c r="G44">
        <v>25950</v>
      </c>
      <c r="H44">
        <v>1760</v>
      </c>
      <c r="I44">
        <v>39859728</v>
      </c>
      <c r="J44">
        <v>12241</v>
      </c>
      <c r="K44">
        <v>47.17</v>
      </c>
      <c r="L44">
        <v>33.5</v>
      </c>
      <c r="M44">
        <v>-22.2</v>
      </c>
    </row>
    <row r="45" spans="1:13" x14ac:dyDescent="0.35">
      <c r="A45" s="513">
        <v>45127</v>
      </c>
      <c r="B45">
        <v>1546.05</v>
      </c>
      <c r="C45">
        <v>1551</v>
      </c>
      <c r="D45">
        <v>1531</v>
      </c>
      <c r="E45" s="489">
        <v>1544.7</v>
      </c>
      <c r="F45">
        <v>1539.2724909999999</v>
      </c>
      <c r="G45">
        <v>18430</v>
      </c>
      <c r="H45">
        <v>1597</v>
      </c>
      <c r="I45">
        <v>28368792</v>
      </c>
      <c r="J45">
        <v>8974</v>
      </c>
      <c r="K45">
        <v>48.69</v>
      </c>
      <c r="L45">
        <v>20</v>
      </c>
      <c r="M45">
        <v>-1.35</v>
      </c>
    </row>
    <row r="46" spans="1:13" x14ac:dyDescent="0.35">
      <c r="A46" s="513">
        <v>45126</v>
      </c>
      <c r="B46">
        <v>1523.05</v>
      </c>
      <c r="C46">
        <v>1549</v>
      </c>
      <c r="D46">
        <v>1523.05</v>
      </c>
      <c r="E46" s="489">
        <v>1543.7</v>
      </c>
      <c r="F46">
        <v>1536.7619810000001</v>
      </c>
      <c r="G46">
        <v>44715</v>
      </c>
      <c r="H46">
        <v>7848</v>
      </c>
      <c r="I46">
        <v>68716312</v>
      </c>
      <c r="J46">
        <v>23712</v>
      </c>
      <c r="K46">
        <v>53.03</v>
      </c>
      <c r="L46">
        <v>25.95</v>
      </c>
      <c r="M46">
        <v>20.65</v>
      </c>
    </row>
    <row r="47" spans="1:13" x14ac:dyDescent="0.35">
      <c r="A47" s="513">
        <v>45125</v>
      </c>
      <c r="B47">
        <v>1536</v>
      </c>
      <c r="C47">
        <v>1541.1</v>
      </c>
      <c r="D47">
        <v>1526</v>
      </c>
      <c r="E47" s="489">
        <v>1535.55</v>
      </c>
      <c r="F47">
        <v>1532.915786</v>
      </c>
      <c r="G47">
        <v>16363</v>
      </c>
      <c r="H47">
        <v>1557</v>
      </c>
      <c r="I47">
        <v>25083101</v>
      </c>
      <c r="J47">
        <v>5985</v>
      </c>
      <c r="K47">
        <v>36.58</v>
      </c>
      <c r="L47">
        <v>15.1</v>
      </c>
      <c r="M47">
        <v>-0.45</v>
      </c>
    </row>
    <row r="48" spans="1:13" x14ac:dyDescent="0.35">
      <c r="A48" s="513">
        <v>45124</v>
      </c>
      <c r="B48">
        <v>1550.05</v>
      </c>
      <c r="C48">
        <v>1558</v>
      </c>
      <c r="D48">
        <v>1530.35</v>
      </c>
      <c r="E48" s="489">
        <v>1536.25</v>
      </c>
      <c r="F48">
        <v>1541.8984849999999</v>
      </c>
      <c r="G48">
        <v>23100</v>
      </c>
      <c r="H48">
        <v>2087</v>
      </c>
      <c r="I48">
        <v>35617855</v>
      </c>
      <c r="J48">
        <v>10978</v>
      </c>
      <c r="K48">
        <v>47.52</v>
      </c>
      <c r="L48">
        <v>27.65</v>
      </c>
      <c r="M48">
        <v>-13.8</v>
      </c>
    </row>
    <row r="49" spans="1:13" x14ac:dyDescent="0.35">
      <c r="A49" s="513">
        <v>45121</v>
      </c>
      <c r="B49">
        <v>1566.95</v>
      </c>
      <c r="C49">
        <v>1566.95</v>
      </c>
      <c r="D49">
        <v>1544.05</v>
      </c>
      <c r="E49" s="489">
        <v>1546.5</v>
      </c>
      <c r="F49">
        <v>1554.189621</v>
      </c>
      <c r="G49">
        <v>22276</v>
      </c>
      <c r="H49">
        <v>2083</v>
      </c>
      <c r="I49">
        <v>34621128</v>
      </c>
      <c r="J49">
        <v>12179</v>
      </c>
      <c r="K49">
        <v>54.67</v>
      </c>
      <c r="L49">
        <v>22.9</v>
      </c>
      <c r="M49">
        <v>-20.45</v>
      </c>
    </row>
    <row r="50" spans="1:13" x14ac:dyDescent="0.35">
      <c r="A50" s="513">
        <v>45120</v>
      </c>
      <c r="B50">
        <v>1571.45</v>
      </c>
      <c r="C50">
        <v>1594.85</v>
      </c>
      <c r="D50">
        <v>1559</v>
      </c>
      <c r="E50" s="489">
        <v>1566.6</v>
      </c>
      <c r="F50">
        <v>1582.0979870000001</v>
      </c>
      <c r="G50">
        <v>37954</v>
      </c>
      <c r="H50">
        <v>2631</v>
      </c>
      <c r="I50">
        <v>60046947</v>
      </c>
      <c r="J50">
        <v>16036</v>
      </c>
      <c r="K50">
        <v>42.25</v>
      </c>
      <c r="L50">
        <v>35.85</v>
      </c>
      <c r="M50">
        <v>-4.8499999999999996</v>
      </c>
    </row>
    <row r="51" spans="1:13" x14ac:dyDescent="0.35">
      <c r="A51" s="513">
        <v>45119</v>
      </c>
      <c r="B51">
        <v>1570</v>
      </c>
      <c r="C51">
        <v>1579.5</v>
      </c>
      <c r="D51">
        <v>1541.75</v>
      </c>
      <c r="E51" s="489">
        <v>1569.4</v>
      </c>
      <c r="F51">
        <v>1563.0854280000001</v>
      </c>
      <c r="G51">
        <v>34497</v>
      </c>
      <c r="H51">
        <v>2306</v>
      </c>
      <c r="I51">
        <v>53921758</v>
      </c>
      <c r="J51">
        <v>14037</v>
      </c>
      <c r="K51">
        <v>40.69</v>
      </c>
      <c r="L51">
        <v>37.75</v>
      </c>
      <c r="M51">
        <v>-0.6</v>
      </c>
    </row>
    <row r="52" spans="1:13" x14ac:dyDescent="0.35">
      <c r="A52" s="513">
        <v>45118</v>
      </c>
      <c r="B52">
        <v>1555.05</v>
      </c>
      <c r="C52">
        <v>1575.45</v>
      </c>
      <c r="D52">
        <v>1550.6</v>
      </c>
      <c r="E52" s="489">
        <v>1569.4</v>
      </c>
      <c r="F52">
        <v>1567.4466190000001</v>
      </c>
      <c r="G52">
        <v>29430</v>
      </c>
      <c r="H52">
        <v>1587</v>
      </c>
      <c r="I52">
        <v>46129954</v>
      </c>
      <c r="J52">
        <v>12807</v>
      </c>
      <c r="K52">
        <v>43.52</v>
      </c>
      <c r="L52">
        <v>24.85</v>
      </c>
      <c r="M52">
        <v>14.35</v>
      </c>
    </row>
    <row r="53" spans="1:13" x14ac:dyDescent="0.35">
      <c r="A53" s="513">
        <v>45117</v>
      </c>
      <c r="B53">
        <v>1565</v>
      </c>
      <c r="C53">
        <v>1578</v>
      </c>
      <c r="D53">
        <v>1546.2</v>
      </c>
      <c r="E53" s="489">
        <v>1550.7</v>
      </c>
      <c r="F53">
        <v>1560.6897839999999</v>
      </c>
      <c r="G53">
        <v>41887</v>
      </c>
      <c r="H53">
        <v>2416</v>
      </c>
      <c r="I53">
        <v>65372613</v>
      </c>
      <c r="J53">
        <v>17617</v>
      </c>
      <c r="K53">
        <v>42.06</v>
      </c>
      <c r="L53">
        <v>31.8</v>
      </c>
      <c r="M53">
        <v>-14.3</v>
      </c>
    </row>
    <row r="54" spans="1:13" x14ac:dyDescent="0.35">
      <c r="A54" s="513">
        <v>45114</v>
      </c>
      <c r="B54">
        <v>1548.95</v>
      </c>
      <c r="C54">
        <v>1592.35</v>
      </c>
      <c r="D54">
        <v>1540</v>
      </c>
      <c r="E54" s="489">
        <v>1563.8</v>
      </c>
      <c r="F54">
        <v>1564.51189</v>
      </c>
      <c r="G54">
        <v>168333</v>
      </c>
      <c r="H54">
        <v>9239</v>
      </c>
      <c r="I54">
        <v>263358980</v>
      </c>
      <c r="J54">
        <v>29754</v>
      </c>
      <c r="K54">
        <v>17.68</v>
      </c>
      <c r="L54">
        <v>52.35</v>
      </c>
      <c r="M54">
        <v>14.85</v>
      </c>
    </row>
    <row r="55" spans="1:13" x14ac:dyDescent="0.35">
      <c r="A55" s="513">
        <v>45113</v>
      </c>
      <c r="B55">
        <v>1475.4</v>
      </c>
      <c r="C55">
        <v>1552</v>
      </c>
      <c r="D55">
        <v>1473.05</v>
      </c>
      <c r="E55" s="489">
        <v>1548.7</v>
      </c>
      <c r="F55">
        <v>1532.2965489999999</v>
      </c>
      <c r="G55">
        <v>1010876</v>
      </c>
      <c r="H55">
        <v>13991</v>
      </c>
      <c r="I55">
        <v>1548961806</v>
      </c>
      <c r="J55">
        <v>811934</v>
      </c>
      <c r="K55">
        <v>80.319999999999993</v>
      </c>
      <c r="L55">
        <v>78.95</v>
      </c>
      <c r="M55">
        <v>73.3</v>
      </c>
    </row>
    <row r="56" spans="1:13" x14ac:dyDescent="0.35">
      <c r="A56" s="513">
        <v>45112</v>
      </c>
      <c r="B56">
        <v>1460.2</v>
      </c>
      <c r="C56">
        <v>1478.35</v>
      </c>
      <c r="D56">
        <v>1457.45</v>
      </c>
      <c r="E56" s="489">
        <v>1475.35</v>
      </c>
      <c r="F56">
        <v>1467.951959</v>
      </c>
      <c r="G56">
        <v>30391</v>
      </c>
      <c r="H56">
        <v>1887</v>
      </c>
      <c r="I56">
        <v>44612528</v>
      </c>
      <c r="J56">
        <v>10485</v>
      </c>
      <c r="K56">
        <v>34.5</v>
      </c>
      <c r="L56">
        <v>20.9</v>
      </c>
      <c r="M56">
        <v>15.15</v>
      </c>
    </row>
    <row r="57" spans="1:13" x14ac:dyDescent="0.35">
      <c r="A57" s="513">
        <v>45111</v>
      </c>
      <c r="B57">
        <v>1475.75</v>
      </c>
      <c r="C57">
        <v>1491.2</v>
      </c>
      <c r="D57">
        <v>1462</v>
      </c>
      <c r="E57" s="489">
        <v>1464</v>
      </c>
      <c r="F57">
        <v>1475.7992589999999</v>
      </c>
      <c r="G57">
        <v>126556</v>
      </c>
      <c r="H57">
        <v>4361</v>
      </c>
      <c r="I57">
        <v>186771251</v>
      </c>
      <c r="J57">
        <v>27255</v>
      </c>
      <c r="K57">
        <v>21.54</v>
      </c>
      <c r="L57">
        <v>29.2</v>
      </c>
      <c r="M57">
        <v>-11.75</v>
      </c>
    </row>
    <row r="58" spans="1:13" x14ac:dyDescent="0.35">
      <c r="A58" s="513">
        <v>45110</v>
      </c>
      <c r="B58">
        <v>1465.05</v>
      </c>
      <c r="C58">
        <v>1498.55</v>
      </c>
      <c r="D58">
        <v>1458.85</v>
      </c>
      <c r="E58" s="489">
        <v>1468.35</v>
      </c>
      <c r="F58">
        <v>1474.311528</v>
      </c>
      <c r="G58">
        <v>126528</v>
      </c>
      <c r="H58">
        <v>6603</v>
      </c>
      <c r="I58">
        <v>186541689</v>
      </c>
      <c r="J58">
        <v>42178</v>
      </c>
      <c r="K58">
        <v>33.33</v>
      </c>
      <c r="L58">
        <v>39.700000000000003</v>
      </c>
      <c r="M58">
        <v>3.3</v>
      </c>
    </row>
    <row r="59" spans="1:13" x14ac:dyDescent="0.35">
      <c r="A59" s="513">
        <v>45107</v>
      </c>
      <c r="B59">
        <v>1400.1</v>
      </c>
      <c r="C59">
        <v>1461</v>
      </c>
      <c r="D59">
        <v>1400.1</v>
      </c>
      <c r="E59" s="489">
        <v>1453.75</v>
      </c>
      <c r="F59">
        <v>1442.3759050000001</v>
      </c>
      <c r="G59">
        <v>243109</v>
      </c>
      <c r="H59">
        <v>17080</v>
      </c>
      <c r="I59">
        <v>350654564</v>
      </c>
      <c r="J59">
        <v>104379</v>
      </c>
      <c r="K59">
        <v>42.94</v>
      </c>
      <c r="L59">
        <v>60.9</v>
      </c>
      <c r="M59">
        <v>53.65</v>
      </c>
    </row>
    <row r="60" spans="1:13" x14ac:dyDescent="0.35">
      <c r="A60" s="513">
        <v>45105</v>
      </c>
      <c r="B60">
        <v>1410</v>
      </c>
      <c r="C60">
        <v>1414</v>
      </c>
      <c r="D60">
        <v>1390.55</v>
      </c>
      <c r="E60" s="489">
        <v>1396</v>
      </c>
      <c r="F60">
        <v>1403.977885</v>
      </c>
      <c r="G60">
        <v>29437</v>
      </c>
      <c r="H60">
        <v>2502</v>
      </c>
      <c r="I60">
        <v>41328897</v>
      </c>
      <c r="J60">
        <v>16303</v>
      </c>
      <c r="K60">
        <v>55.38</v>
      </c>
      <c r="L60">
        <v>23.45</v>
      </c>
      <c r="M60">
        <v>-14</v>
      </c>
    </row>
    <row r="61" spans="1:13" x14ac:dyDescent="0.35">
      <c r="A61" s="513">
        <v>45104</v>
      </c>
      <c r="B61">
        <v>1400.25</v>
      </c>
      <c r="C61">
        <v>1417</v>
      </c>
      <c r="D61">
        <v>1393.7</v>
      </c>
      <c r="E61" s="489">
        <v>1400.45</v>
      </c>
      <c r="F61">
        <v>1407.036615</v>
      </c>
      <c r="G61">
        <v>40038</v>
      </c>
      <c r="H61">
        <v>2728</v>
      </c>
      <c r="I61">
        <v>56334932</v>
      </c>
      <c r="J61">
        <v>15413</v>
      </c>
      <c r="K61">
        <v>38.5</v>
      </c>
      <c r="L61">
        <v>23.3</v>
      </c>
      <c r="M61">
        <v>0.2</v>
      </c>
    </row>
    <row r="62" spans="1:13" x14ac:dyDescent="0.35">
      <c r="A62" s="513">
        <v>45103</v>
      </c>
      <c r="B62">
        <v>1374</v>
      </c>
      <c r="C62">
        <v>1404.85</v>
      </c>
      <c r="D62">
        <v>1371.3</v>
      </c>
      <c r="E62" s="489">
        <v>1397.25</v>
      </c>
      <c r="F62">
        <v>1392.586849</v>
      </c>
      <c r="G62">
        <v>44042</v>
      </c>
      <c r="H62">
        <v>2912</v>
      </c>
      <c r="I62">
        <v>61332310</v>
      </c>
      <c r="J62">
        <v>17469</v>
      </c>
      <c r="K62">
        <v>39.659999999999997</v>
      </c>
      <c r="L62">
        <v>33.549999999999997</v>
      </c>
      <c r="M62">
        <v>23.25</v>
      </c>
    </row>
    <row r="63" spans="1:13" x14ac:dyDescent="0.35">
      <c r="A63" s="513">
        <v>45100</v>
      </c>
      <c r="B63">
        <v>1379</v>
      </c>
      <c r="C63">
        <v>1379.25</v>
      </c>
      <c r="D63">
        <v>1369</v>
      </c>
      <c r="E63" s="489">
        <v>1373.05</v>
      </c>
      <c r="F63">
        <v>1373.8349800000001</v>
      </c>
      <c r="G63">
        <v>71979</v>
      </c>
      <c r="H63">
        <v>5783</v>
      </c>
      <c r="I63">
        <v>98887268</v>
      </c>
      <c r="J63">
        <v>37376</v>
      </c>
      <c r="K63">
        <v>51.93</v>
      </c>
      <c r="L63">
        <v>10.25</v>
      </c>
      <c r="M63">
        <v>-5.95</v>
      </c>
    </row>
    <row r="64" spans="1:13" x14ac:dyDescent="0.35">
      <c r="A64" s="513">
        <v>45099</v>
      </c>
      <c r="B64">
        <v>1386</v>
      </c>
      <c r="C64">
        <v>1392.4</v>
      </c>
      <c r="D64">
        <v>1375.95</v>
      </c>
      <c r="E64" s="489">
        <v>1379.45</v>
      </c>
      <c r="F64">
        <v>1383.0882509999999</v>
      </c>
      <c r="G64">
        <v>23739</v>
      </c>
      <c r="H64">
        <v>1594</v>
      </c>
      <c r="I64">
        <v>32833132</v>
      </c>
      <c r="J64">
        <v>7817</v>
      </c>
      <c r="K64">
        <v>32.93</v>
      </c>
      <c r="L64">
        <v>16.45</v>
      </c>
      <c r="M64">
        <v>-6.55</v>
      </c>
    </row>
    <row r="65" spans="1:13" x14ac:dyDescent="0.35">
      <c r="A65" s="513">
        <v>45098</v>
      </c>
      <c r="B65">
        <v>1397</v>
      </c>
      <c r="C65">
        <v>1403</v>
      </c>
      <c r="D65">
        <v>1370.6</v>
      </c>
      <c r="E65" s="489">
        <v>1373.95</v>
      </c>
      <c r="F65">
        <v>1386.901181</v>
      </c>
      <c r="G65">
        <v>29802</v>
      </c>
      <c r="H65">
        <v>1976</v>
      </c>
      <c r="I65">
        <v>41332429</v>
      </c>
      <c r="J65">
        <v>12266</v>
      </c>
      <c r="K65">
        <v>41.16</v>
      </c>
      <c r="L65">
        <v>32.4</v>
      </c>
      <c r="M65">
        <v>-23.05</v>
      </c>
    </row>
    <row r="66" spans="1:13" x14ac:dyDescent="0.35">
      <c r="A66" s="513">
        <v>45097</v>
      </c>
      <c r="B66">
        <v>1405</v>
      </c>
      <c r="C66">
        <v>1415</v>
      </c>
      <c r="D66">
        <v>1380.9</v>
      </c>
      <c r="E66" s="489">
        <v>1396.1</v>
      </c>
      <c r="F66">
        <v>1387.7800420000001</v>
      </c>
      <c r="G66">
        <v>38821</v>
      </c>
      <c r="H66">
        <v>3694</v>
      </c>
      <c r="I66">
        <v>53875009</v>
      </c>
      <c r="J66">
        <v>13688</v>
      </c>
      <c r="K66">
        <v>35.26</v>
      </c>
      <c r="L66">
        <v>34.1</v>
      </c>
      <c r="M66">
        <v>-8.9</v>
      </c>
    </row>
    <row r="67" spans="1:13" x14ac:dyDescent="0.35">
      <c r="A67" s="513">
        <v>45096</v>
      </c>
      <c r="B67">
        <v>1405.35</v>
      </c>
      <c r="C67">
        <v>1415.8</v>
      </c>
      <c r="D67">
        <v>1397.85</v>
      </c>
      <c r="E67" s="489">
        <v>1403.3</v>
      </c>
      <c r="F67">
        <v>1408.7616579999999</v>
      </c>
      <c r="G67">
        <v>42309</v>
      </c>
      <c r="H67">
        <v>2871</v>
      </c>
      <c r="I67">
        <v>59603297</v>
      </c>
      <c r="J67">
        <v>27930</v>
      </c>
      <c r="K67">
        <v>66.010000000000005</v>
      </c>
      <c r="L67">
        <v>17.95</v>
      </c>
      <c r="M67">
        <v>-2.0499999999999998</v>
      </c>
    </row>
    <row r="68" spans="1:13" x14ac:dyDescent="0.35">
      <c r="A68" s="513">
        <v>45093</v>
      </c>
      <c r="B68">
        <v>1395.1</v>
      </c>
      <c r="C68">
        <v>1409.7</v>
      </c>
      <c r="D68">
        <v>1394.2</v>
      </c>
      <c r="E68" s="489">
        <v>1403.55</v>
      </c>
      <c r="F68">
        <v>1402.986631</v>
      </c>
      <c r="G68">
        <v>64551</v>
      </c>
      <c r="H68">
        <v>6063</v>
      </c>
      <c r="I68">
        <v>90564190</v>
      </c>
      <c r="J68">
        <v>32012</v>
      </c>
      <c r="K68">
        <v>49.59</v>
      </c>
      <c r="L68">
        <v>15.5</v>
      </c>
      <c r="M68">
        <v>8.4499999999999993</v>
      </c>
    </row>
    <row r="69" spans="1:13" x14ac:dyDescent="0.35">
      <c r="A69" s="513">
        <v>45092</v>
      </c>
      <c r="B69">
        <v>1380.1</v>
      </c>
      <c r="C69">
        <v>1406.5</v>
      </c>
      <c r="D69">
        <v>1366.1</v>
      </c>
      <c r="E69" s="489">
        <v>1392.75</v>
      </c>
      <c r="F69">
        <v>1392.962458</v>
      </c>
      <c r="G69">
        <v>92111</v>
      </c>
      <c r="H69">
        <v>4849</v>
      </c>
      <c r="I69">
        <v>128307165</v>
      </c>
      <c r="J69">
        <v>38532</v>
      </c>
      <c r="K69">
        <v>41.83</v>
      </c>
      <c r="L69">
        <v>40.4</v>
      </c>
      <c r="M69">
        <v>12.65</v>
      </c>
    </row>
    <row r="70" spans="1:13" x14ac:dyDescent="0.35">
      <c r="A70" s="513">
        <v>45091</v>
      </c>
      <c r="B70">
        <v>1371.65</v>
      </c>
      <c r="C70">
        <v>1381</v>
      </c>
      <c r="D70">
        <v>1366.55</v>
      </c>
      <c r="E70" s="489">
        <v>1378.85</v>
      </c>
      <c r="F70">
        <v>1375.0880870000001</v>
      </c>
      <c r="G70">
        <v>20457</v>
      </c>
      <c r="H70">
        <v>2024</v>
      </c>
      <c r="I70">
        <v>28130177</v>
      </c>
      <c r="J70">
        <v>9535</v>
      </c>
      <c r="K70">
        <v>46.61</v>
      </c>
      <c r="L70">
        <v>14.45</v>
      </c>
      <c r="M70">
        <v>7.2</v>
      </c>
    </row>
    <row r="71" spans="1:13" x14ac:dyDescent="0.35">
      <c r="A71" s="513">
        <v>45090</v>
      </c>
      <c r="B71">
        <v>1380.2</v>
      </c>
      <c r="C71">
        <v>1388</v>
      </c>
      <c r="D71">
        <v>1368.25</v>
      </c>
      <c r="E71" s="489">
        <v>1372.2</v>
      </c>
      <c r="F71">
        <v>1373.4328089999999</v>
      </c>
      <c r="G71">
        <v>51547</v>
      </c>
      <c r="H71">
        <v>1957</v>
      </c>
      <c r="I71">
        <v>70796341</v>
      </c>
      <c r="J71">
        <v>35032</v>
      </c>
      <c r="K71">
        <v>67.959999999999994</v>
      </c>
      <c r="L71">
        <v>19.75</v>
      </c>
      <c r="M71">
        <v>-8</v>
      </c>
    </row>
    <row r="72" spans="1:13" x14ac:dyDescent="0.35">
      <c r="A72" s="513">
        <v>45089</v>
      </c>
      <c r="B72">
        <v>1377.3</v>
      </c>
      <c r="C72">
        <v>1386.5</v>
      </c>
      <c r="D72">
        <v>1369.5</v>
      </c>
      <c r="E72" s="489">
        <v>1381.05</v>
      </c>
      <c r="F72">
        <v>1378.507484</v>
      </c>
      <c r="G72">
        <v>359958</v>
      </c>
      <c r="H72">
        <v>4262</v>
      </c>
      <c r="I72">
        <v>496204797</v>
      </c>
      <c r="J72">
        <v>342591</v>
      </c>
      <c r="K72">
        <v>95.18</v>
      </c>
      <c r="L72">
        <v>17</v>
      </c>
      <c r="M72">
        <v>3.75</v>
      </c>
    </row>
    <row r="73" spans="1:13" x14ac:dyDescent="0.35">
      <c r="A73" s="513">
        <v>45086</v>
      </c>
      <c r="B73">
        <v>1379</v>
      </c>
      <c r="C73">
        <v>1386.9</v>
      </c>
      <c r="D73">
        <v>1362.8</v>
      </c>
      <c r="E73" s="489">
        <v>1369.2</v>
      </c>
      <c r="F73">
        <v>1368.797104</v>
      </c>
      <c r="G73">
        <v>43308</v>
      </c>
      <c r="H73">
        <v>2460</v>
      </c>
      <c r="I73">
        <v>59279865</v>
      </c>
      <c r="J73">
        <v>24106</v>
      </c>
      <c r="K73">
        <v>55.66</v>
      </c>
      <c r="L73">
        <v>24.1</v>
      </c>
      <c r="M73">
        <v>-9.8000000000000007</v>
      </c>
    </row>
    <row r="74" spans="1:13" x14ac:dyDescent="0.35">
      <c r="A74" s="513">
        <v>45085</v>
      </c>
      <c r="B74">
        <v>1410</v>
      </c>
      <c r="C74">
        <v>1415</v>
      </c>
      <c r="D74">
        <v>1377.75</v>
      </c>
      <c r="E74" s="489">
        <v>1380.55</v>
      </c>
      <c r="F74">
        <v>1392.8769500000001</v>
      </c>
      <c r="G74">
        <v>43072</v>
      </c>
      <c r="H74">
        <v>2979</v>
      </c>
      <c r="I74">
        <v>59993996</v>
      </c>
      <c r="J74">
        <v>20471</v>
      </c>
      <c r="K74">
        <v>47.53</v>
      </c>
      <c r="L74">
        <v>37.25</v>
      </c>
      <c r="M74">
        <v>-29.45</v>
      </c>
    </row>
    <row r="75" spans="1:13" x14ac:dyDescent="0.35">
      <c r="A75" s="513">
        <v>45084</v>
      </c>
      <c r="B75">
        <v>1415.4</v>
      </c>
      <c r="C75">
        <v>1420</v>
      </c>
      <c r="D75">
        <v>1395.05</v>
      </c>
      <c r="E75" s="489">
        <v>1405.75</v>
      </c>
      <c r="F75">
        <v>1405.7340260000001</v>
      </c>
      <c r="G75">
        <v>51678</v>
      </c>
      <c r="H75">
        <v>3127</v>
      </c>
      <c r="I75">
        <v>72645523</v>
      </c>
      <c r="J75">
        <v>24456</v>
      </c>
      <c r="K75">
        <v>47.32</v>
      </c>
      <c r="L75">
        <v>24.95</v>
      </c>
      <c r="M75">
        <v>-9.65</v>
      </c>
    </row>
    <row r="76" spans="1:13" x14ac:dyDescent="0.35">
      <c r="A76" s="513">
        <v>45083</v>
      </c>
      <c r="B76">
        <v>1395</v>
      </c>
      <c r="C76">
        <v>1414.8</v>
      </c>
      <c r="D76">
        <v>1388.65</v>
      </c>
      <c r="E76" s="489">
        <v>1410.7</v>
      </c>
      <c r="F76">
        <v>1404.3458880000001</v>
      </c>
      <c r="G76">
        <v>77684</v>
      </c>
      <c r="H76">
        <v>3830</v>
      </c>
      <c r="I76">
        <v>109095206</v>
      </c>
      <c r="J76">
        <v>36199</v>
      </c>
      <c r="K76">
        <v>46.6</v>
      </c>
      <c r="L76">
        <v>26.15</v>
      </c>
      <c r="M76">
        <v>15.7</v>
      </c>
    </row>
    <row r="77" spans="1:13" x14ac:dyDescent="0.35">
      <c r="A77" s="513">
        <v>45082</v>
      </c>
      <c r="B77">
        <v>1346.05</v>
      </c>
      <c r="C77">
        <v>1401.35</v>
      </c>
      <c r="D77">
        <v>1346.05</v>
      </c>
      <c r="E77" s="489">
        <v>1394.8</v>
      </c>
      <c r="F77">
        <v>1385.094421</v>
      </c>
      <c r="G77">
        <v>131824</v>
      </c>
      <c r="H77">
        <v>7590</v>
      </c>
      <c r="I77">
        <v>182588687</v>
      </c>
      <c r="J77">
        <v>47700</v>
      </c>
      <c r="K77">
        <v>36.18</v>
      </c>
      <c r="L77">
        <v>55.3</v>
      </c>
      <c r="M77">
        <v>48.75</v>
      </c>
    </row>
    <row r="78" spans="1:13" x14ac:dyDescent="0.35">
      <c r="A78" s="513">
        <v>45079</v>
      </c>
      <c r="B78">
        <v>1322.5</v>
      </c>
      <c r="C78">
        <v>1345</v>
      </c>
      <c r="D78">
        <v>1320.75</v>
      </c>
      <c r="E78" s="489">
        <v>1341.05</v>
      </c>
      <c r="F78">
        <v>1331.7449730000001</v>
      </c>
      <c r="G78">
        <v>27997</v>
      </c>
      <c r="H78">
        <v>1820</v>
      </c>
      <c r="I78">
        <v>37284864</v>
      </c>
      <c r="J78">
        <v>8989</v>
      </c>
      <c r="K78">
        <v>32.11</v>
      </c>
      <c r="L78">
        <v>24.25</v>
      </c>
      <c r="M78">
        <v>18.55</v>
      </c>
    </row>
    <row r="79" spans="1:13" x14ac:dyDescent="0.35">
      <c r="A79" s="513">
        <v>45078</v>
      </c>
      <c r="B79">
        <v>1319</v>
      </c>
      <c r="C79">
        <v>1337.95</v>
      </c>
      <c r="D79">
        <v>1313.4</v>
      </c>
      <c r="E79" s="489">
        <v>1318.85</v>
      </c>
      <c r="F79">
        <v>1325.6897389999999</v>
      </c>
      <c r="G79">
        <v>43212</v>
      </c>
      <c r="H79">
        <v>2833</v>
      </c>
      <c r="I79">
        <v>57285705</v>
      </c>
      <c r="J79">
        <v>15515</v>
      </c>
      <c r="K79">
        <v>35.9</v>
      </c>
      <c r="L79">
        <v>24.55</v>
      </c>
      <c r="M79">
        <v>-0.15</v>
      </c>
    </row>
    <row r="80" spans="1:13" x14ac:dyDescent="0.35">
      <c r="A80" s="513">
        <v>45077</v>
      </c>
      <c r="B80">
        <v>1327</v>
      </c>
      <c r="C80">
        <v>1328</v>
      </c>
      <c r="D80">
        <v>1303.55</v>
      </c>
      <c r="E80" s="489">
        <v>1318.4</v>
      </c>
      <c r="F80">
        <v>1317.4291659999999</v>
      </c>
      <c r="G80">
        <v>38181</v>
      </c>
      <c r="H80">
        <v>2692</v>
      </c>
      <c r="I80">
        <v>50300763</v>
      </c>
      <c r="J80">
        <v>20928</v>
      </c>
      <c r="K80">
        <v>54.81</v>
      </c>
      <c r="L80">
        <v>24.45</v>
      </c>
      <c r="M80">
        <v>-8.6</v>
      </c>
    </row>
    <row r="81" spans="1:13" x14ac:dyDescent="0.35">
      <c r="A81" s="513">
        <v>45076</v>
      </c>
      <c r="B81">
        <v>1338.95</v>
      </c>
      <c r="C81">
        <v>1338.95</v>
      </c>
      <c r="D81">
        <v>1319.55</v>
      </c>
      <c r="E81" s="489">
        <v>1328.2</v>
      </c>
      <c r="F81">
        <v>1329.8672389999999</v>
      </c>
      <c r="G81">
        <v>38543</v>
      </c>
      <c r="H81">
        <v>2717</v>
      </c>
      <c r="I81">
        <v>51257073</v>
      </c>
      <c r="J81">
        <v>15906</v>
      </c>
      <c r="K81">
        <v>41.27</v>
      </c>
      <c r="L81">
        <v>19.399999999999999</v>
      </c>
      <c r="M81">
        <v>-10.75</v>
      </c>
    </row>
    <row r="82" spans="1:13" x14ac:dyDescent="0.35">
      <c r="A82" s="513">
        <v>45075</v>
      </c>
      <c r="B82">
        <v>1312.05</v>
      </c>
      <c r="C82">
        <v>1350</v>
      </c>
      <c r="D82">
        <v>1300.5999999999999</v>
      </c>
      <c r="E82" s="489">
        <v>1329.45</v>
      </c>
      <c r="F82">
        <v>1329.4983340000001</v>
      </c>
      <c r="G82">
        <v>235310</v>
      </c>
      <c r="H82">
        <v>12281</v>
      </c>
      <c r="I82">
        <v>312844253</v>
      </c>
      <c r="J82">
        <v>117402</v>
      </c>
      <c r="K82">
        <v>49.89</v>
      </c>
      <c r="L82">
        <v>49.4</v>
      </c>
      <c r="M82">
        <v>17.399999999999999</v>
      </c>
    </row>
    <row r="83" spans="1:13" x14ac:dyDescent="0.35">
      <c r="A83" s="513">
        <v>45072</v>
      </c>
      <c r="B83">
        <v>1284</v>
      </c>
      <c r="C83">
        <v>1293.1500000000001</v>
      </c>
      <c r="D83">
        <v>1267.2</v>
      </c>
      <c r="E83" s="489">
        <v>1281.8499999999999</v>
      </c>
      <c r="F83">
        <v>1286.9770040000001</v>
      </c>
      <c r="G83">
        <v>276399</v>
      </c>
      <c r="H83">
        <v>5827</v>
      </c>
      <c r="I83">
        <v>355719157</v>
      </c>
      <c r="J83">
        <v>230845</v>
      </c>
      <c r="K83">
        <v>83.52</v>
      </c>
      <c r="L83">
        <v>25.95</v>
      </c>
      <c r="M83">
        <v>-2.15</v>
      </c>
    </row>
    <row r="84" spans="1:13" x14ac:dyDescent="0.35">
      <c r="A84" s="513">
        <v>45071</v>
      </c>
      <c r="B84">
        <v>1271.3499999999999</v>
      </c>
      <c r="C84">
        <v>1280</v>
      </c>
      <c r="D84">
        <v>1257.3499999999999</v>
      </c>
      <c r="E84" s="489">
        <v>1277.55</v>
      </c>
      <c r="F84">
        <v>1270.161544</v>
      </c>
      <c r="G84">
        <v>40992</v>
      </c>
      <c r="H84">
        <v>3395</v>
      </c>
      <c r="I84">
        <v>52066462</v>
      </c>
      <c r="J84">
        <v>22436</v>
      </c>
      <c r="K84">
        <v>54.73</v>
      </c>
      <c r="L84">
        <v>22.65</v>
      </c>
      <c r="M84">
        <v>6.2</v>
      </c>
    </row>
    <row r="85" spans="1:13" x14ac:dyDescent="0.35">
      <c r="A85" s="513">
        <v>45070</v>
      </c>
      <c r="B85">
        <v>1264.95</v>
      </c>
      <c r="C85">
        <v>1278</v>
      </c>
      <c r="D85">
        <v>1254.6500000000001</v>
      </c>
      <c r="E85" s="489">
        <v>1276.1500000000001</v>
      </c>
      <c r="F85">
        <v>1267.4546800000001</v>
      </c>
      <c r="G85">
        <v>21547</v>
      </c>
      <c r="H85">
        <v>2129</v>
      </c>
      <c r="I85">
        <v>27309846</v>
      </c>
      <c r="J85">
        <v>9387</v>
      </c>
      <c r="K85">
        <v>43.57</v>
      </c>
      <c r="L85">
        <v>23.35</v>
      </c>
      <c r="M85">
        <v>11.2</v>
      </c>
    </row>
    <row r="86" spans="1:13" x14ac:dyDescent="0.35">
      <c r="A86" s="513">
        <v>45069</v>
      </c>
      <c r="B86">
        <v>1268.6500000000001</v>
      </c>
      <c r="C86">
        <v>1270.8499999999999</v>
      </c>
      <c r="D86">
        <v>1256.4000000000001</v>
      </c>
      <c r="E86" s="489">
        <v>1268.3</v>
      </c>
      <c r="F86">
        <v>1265.8239550000001</v>
      </c>
      <c r="G86">
        <v>26783</v>
      </c>
      <c r="H86">
        <v>1776</v>
      </c>
      <c r="I86">
        <v>33902563</v>
      </c>
      <c r="J86">
        <v>8551</v>
      </c>
      <c r="K86">
        <v>31.93</v>
      </c>
      <c r="L86">
        <v>14.45</v>
      </c>
      <c r="M86">
        <v>-0.35</v>
      </c>
    </row>
    <row r="87" spans="1:13" x14ac:dyDescent="0.35">
      <c r="A87" s="513">
        <v>45068</v>
      </c>
      <c r="B87">
        <v>1260</v>
      </c>
      <c r="C87">
        <v>1269.75</v>
      </c>
      <c r="D87">
        <v>1251.75</v>
      </c>
      <c r="E87" s="489">
        <v>1265.4000000000001</v>
      </c>
      <c r="F87">
        <v>1264.1492920000001</v>
      </c>
      <c r="G87">
        <v>24998</v>
      </c>
      <c r="H87">
        <v>1412</v>
      </c>
      <c r="I87">
        <v>31601204</v>
      </c>
      <c r="J87">
        <v>12804</v>
      </c>
      <c r="K87">
        <v>51.22</v>
      </c>
      <c r="L87">
        <v>18</v>
      </c>
      <c r="M87">
        <v>5.4</v>
      </c>
    </row>
    <row r="88" spans="1:13" x14ac:dyDescent="0.35">
      <c r="A88" s="513">
        <v>45065</v>
      </c>
      <c r="B88">
        <v>1245.3499999999999</v>
      </c>
      <c r="C88">
        <v>1262.3499999999999</v>
      </c>
      <c r="D88">
        <v>1238</v>
      </c>
      <c r="E88" s="489">
        <v>1260.2</v>
      </c>
      <c r="F88">
        <v>1250.657659</v>
      </c>
      <c r="G88">
        <v>16615</v>
      </c>
      <c r="H88">
        <v>1720</v>
      </c>
      <c r="I88">
        <v>20779677</v>
      </c>
      <c r="J88">
        <v>4834</v>
      </c>
      <c r="K88">
        <v>29.09</v>
      </c>
      <c r="L88">
        <v>24.35</v>
      </c>
      <c r="M88">
        <v>14.85</v>
      </c>
    </row>
    <row r="89" spans="1:13" x14ac:dyDescent="0.35">
      <c r="A89" s="513">
        <v>45064</v>
      </c>
      <c r="B89">
        <v>1265.05</v>
      </c>
      <c r="C89">
        <v>1269</v>
      </c>
      <c r="D89">
        <v>1241.7</v>
      </c>
      <c r="E89" s="489">
        <v>1245.3</v>
      </c>
      <c r="F89">
        <v>1255.268957</v>
      </c>
      <c r="G89">
        <v>147429</v>
      </c>
      <c r="H89">
        <v>4983</v>
      </c>
      <c r="I89">
        <v>185063047</v>
      </c>
      <c r="J89">
        <v>110065</v>
      </c>
      <c r="K89">
        <v>74.66</v>
      </c>
      <c r="L89">
        <v>27.3</v>
      </c>
      <c r="M89">
        <v>-19.75</v>
      </c>
    </row>
    <row r="90" spans="1:13" x14ac:dyDescent="0.35">
      <c r="A90" s="513">
        <v>45063</v>
      </c>
      <c r="B90">
        <v>1268</v>
      </c>
      <c r="C90">
        <v>1271.9000000000001</v>
      </c>
      <c r="D90">
        <v>1261.3499999999999</v>
      </c>
      <c r="E90" s="489">
        <v>1263.3</v>
      </c>
      <c r="F90">
        <v>1266.89733</v>
      </c>
      <c r="G90">
        <v>181884</v>
      </c>
      <c r="H90">
        <v>5491</v>
      </c>
      <c r="I90">
        <v>230428354</v>
      </c>
      <c r="J90">
        <v>146233</v>
      </c>
      <c r="K90">
        <v>80.400000000000006</v>
      </c>
      <c r="L90">
        <v>10.55</v>
      </c>
      <c r="M90">
        <v>-4.7</v>
      </c>
    </row>
    <row r="91" spans="1:13" x14ac:dyDescent="0.35">
      <c r="A91" s="513">
        <v>45062</v>
      </c>
      <c r="B91">
        <v>1280.3</v>
      </c>
      <c r="C91">
        <v>1290.3</v>
      </c>
      <c r="D91">
        <v>1259.3499999999999</v>
      </c>
      <c r="E91" s="489">
        <v>1262.5</v>
      </c>
      <c r="F91">
        <v>1273.089477</v>
      </c>
      <c r="G91">
        <v>57523</v>
      </c>
      <c r="H91">
        <v>5279</v>
      </c>
      <c r="I91">
        <v>73231926</v>
      </c>
      <c r="J91">
        <v>35541</v>
      </c>
      <c r="K91">
        <v>61.79</v>
      </c>
      <c r="L91">
        <v>30.95</v>
      </c>
      <c r="M91">
        <v>-17.8</v>
      </c>
    </row>
    <row r="92" spans="1:13" x14ac:dyDescent="0.35">
      <c r="A92" s="513">
        <v>45061</v>
      </c>
      <c r="B92">
        <v>1279.95</v>
      </c>
      <c r="C92">
        <v>1287</v>
      </c>
      <c r="D92">
        <v>1272.5999999999999</v>
      </c>
      <c r="E92" s="489">
        <v>1285.8499999999999</v>
      </c>
      <c r="F92">
        <v>1282.331463</v>
      </c>
      <c r="G92">
        <v>29056</v>
      </c>
      <c r="H92">
        <v>2228</v>
      </c>
      <c r="I92">
        <v>37259423</v>
      </c>
      <c r="J92">
        <v>13236</v>
      </c>
      <c r="K92">
        <v>45.55</v>
      </c>
      <c r="L92">
        <v>14.4</v>
      </c>
      <c r="M92">
        <v>5.9</v>
      </c>
    </row>
    <row r="93" spans="1:13" x14ac:dyDescent="0.35">
      <c r="A93" s="513">
        <v>45058</v>
      </c>
      <c r="B93">
        <v>1253.05</v>
      </c>
      <c r="C93">
        <v>1278</v>
      </c>
      <c r="D93">
        <v>1249.55</v>
      </c>
      <c r="E93" s="489">
        <v>1275.8499999999999</v>
      </c>
      <c r="F93">
        <v>1266.572846</v>
      </c>
      <c r="G93">
        <v>103623</v>
      </c>
      <c r="H93">
        <v>6117</v>
      </c>
      <c r="I93">
        <v>131246078</v>
      </c>
      <c r="J93">
        <v>71151</v>
      </c>
      <c r="K93">
        <v>68.66</v>
      </c>
      <c r="L93">
        <v>28.45</v>
      </c>
      <c r="M93">
        <v>22.8</v>
      </c>
    </row>
    <row r="94" spans="1:13" x14ac:dyDescent="0.35">
      <c r="A94" s="513">
        <v>45057</v>
      </c>
      <c r="B94">
        <v>1248.6500000000001</v>
      </c>
      <c r="C94">
        <v>1260.7</v>
      </c>
      <c r="D94">
        <v>1244.2</v>
      </c>
      <c r="E94" s="489">
        <v>1251.95</v>
      </c>
      <c r="F94">
        <v>1252.4917620000001</v>
      </c>
      <c r="G94">
        <v>206173</v>
      </c>
      <c r="H94">
        <v>6535</v>
      </c>
      <c r="I94">
        <v>258229984</v>
      </c>
      <c r="J94">
        <v>162373</v>
      </c>
      <c r="K94">
        <v>78.760000000000005</v>
      </c>
      <c r="L94">
        <v>16.5</v>
      </c>
      <c r="M94">
        <v>3.3</v>
      </c>
    </row>
    <row r="95" spans="1:13" x14ac:dyDescent="0.35">
      <c r="A95" s="513">
        <v>45056</v>
      </c>
      <c r="B95">
        <v>1250</v>
      </c>
      <c r="C95">
        <v>1256.25</v>
      </c>
      <c r="D95">
        <v>1234.9000000000001</v>
      </c>
      <c r="E95" s="489">
        <v>1249</v>
      </c>
      <c r="F95">
        <v>1245.8704929999999</v>
      </c>
      <c r="G95">
        <v>123105</v>
      </c>
      <c r="H95">
        <v>3515</v>
      </c>
      <c r="I95">
        <v>153372887</v>
      </c>
      <c r="J95">
        <v>105649</v>
      </c>
      <c r="K95">
        <v>85.82</v>
      </c>
      <c r="L95">
        <v>21.35</v>
      </c>
      <c r="M95">
        <v>-1</v>
      </c>
    </row>
    <row r="96" spans="1:13" x14ac:dyDescent="0.35">
      <c r="A96" s="513">
        <v>45055</v>
      </c>
      <c r="B96">
        <v>1240</v>
      </c>
      <c r="C96">
        <v>1249.8</v>
      </c>
      <c r="D96">
        <v>1234.0999999999999</v>
      </c>
      <c r="E96" s="489">
        <v>1245.25</v>
      </c>
      <c r="F96">
        <v>1243.933415</v>
      </c>
      <c r="G96">
        <v>68409</v>
      </c>
      <c r="H96">
        <v>4087</v>
      </c>
      <c r="I96">
        <v>85096241</v>
      </c>
      <c r="J96">
        <v>31126</v>
      </c>
      <c r="K96">
        <v>45.5</v>
      </c>
      <c r="L96">
        <v>15.7</v>
      </c>
      <c r="M96">
        <v>5.25</v>
      </c>
    </row>
    <row r="97" spans="1:13" x14ac:dyDescent="0.35">
      <c r="A97" s="513">
        <v>45054</v>
      </c>
      <c r="B97">
        <v>1213.05</v>
      </c>
      <c r="C97">
        <v>1239.5</v>
      </c>
      <c r="D97">
        <v>1213.05</v>
      </c>
      <c r="E97" s="489">
        <v>1233.4000000000001</v>
      </c>
      <c r="F97">
        <v>1233.417027</v>
      </c>
      <c r="G97">
        <v>106089</v>
      </c>
      <c r="H97">
        <v>5226</v>
      </c>
      <c r="I97">
        <v>130851979</v>
      </c>
      <c r="J97">
        <v>73140</v>
      </c>
      <c r="K97">
        <v>68.94</v>
      </c>
      <c r="L97">
        <v>26.45</v>
      </c>
      <c r="M97">
        <v>20.350000000000001</v>
      </c>
    </row>
    <row r="98" spans="1:13" x14ac:dyDescent="0.35">
      <c r="A98" s="513">
        <v>45051</v>
      </c>
      <c r="B98">
        <v>1231.55</v>
      </c>
      <c r="C98">
        <v>1242.4000000000001</v>
      </c>
      <c r="D98">
        <v>1208.9000000000001</v>
      </c>
      <c r="E98" s="489">
        <v>1212.5</v>
      </c>
      <c r="F98">
        <v>1225.1799450000001</v>
      </c>
      <c r="G98">
        <v>39451</v>
      </c>
      <c r="H98">
        <v>2793</v>
      </c>
      <c r="I98">
        <v>48334574</v>
      </c>
      <c r="J98">
        <v>14036</v>
      </c>
      <c r="K98">
        <v>35.58</v>
      </c>
      <c r="L98">
        <v>33.5</v>
      </c>
      <c r="M98">
        <v>-19.05</v>
      </c>
    </row>
    <row r="99" spans="1:13" x14ac:dyDescent="0.35">
      <c r="A99" s="513">
        <v>45050</v>
      </c>
      <c r="B99">
        <v>1234</v>
      </c>
      <c r="C99">
        <v>1237.2</v>
      </c>
      <c r="D99">
        <v>1227.5999999999999</v>
      </c>
      <c r="E99" s="489">
        <v>1231.55</v>
      </c>
      <c r="F99">
        <v>1231.7054639999999</v>
      </c>
      <c r="G99">
        <v>63483</v>
      </c>
      <c r="H99">
        <v>3232</v>
      </c>
      <c r="I99">
        <v>78192358</v>
      </c>
      <c r="J99">
        <v>45137</v>
      </c>
      <c r="K99">
        <v>71.099999999999994</v>
      </c>
      <c r="L99">
        <v>9.6</v>
      </c>
      <c r="M99">
        <v>-2.4500000000000002</v>
      </c>
    </row>
    <row r="100" spans="1:13" x14ac:dyDescent="0.35">
      <c r="A100" s="513">
        <v>45049</v>
      </c>
      <c r="B100">
        <v>1229.5999999999999</v>
      </c>
      <c r="C100">
        <v>1241.95</v>
      </c>
      <c r="D100">
        <v>1229.5999999999999</v>
      </c>
      <c r="E100" s="489">
        <v>1235.45</v>
      </c>
      <c r="F100">
        <v>1235.7400419999999</v>
      </c>
      <c r="G100">
        <v>62814</v>
      </c>
      <c r="H100">
        <v>3898</v>
      </c>
      <c r="I100">
        <v>77621775</v>
      </c>
      <c r="J100">
        <v>43692</v>
      </c>
      <c r="K100">
        <v>69.56</v>
      </c>
      <c r="L100">
        <v>12.35</v>
      </c>
      <c r="M100">
        <v>5.85</v>
      </c>
    </row>
    <row r="101" spans="1:13" x14ac:dyDescent="0.35">
      <c r="A101" s="513">
        <v>45048</v>
      </c>
      <c r="B101">
        <v>1226.6500000000001</v>
      </c>
      <c r="C101">
        <v>1240.75</v>
      </c>
      <c r="D101">
        <v>1217.45</v>
      </c>
      <c r="E101" s="489">
        <v>1237.05</v>
      </c>
      <c r="F101">
        <v>1230.7775019999999</v>
      </c>
      <c r="G101">
        <v>35852</v>
      </c>
      <c r="H101">
        <v>2054</v>
      </c>
      <c r="I101">
        <v>44125835</v>
      </c>
      <c r="J101">
        <v>11195</v>
      </c>
      <c r="K101">
        <v>31.23</v>
      </c>
      <c r="L101">
        <v>23.3</v>
      </c>
      <c r="M101">
        <v>10.4</v>
      </c>
    </row>
    <row r="102" spans="1:13" x14ac:dyDescent="0.35">
      <c r="A102" s="513">
        <v>45044</v>
      </c>
      <c r="B102">
        <v>1224.05</v>
      </c>
      <c r="C102">
        <v>1228.5</v>
      </c>
      <c r="D102">
        <v>1211.9000000000001</v>
      </c>
      <c r="E102" s="489">
        <v>1226.5999999999999</v>
      </c>
      <c r="F102">
        <v>1221.8322800000001</v>
      </c>
      <c r="G102">
        <v>72287</v>
      </c>
      <c r="H102">
        <v>4447</v>
      </c>
      <c r="I102">
        <v>88322590</v>
      </c>
      <c r="J102">
        <v>40594</v>
      </c>
      <c r="K102">
        <v>56.16</v>
      </c>
      <c r="L102">
        <v>16.600000000000001</v>
      </c>
      <c r="M102">
        <v>2.5499999999999998</v>
      </c>
    </row>
    <row r="103" spans="1:13" x14ac:dyDescent="0.35">
      <c r="A103" s="513">
        <v>45043</v>
      </c>
      <c r="B103">
        <v>1212</v>
      </c>
      <c r="C103">
        <v>1225</v>
      </c>
      <c r="D103">
        <v>1210</v>
      </c>
      <c r="E103" s="489">
        <v>1224.05</v>
      </c>
      <c r="F103">
        <v>1220.409081</v>
      </c>
      <c r="G103">
        <v>49005</v>
      </c>
      <c r="H103">
        <v>3530</v>
      </c>
      <c r="I103">
        <v>59806147</v>
      </c>
      <c r="J103">
        <v>31244</v>
      </c>
      <c r="K103">
        <v>63.76</v>
      </c>
      <c r="L103">
        <v>15</v>
      </c>
      <c r="M103">
        <v>12.05</v>
      </c>
    </row>
    <row r="104" spans="1:13" x14ac:dyDescent="0.35">
      <c r="A104" s="513">
        <v>45042</v>
      </c>
      <c r="B104">
        <v>1205.05</v>
      </c>
      <c r="C104">
        <v>1216.55</v>
      </c>
      <c r="D104">
        <v>1205.05</v>
      </c>
      <c r="E104" s="489">
        <v>1214.05</v>
      </c>
      <c r="F104">
        <v>1211.0696889999999</v>
      </c>
      <c r="G104">
        <v>13632</v>
      </c>
      <c r="H104">
        <v>1093</v>
      </c>
      <c r="I104">
        <v>16509302</v>
      </c>
      <c r="J104">
        <v>4894</v>
      </c>
      <c r="K104">
        <v>35.9</v>
      </c>
      <c r="L104">
        <v>11.5</v>
      </c>
      <c r="M104">
        <v>9</v>
      </c>
    </row>
    <row r="105" spans="1:13" x14ac:dyDescent="0.35">
      <c r="A105" s="513">
        <v>45041</v>
      </c>
      <c r="B105">
        <v>1213.95</v>
      </c>
      <c r="C105">
        <v>1214.95</v>
      </c>
      <c r="D105">
        <v>1199.2</v>
      </c>
      <c r="E105" s="489">
        <v>1209.55</v>
      </c>
      <c r="F105">
        <v>1205.3068430000001</v>
      </c>
      <c r="G105">
        <v>30061</v>
      </c>
      <c r="H105">
        <v>2953</v>
      </c>
      <c r="I105">
        <v>36232729</v>
      </c>
      <c r="J105">
        <v>18325</v>
      </c>
      <c r="K105">
        <v>60.96</v>
      </c>
      <c r="L105">
        <v>15.75</v>
      </c>
      <c r="M105">
        <v>-4.4000000000000004</v>
      </c>
    </row>
    <row r="106" spans="1:13" x14ac:dyDescent="0.35">
      <c r="A106" s="513">
        <v>45040</v>
      </c>
      <c r="B106">
        <v>1207.05</v>
      </c>
      <c r="C106">
        <v>1216.95</v>
      </c>
      <c r="D106">
        <v>1195.6500000000001</v>
      </c>
      <c r="E106" s="489">
        <v>1207.75</v>
      </c>
      <c r="F106">
        <v>1205.1824329999999</v>
      </c>
      <c r="G106">
        <v>32390</v>
      </c>
      <c r="H106">
        <v>3493</v>
      </c>
      <c r="I106">
        <v>39035859</v>
      </c>
      <c r="J106">
        <v>15486</v>
      </c>
      <c r="K106">
        <v>47.81</v>
      </c>
      <c r="L106">
        <v>21.3</v>
      </c>
      <c r="M106">
        <v>0.7</v>
      </c>
    </row>
    <row r="107" spans="1:13" x14ac:dyDescent="0.35">
      <c r="A107" s="513">
        <v>45037</v>
      </c>
      <c r="B107">
        <v>1216.55</v>
      </c>
      <c r="C107">
        <v>1219.95</v>
      </c>
      <c r="D107">
        <v>1209.25</v>
      </c>
      <c r="E107" s="489">
        <v>1212.8</v>
      </c>
      <c r="F107">
        <v>1213.2565090000001</v>
      </c>
      <c r="G107">
        <v>24311</v>
      </c>
      <c r="H107">
        <v>2420</v>
      </c>
      <c r="I107">
        <v>29495479</v>
      </c>
      <c r="J107">
        <v>14380</v>
      </c>
      <c r="K107">
        <v>59.15</v>
      </c>
      <c r="L107">
        <v>10.7</v>
      </c>
      <c r="M107">
        <v>-3.75</v>
      </c>
    </row>
    <row r="108" spans="1:13" x14ac:dyDescent="0.35">
      <c r="A108" s="513">
        <v>45036</v>
      </c>
      <c r="B108">
        <v>1216</v>
      </c>
      <c r="C108">
        <v>1224.5999999999999</v>
      </c>
      <c r="D108">
        <v>1214.6500000000001</v>
      </c>
      <c r="E108" s="489">
        <v>1218.5999999999999</v>
      </c>
      <c r="F108">
        <v>1219.8428799999999</v>
      </c>
      <c r="G108">
        <v>49669</v>
      </c>
      <c r="H108">
        <v>4315</v>
      </c>
      <c r="I108">
        <v>60588376</v>
      </c>
      <c r="J108">
        <v>23031</v>
      </c>
      <c r="K108">
        <v>46.37</v>
      </c>
      <c r="L108">
        <v>9.9499999999999993</v>
      </c>
      <c r="M108">
        <v>2.6</v>
      </c>
    </row>
    <row r="109" spans="1:13" x14ac:dyDescent="0.35">
      <c r="A109" s="513">
        <v>45035</v>
      </c>
      <c r="B109">
        <v>1211</v>
      </c>
      <c r="C109">
        <v>1217.1500000000001</v>
      </c>
      <c r="D109">
        <v>1204</v>
      </c>
      <c r="E109" s="489">
        <v>1215.8499999999999</v>
      </c>
      <c r="F109">
        <v>1212.7029090000001</v>
      </c>
      <c r="G109">
        <v>45003</v>
      </c>
      <c r="H109">
        <v>3809</v>
      </c>
      <c r="I109">
        <v>54575269</v>
      </c>
      <c r="J109">
        <v>23426</v>
      </c>
      <c r="K109">
        <v>52.05</v>
      </c>
      <c r="L109">
        <v>13.15</v>
      </c>
      <c r="M109">
        <v>4.8499999999999996</v>
      </c>
    </row>
    <row r="110" spans="1:13" x14ac:dyDescent="0.35">
      <c r="A110" s="513">
        <v>45034</v>
      </c>
      <c r="B110">
        <v>1212</v>
      </c>
      <c r="C110">
        <v>1219.75</v>
      </c>
      <c r="D110">
        <v>1202.55</v>
      </c>
      <c r="E110" s="489">
        <v>1204.95</v>
      </c>
      <c r="F110">
        <v>1206.5318789999999</v>
      </c>
      <c r="G110">
        <v>66799</v>
      </c>
      <c r="H110">
        <v>4865</v>
      </c>
      <c r="I110">
        <v>80595123</v>
      </c>
      <c r="J110">
        <v>47875</v>
      </c>
      <c r="K110">
        <v>71.67</v>
      </c>
      <c r="L110">
        <v>17.2</v>
      </c>
      <c r="M110">
        <v>-7.05</v>
      </c>
    </row>
    <row r="111" spans="1:13" x14ac:dyDescent="0.35">
      <c r="A111" s="513">
        <v>45033</v>
      </c>
      <c r="B111">
        <v>1208</v>
      </c>
      <c r="C111">
        <v>1216.8</v>
      </c>
      <c r="D111">
        <v>1203.5</v>
      </c>
      <c r="E111" s="489">
        <v>1212.95</v>
      </c>
      <c r="F111">
        <v>1207.582044</v>
      </c>
      <c r="G111">
        <v>67543</v>
      </c>
      <c r="H111">
        <v>4542</v>
      </c>
      <c r="I111">
        <v>81563714</v>
      </c>
      <c r="J111">
        <v>38899</v>
      </c>
      <c r="K111">
        <v>57.59</v>
      </c>
      <c r="L111">
        <v>13.3</v>
      </c>
      <c r="M111">
        <v>4.95</v>
      </c>
    </row>
    <row r="112" spans="1:13" x14ac:dyDescent="0.35">
      <c r="A112" s="513">
        <v>45029</v>
      </c>
      <c r="B112">
        <v>1211.05</v>
      </c>
      <c r="C112">
        <v>1222</v>
      </c>
      <c r="D112">
        <v>1199.4000000000001</v>
      </c>
      <c r="E112" s="489">
        <v>1204.6500000000001</v>
      </c>
      <c r="F112">
        <v>1207.5119010000001</v>
      </c>
      <c r="G112">
        <v>52852</v>
      </c>
      <c r="H112">
        <v>4364</v>
      </c>
      <c r="I112">
        <v>63819419</v>
      </c>
      <c r="J112">
        <v>24650</v>
      </c>
      <c r="K112">
        <v>46.64</v>
      </c>
      <c r="L112">
        <v>22.6</v>
      </c>
      <c r="M112">
        <v>-6.4</v>
      </c>
    </row>
    <row r="113" spans="1:13" x14ac:dyDescent="0.35">
      <c r="A113" s="513">
        <v>45028</v>
      </c>
      <c r="B113">
        <v>1201.7</v>
      </c>
      <c r="C113">
        <v>1213</v>
      </c>
      <c r="D113">
        <v>1199.0999999999999</v>
      </c>
      <c r="E113" s="489">
        <v>1207.8</v>
      </c>
      <c r="F113">
        <v>1207.979347</v>
      </c>
      <c r="G113">
        <v>77956</v>
      </c>
      <c r="H113">
        <v>6015</v>
      </c>
      <c r="I113">
        <v>94169238</v>
      </c>
      <c r="J113">
        <v>40261</v>
      </c>
      <c r="K113">
        <v>51.65</v>
      </c>
      <c r="L113">
        <v>13.9</v>
      </c>
      <c r="M113">
        <v>6.1</v>
      </c>
    </row>
    <row r="114" spans="1:13" x14ac:dyDescent="0.35">
      <c r="A114" s="513">
        <v>45027</v>
      </c>
      <c r="B114">
        <v>1192.45</v>
      </c>
      <c r="C114">
        <v>1204</v>
      </c>
      <c r="D114">
        <v>1188.3499999999999</v>
      </c>
      <c r="E114" s="489">
        <v>1201.8499999999999</v>
      </c>
      <c r="F114">
        <v>1195.856757</v>
      </c>
      <c r="G114">
        <v>28895</v>
      </c>
      <c r="H114">
        <v>2317</v>
      </c>
      <c r="I114">
        <v>34554281</v>
      </c>
      <c r="J114">
        <v>8653</v>
      </c>
      <c r="K114">
        <v>29.95</v>
      </c>
      <c r="L114">
        <v>15.65</v>
      </c>
      <c r="M114">
        <v>9.4</v>
      </c>
    </row>
    <row r="115" spans="1:13" x14ac:dyDescent="0.35">
      <c r="A115" s="513">
        <v>45026</v>
      </c>
      <c r="B115">
        <v>1170</v>
      </c>
      <c r="C115">
        <v>1191</v>
      </c>
      <c r="D115">
        <v>1170</v>
      </c>
      <c r="E115" s="489">
        <v>1188.3499999999999</v>
      </c>
      <c r="F115">
        <v>1184.0396470000001</v>
      </c>
      <c r="G115">
        <v>120589</v>
      </c>
      <c r="H115">
        <v>6818</v>
      </c>
      <c r="I115">
        <v>142782157</v>
      </c>
      <c r="J115">
        <v>68160</v>
      </c>
      <c r="K115">
        <v>56.52</v>
      </c>
      <c r="L115">
        <v>21</v>
      </c>
      <c r="M115">
        <v>18.350000000000001</v>
      </c>
    </row>
    <row r="116" spans="1:13" x14ac:dyDescent="0.35">
      <c r="A116" s="513">
        <v>45022</v>
      </c>
      <c r="B116">
        <v>1152.05</v>
      </c>
      <c r="C116">
        <v>1174.7</v>
      </c>
      <c r="D116">
        <v>1148.3</v>
      </c>
      <c r="E116" s="489">
        <v>1171.25</v>
      </c>
      <c r="F116">
        <v>1164.5019749999999</v>
      </c>
      <c r="G116">
        <v>52140</v>
      </c>
      <c r="H116">
        <v>4074</v>
      </c>
      <c r="I116">
        <v>60717133</v>
      </c>
      <c r="J116">
        <v>25225</v>
      </c>
      <c r="K116">
        <v>48.38</v>
      </c>
      <c r="L116">
        <v>26.4</v>
      </c>
      <c r="M116">
        <v>19.2</v>
      </c>
    </row>
    <row r="117" spans="1:13" x14ac:dyDescent="0.35">
      <c r="A117" s="513">
        <v>45021</v>
      </c>
      <c r="B117">
        <v>1166.5999999999999</v>
      </c>
      <c r="C117">
        <v>1172.6500000000001</v>
      </c>
      <c r="D117">
        <v>1152.25</v>
      </c>
      <c r="E117" s="489">
        <v>1155.6500000000001</v>
      </c>
      <c r="F117">
        <v>1162.08132</v>
      </c>
      <c r="G117">
        <v>64658</v>
      </c>
      <c r="H117">
        <v>5102</v>
      </c>
      <c r="I117">
        <v>75137854</v>
      </c>
      <c r="J117">
        <v>41757</v>
      </c>
      <c r="K117">
        <v>64.58</v>
      </c>
      <c r="L117">
        <v>20.399999999999999</v>
      </c>
      <c r="M117">
        <v>-10.95</v>
      </c>
    </row>
    <row r="118" spans="1:13" x14ac:dyDescent="0.35">
      <c r="A118" s="513">
        <v>45019</v>
      </c>
      <c r="B118">
        <v>1162</v>
      </c>
      <c r="C118">
        <v>1179.8499999999999</v>
      </c>
      <c r="D118">
        <v>1156</v>
      </c>
      <c r="E118" s="489">
        <v>1170.1500000000001</v>
      </c>
      <c r="F118">
        <v>1168.7692979999999</v>
      </c>
      <c r="G118">
        <v>47893</v>
      </c>
      <c r="H118">
        <v>3380</v>
      </c>
      <c r="I118">
        <v>55975868</v>
      </c>
      <c r="J118">
        <v>14567</v>
      </c>
      <c r="K118">
        <v>30.42</v>
      </c>
      <c r="L118">
        <v>23.85</v>
      </c>
      <c r="M118">
        <v>8.15</v>
      </c>
    </row>
    <row r="119" spans="1:13" x14ac:dyDescent="0.35">
      <c r="A119" s="513">
        <v>45016</v>
      </c>
      <c r="B119">
        <v>1150.8499999999999</v>
      </c>
      <c r="C119">
        <v>1162.5999999999999</v>
      </c>
      <c r="D119">
        <v>1145.5999999999999</v>
      </c>
      <c r="E119" s="489">
        <v>1158.55</v>
      </c>
      <c r="F119">
        <v>1153.5861560000001</v>
      </c>
      <c r="G119">
        <v>78462</v>
      </c>
      <c r="H119">
        <v>6525</v>
      </c>
      <c r="I119">
        <v>90512677</v>
      </c>
      <c r="J119">
        <v>38776</v>
      </c>
      <c r="K119">
        <v>49.42</v>
      </c>
      <c r="L119">
        <v>17</v>
      </c>
      <c r="M119">
        <v>7.7</v>
      </c>
    </row>
    <row r="120" spans="1:13" x14ac:dyDescent="0.35">
      <c r="A120" s="513">
        <v>45014</v>
      </c>
      <c r="B120">
        <v>1130.4000000000001</v>
      </c>
      <c r="C120">
        <v>1152.2</v>
      </c>
      <c r="D120">
        <v>1130.4000000000001</v>
      </c>
      <c r="E120" s="489">
        <v>1144.75</v>
      </c>
      <c r="F120">
        <v>1144.532344</v>
      </c>
      <c r="G120">
        <v>43934</v>
      </c>
      <c r="H120">
        <v>2582</v>
      </c>
      <c r="I120">
        <v>50283884</v>
      </c>
      <c r="J120">
        <v>11100</v>
      </c>
      <c r="K120">
        <v>25.27</v>
      </c>
      <c r="L120">
        <v>21.8</v>
      </c>
      <c r="M120">
        <v>14.35</v>
      </c>
    </row>
    <row r="121" spans="1:13" x14ac:dyDescent="0.35">
      <c r="A121" s="513">
        <v>45013</v>
      </c>
      <c r="B121">
        <v>1144.95</v>
      </c>
      <c r="C121">
        <v>1148.2</v>
      </c>
      <c r="D121">
        <v>1124</v>
      </c>
      <c r="E121" s="489">
        <v>1128.0999999999999</v>
      </c>
      <c r="F121">
        <v>1131.8340020000001</v>
      </c>
      <c r="G121">
        <v>53838</v>
      </c>
      <c r="H121">
        <v>4218</v>
      </c>
      <c r="I121">
        <v>60935679</v>
      </c>
      <c r="J121">
        <v>25922</v>
      </c>
      <c r="K121">
        <v>48.15</v>
      </c>
      <c r="L121">
        <v>24.2</v>
      </c>
      <c r="M121">
        <v>-16.850000000000001</v>
      </c>
    </row>
    <row r="122" spans="1:13" x14ac:dyDescent="0.35">
      <c r="A122" s="513">
        <v>45012</v>
      </c>
      <c r="B122">
        <v>1140.05</v>
      </c>
      <c r="C122">
        <v>1150.05</v>
      </c>
      <c r="D122">
        <v>1126</v>
      </c>
      <c r="E122" s="489">
        <v>1138</v>
      </c>
      <c r="F122">
        <v>1138.727273</v>
      </c>
      <c r="G122">
        <v>41371</v>
      </c>
      <c r="H122">
        <v>3353</v>
      </c>
      <c r="I122">
        <v>47110286</v>
      </c>
      <c r="J122">
        <v>11581</v>
      </c>
      <c r="K122">
        <v>27.99</v>
      </c>
      <c r="L122">
        <v>24.05</v>
      </c>
      <c r="M122">
        <v>-2.0499999999999998</v>
      </c>
    </row>
    <row r="123" spans="1:13" x14ac:dyDescent="0.35">
      <c r="A123" s="513">
        <v>45009</v>
      </c>
      <c r="B123">
        <v>1158.55</v>
      </c>
      <c r="C123">
        <v>1170</v>
      </c>
      <c r="D123">
        <v>1147.75</v>
      </c>
      <c r="E123" s="489">
        <v>1150.2</v>
      </c>
      <c r="F123">
        <v>1158.4173109999999</v>
      </c>
      <c r="G123">
        <v>22391</v>
      </c>
      <c r="H123">
        <v>2246</v>
      </c>
      <c r="I123">
        <v>25938122</v>
      </c>
      <c r="J123">
        <v>6602</v>
      </c>
      <c r="K123">
        <v>29.48</v>
      </c>
      <c r="L123">
        <v>22.25</v>
      </c>
      <c r="M123">
        <v>-8.35</v>
      </c>
    </row>
    <row r="124" spans="1:13" x14ac:dyDescent="0.35">
      <c r="A124" s="513">
        <v>45008</v>
      </c>
      <c r="B124">
        <v>1169.95</v>
      </c>
      <c r="C124">
        <v>1174.7</v>
      </c>
      <c r="D124">
        <v>1154.05</v>
      </c>
      <c r="E124" s="489">
        <v>1164.8</v>
      </c>
      <c r="F124">
        <v>1164.986885</v>
      </c>
      <c r="G124">
        <v>48798</v>
      </c>
      <c r="H124">
        <v>4402</v>
      </c>
      <c r="I124">
        <v>56849030</v>
      </c>
      <c r="J124">
        <v>16848</v>
      </c>
      <c r="K124">
        <v>34.53</v>
      </c>
      <c r="L124">
        <v>20.65</v>
      </c>
      <c r="M124">
        <v>-5.15</v>
      </c>
    </row>
    <row r="125" spans="1:13" x14ac:dyDescent="0.35">
      <c r="A125" s="513">
        <v>45007</v>
      </c>
      <c r="B125">
        <v>1169.5999999999999</v>
      </c>
      <c r="C125">
        <v>1180.3</v>
      </c>
      <c r="D125">
        <v>1158.6500000000001</v>
      </c>
      <c r="E125" s="489">
        <v>1164.4000000000001</v>
      </c>
      <c r="F125">
        <v>1169.64518</v>
      </c>
      <c r="G125">
        <v>24759</v>
      </c>
      <c r="H125">
        <v>1945</v>
      </c>
      <c r="I125">
        <v>28959245</v>
      </c>
      <c r="J125">
        <v>7928</v>
      </c>
      <c r="K125">
        <v>32.020000000000003</v>
      </c>
      <c r="L125">
        <v>21.65</v>
      </c>
      <c r="M125">
        <v>-5.2</v>
      </c>
    </row>
    <row r="126" spans="1:13" x14ac:dyDescent="0.35">
      <c r="A126" s="513">
        <v>45006</v>
      </c>
      <c r="B126">
        <v>1178.8</v>
      </c>
      <c r="C126">
        <v>1178.8</v>
      </c>
      <c r="D126">
        <v>1156.75</v>
      </c>
      <c r="E126" s="489">
        <v>1160.1500000000001</v>
      </c>
      <c r="F126">
        <v>1163.997584</v>
      </c>
      <c r="G126">
        <v>24011</v>
      </c>
      <c r="H126">
        <v>2200</v>
      </c>
      <c r="I126">
        <v>27948746</v>
      </c>
      <c r="J126">
        <v>9218</v>
      </c>
      <c r="K126">
        <v>38.39</v>
      </c>
      <c r="L126">
        <v>22.05</v>
      </c>
      <c r="M126">
        <v>-18.649999999999999</v>
      </c>
    </row>
    <row r="127" spans="1:13" x14ac:dyDescent="0.35">
      <c r="A127" s="513">
        <v>45005</v>
      </c>
      <c r="B127">
        <v>1166.3</v>
      </c>
      <c r="C127">
        <v>1178</v>
      </c>
      <c r="D127">
        <v>1145</v>
      </c>
      <c r="E127" s="489">
        <v>1167.55</v>
      </c>
      <c r="F127">
        <v>1157.8688360000001</v>
      </c>
      <c r="G127">
        <v>55000</v>
      </c>
      <c r="H127">
        <v>5868</v>
      </c>
      <c r="I127">
        <v>63682786</v>
      </c>
      <c r="J127">
        <v>21832</v>
      </c>
      <c r="K127">
        <v>39.69</v>
      </c>
      <c r="L127">
        <v>33</v>
      </c>
      <c r="M127">
        <v>1.25</v>
      </c>
    </row>
    <row r="128" spans="1:13" x14ac:dyDescent="0.35">
      <c r="A128" s="513">
        <v>45002</v>
      </c>
      <c r="B128">
        <v>1177.95</v>
      </c>
      <c r="C128">
        <v>1186.4000000000001</v>
      </c>
      <c r="D128">
        <v>1152.55</v>
      </c>
      <c r="E128" s="489">
        <v>1171.8</v>
      </c>
      <c r="F128">
        <v>1169.489534</v>
      </c>
      <c r="G128">
        <v>53698</v>
      </c>
      <c r="H128">
        <v>4465</v>
      </c>
      <c r="I128">
        <v>62799249</v>
      </c>
      <c r="J128">
        <v>17374</v>
      </c>
      <c r="K128">
        <v>32.36</v>
      </c>
      <c r="L128">
        <v>33.85</v>
      </c>
      <c r="M128">
        <v>-6.15</v>
      </c>
    </row>
    <row r="129" spans="1:13" x14ac:dyDescent="0.35">
      <c r="A129" s="513">
        <v>45001</v>
      </c>
      <c r="B129">
        <v>1156.1500000000001</v>
      </c>
      <c r="C129">
        <v>1175</v>
      </c>
      <c r="D129">
        <v>1140.4000000000001</v>
      </c>
      <c r="E129" s="489">
        <v>1167.95</v>
      </c>
      <c r="F129">
        <v>1160.0514270000001</v>
      </c>
      <c r="G129">
        <v>52638</v>
      </c>
      <c r="H129">
        <v>2864</v>
      </c>
      <c r="I129">
        <v>61062787</v>
      </c>
      <c r="J129">
        <v>25124</v>
      </c>
      <c r="K129">
        <v>47.73</v>
      </c>
      <c r="L129">
        <v>34.6</v>
      </c>
      <c r="M129">
        <v>11.8</v>
      </c>
    </row>
    <row r="130" spans="1:13" x14ac:dyDescent="0.35">
      <c r="A130" s="513">
        <v>45000</v>
      </c>
      <c r="B130">
        <v>1169.95</v>
      </c>
      <c r="C130">
        <v>1174.4000000000001</v>
      </c>
      <c r="D130">
        <v>1153.8499999999999</v>
      </c>
      <c r="E130" s="489">
        <v>1159.95</v>
      </c>
      <c r="F130">
        <v>1165.180486</v>
      </c>
      <c r="G130">
        <v>32130</v>
      </c>
      <c r="H130">
        <v>2112</v>
      </c>
      <c r="I130">
        <v>37437249</v>
      </c>
      <c r="J130">
        <v>12343</v>
      </c>
      <c r="K130">
        <v>38.42</v>
      </c>
      <c r="L130">
        <v>20.55</v>
      </c>
      <c r="M130">
        <v>-10</v>
      </c>
    </row>
    <row r="131" spans="1:13" x14ac:dyDescent="0.35">
      <c r="A131" s="513">
        <v>44999</v>
      </c>
      <c r="B131">
        <v>1191.05</v>
      </c>
      <c r="C131">
        <v>1196</v>
      </c>
      <c r="D131">
        <v>1157.25</v>
      </c>
      <c r="E131" s="489">
        <v>1160.25</v>
      </c>
      <c r="F131">
        <v>1171.6574270000001</v>
      </c>
      <c r="G131">
        <v>171251</v>
      </c>
      <c r="H131">
        <v>10942</v>
      </c>
      <c r="I131">
        <v>200647506</v>
      </c>
      <c r="J131">
        <v>53132</v>
      </c>
      <c r="K131">
        <v>31.03</v>
      </c>
      <c r="L131">
        <v>38.75</v>
      </c>
      <c r="M131">
        <v>-30.8</v>
      </c>
    </row>
    <row r="132" spans="1:13" x14ac:dyDescent="0.35">
      <c r="A132" s="513">
        <v>44998</v>
      </c>
      <c r="B132">
        <v>1220.05</v>
      </c>
      <c r="C132">
        <v>1231.7</v>
      </c>
      <c r="D132">
        <v>1182.8</v>
      </c>
      <c r="E132" s="489">
        <v>1195.1500000000001</v>
      </c>
      <c r="F132">
        <v>1198.089612</v>
      </c>
      <c r="G132">
        <v>491417</v>
      </c>
      <c r="H132">
        <v>10717</v>
      </c>
      <c r="I132">
        <v>588761603</v>
      </c>
      <c r="J132">
        <v>410508</v>
      </c>
      <c r="K132">
        <v>83.54</v>
      </c>
      <c r="L132">
        <v>48.9</v>
      </c>
      <c r="M132">
        <v>-24.9</v>
      </c>
    </row>
    <row r="133" spans="1:13" x14ac:dyDescent="0.35">
      <c r="A133" s="513">
        <v>44995</v>
      </c>
      <c r="B133">
        <v>1246.4000000000001</v>
      </c>
      <c r="C133">
        <v>1255.5</v>
      </c>
      <c r="D133">
        <v>1225</v>
      </c>
      <c r="E133" s="489">
        <v>1226.7</v>
      </c>
      <c r="F133">
        <v>1235.2823519999999</v>
      </c>
      <c r="G133">
        <v>45252</v>
      </c>
      <c r="H133">
        <v>3108</v>
      </c>
      <c r="I133">
        <v>55898997</v>
      </c>
      <c r="J133">
        <v>17410</v>
      </c>
      <c r="K133">
        <v>38.47</v>
      </c>
      <c r="L133">
        <v>30.5</v>
      </c>
      <c r="M133">
        <v>-19.7</v>
      </c>
    </row>
    <row r="134" spans="1:13" x14ac:dyDescent="0.35">
      <c r="A134" s="513">
        <v>44994</v>
      </c>
      <c r="B134">
        <v>1285.4000000000001</v>
      </c>
      <c r="C134">
        <v>1292.05</v>
      </c>
      <c r="D134">
        <v>1244.3499999999999</v>
      </c>
      <c r="E134" s="489">
        <v>1247.55</v>
      </c>
      <c r="F134">
        <v>1257.881791</v>
      </c>
      <c r="G134">
        <v>104975</v>
      </c>
      <c r="H134">
        <v>8301</v>
      </c>
      <c r="I134">
        <v>132046141</v>
      </c>
      <c r="J134">
        <v>51162</v>
      </c>
      <c r="K134">
        <v>48.74</v>
      </c>
      <c r="L134">
        <v>47.7</v>
      </c>
      <c r="M134">
        <v>-37.85</v>
      </c>
    </row>
    <row r="135" spans="1:13" x14ac:dyDescent="0.35">
      <c r="A135" s="513">
        <v>44993</v>
      </c>
      <c r="B135">
        <v>1269.8</v>
      </c>
      <c r="C135">
        <v>1292</v>
      </c>
      <c r="D135">
        <v>1259.05</v>
      </c>
      <c r="E135" s="489">
        <v>1290.2</v>
      </c>
      <c r="F135">
        <v>1277.3192329999999</v>
      </c>
      <c r="G135">
        <v>25342</v>
      </c>
      <c r="H135">
        <v>1754</v>
      </c>
      <c r="I135">
        <v>32369824</v>
      </c>
      <c r="J135">
        <v>6060</v>
      </c>
      <c r="K135">
        <v>23.91</v>
      </c>
      <c r="L135">
        <v>32.950000000000003</v>
      </c>
      <c r="M135">
        <v>20.399999999999999</v>
      </c>
    </row>
    <row r="136" spans="1:13" x14ac:dyDescent="0.35">
      <c r="A136" s="513">
        <v>44991</v>
      </c>
      <c r="B136">
        <v>1266.6500000000001</v>
      </c>
      <c r="C136">
        <v>1284.5999999999999</v>
      </c>
      <c r="D136">
        <v>1266.6500000000001</v>
      </c>
      <c r="E136" s="489">
        <v>1269.8</v>
      </c>
      <c r="F136">
        <v>1277.2307310000001</v>
      </c>
      <c r="G136">
        <v>28440</v>
      </c>
      <c r="H136">
        <v>4313</v>
      </c>
      <c r="I136">
        <v>36324442</v>
      </c>
      <c r="J136">
        <v>17306</v>
      </c>
      <c r="K136">
        <v>60.85</v>
      </c>
      <c r="L136">
        <v>17.95</v>
      </c>
      <c r="M136">
        <v>3.15</v>
      </c>
    </row>
    <row r="137" spans="1:13" x14ac:dyDescent="0.35">
      <c r="A137" s="513">
        <v>44988</v>
      </c>
      <c r="B137">
        <v>1255.25</v>
      </c>
      <c r="C137">
        <v>1276</v>
      </c>
      <c r="D137">
        <v>1253</v>
      </c>
      <c r="E137" s="489">
        <v>1268.1500000000001</v>
      </c>
      <c r="F137">
        <v>1267.2219009999999</v>
      </c>
      <c r="G137">
        <v>44218</v>
      </c>
      <c r="H137">
        <v>3424</v>
      </c>
      <c r="I137">
        <v>56034018</v>
      </c>
      <c r="J137">
        <v>19233</v>
      </c>
      <c r="K137">
        <v>43.5</v>
      </c>
      <c r="L137">
        <v>23</v>
      </c>
      <c r="M137">
        <v>12.9</v>
      </c>
    </row>
    <row r="138" spans="1:13" x14ac:dyDescent="0.35">
      <c r="A138" s="513">
        <v>44987</v>
      </c>
      <c r="B138">
        <v>1277</v>
      </c>
      <c r="C138">
        <v>1278.5999999999999</v>
      </c>
      <c r="D138">
        <v>1250</v>
      </c>
      <c r="E138" s="489">
        <v>1251.9000000000001</v>
      </c>
      <c r="F138">
        <v>1257.6551280000001</v>
      </c>
      <c r="G138">
        <v>42236</v>
      </c>
      <c r="H138">
        <v>4388</v>
      </c>
      <c r="I138">
        <v>53118322</v>
      </c>
      <c r="J138">
        <v>19500</v>
      </c>
      <c r="K138">
        <v>46.17</v>
      </c>
      <c r="L138">
        <v>28.6</v>
      </c>
      <c r="M138">
        <v>-25.1</v>
      </c>
    </row>
    <row r="139" spans="1:13" x14ac:dyDescent="0.35">
      <c r="A139" s="513">
        <v>44986</v>
      </c>
      <c r="B139">
        <v>1279.8499999999999</v>
      </c>
      <c r="C139">
        <v>1305.5</v>
      </c>
      <c r="D139">
        <v>1269.8499999999999</v>
      </c>
      <c r="E139" s="489">
        <v>1273.6500000000001</v>
      </c>
      <c r="F139">
        <v>1288.9067210000001</v>
      </c>
      <c r="G139">
        <v>59456</v>
      </c>
      <c r="H139">
        <v>4442</v>
      </c>
      <c r="I139">
        <v>76633238</v>
      </c>
      <c r="J139">
        <v>17054</v>
      </c>
      <c r="K139">
        <v>28.68</v>
      </c>
      <c r="L139">
        <v>35.65</v>
      </c>
      <c r="M139">
        <v>-6.2</v>
      </c>
    </row>
    <row r="140" spans="1:13" x14ac:dyDescent="0.35">
      <c r="A140" s="513">
        <v>44985</v>
      </c>
      <c r="B140">
        <v>1265.8499999999999</v>
      </c>
      <c r="C140">
        <v>1293</v>
      </c>
      <c r="D140">
        <v>1259.6500000000001</v>
      </c>
      <c r="E140" s="489">
        <v>1269.8</v>
      </c>
      <c r="F140">
        <v>1278.510702</v>
      </c>
      <c r="G140">
        <v>57092</v>
      </c>
      <c r="H140">
        <v>4355</v>
      </c>
      <c r="I140">
        <v>72992733</v>
      </c>
      <c r="J140">
        <v>15136</v>
      </c>
      <c r="K140">
        <v>26.51</v>
      </c>
      <c r="L140">
        <v>33.35</v>
      </c>
      <c r="M140">
        <v>3.95</v>
      </c>
    </row>
    <row r="141" spans="1:13" x14ac:dyDescent="0.35">
      <c r="A141" s="513">
        <v>44984</v>
      </c>
      <c r="B141">
        <v>1266.05</v>
      </c>
      <c r="C141">
        <v>1285</v>
      </c>
      <c r="D141">
        <v>1248.6500000000001</v>
      </c>
      <c r="E141" s="489">
        <v>1257.4000000000001</v>
      </c>
      <c r="F141">
        <v>1261.686473</v>
      </c>
      <c r="G141">
        <v>61159</v>
      </c>
      <c r="H141">
        <v>6168</v>
      </c>
      <c r="I141">
        <v>77163483</v>
      </c>
      <c r="J141">
        <v>25252</v>
      </c>
      <c r="K141">
        <v>41.29</v>
      </c>
      <c r="L141">
        <v>36.35</v>
      </c>
      <c r="M141">
        <v>-8.65</v>
      </c>
    </row>
    <row r="142" spans="1:13" x14ac:dyDescent="0.35">
      <c r="A142" s="513">
        <v>44981</v>
      </c>
      <c r="B142">
        <v>1315.65</v>
      </c>
      <c r="C142">
        <v>1318.75</v>
      </c>
      <c r="D142">
        <v>1278.05</v>
      </c>
      <c r="E142" s="489">
        <v>1280.55</v>
      </c>
      <c r="F142">
        <v>1295.2455379999999</v>
      </c>
      <c r="G142">
        <v>45211</v>
      </c>
      <c r="H142">
        <v>3062</v>
      </c>
      <c r="I142">
        <v>58559346</v>
      </c>
      <c r="J142">
        <v>11885</v>
      </c>
      <c r="K142">
        <v>26.29</v>
      </c>
      <c r="L142">
        <v>40.700000000000003</v>
      </c>
      <c r="M142">
        <v>-35.1</v>
      </c>
    </row>
    <row r="143" spans="1:13" x14ac:dyDescent="0.35">
      <c r="A143" s="513">
        <v>44980</v>
      </c>
      <c r="B143">
        <v>1325</v>
      </c>
      <c r="C143">
        <v>1325</v>
      </c>
      <c r="D143">
        <v>1305.3499999999999</v>
      </c>
      <c r="E143" s="489">
        <v>1313.45</v>
      </c>
      <c r="F143">
        <v>1315.8308730000001</v>
      </c>
      <c r="G143">
        <v>22149</v>
      </c>
      <c r="H143">
        <v>2191</v>
      </c>
      <c r="I143">
        <v>29144338</v>
      </c>
      <c r="J143">
        <v>5815</v>
      </c>
      <c r="K143">
        <v>26.25</v>
      </c>
      <c r="L143">
        <v>19.649999999999999</v>
      </c>
      <c r="M143">
        <v>-11.55</v>
      </c>
    </row>
    <row r="144" spans="1:13" x14ac:dyDescent="0.35">
      <c r="A144" s="513">
        <v>44979</v>
      </c>
      <c r="B144">
        <v>1348.1</v>
      </c>
      <c r="C144">
        <v>1352</v>
      </c>
      <c r="D144">
        <v>1311.5</v>
      </c>
      <c r="E144" s="489">
        <v>1318.65</v>
      </c>
      <c r="F144">
        <v>1333.48657</v>
      </c>
      <c r="G144">
        <v>23008</v>
      </c>
      <c r="H144">
        <v>2017</v>
      </c>
      <c r="I144">
        <v>30680859</v>
      </c>
      <c r="J144">
        <v>8064</v>
      </c>
      <c r="K144">
        <v>35.049999999999997</v>
      </c>
      <c r="L144">
        <v>40.5</v>
      </c>
      <c r="M144">
        <v>-29.45</v>
      </c>
    </row>
    <row r="145" spans="1:13" x14ac:dyDescent="0.35">
      <c r="A145" s="513">
        <v>44978</v>
      </c>
      <c r="B145">
        <v>1347.35</v>
      </c>
      <c r="C145">
        <v>1361.85</v>
      </c>
      <c r="D145">
        <v>1341.3</v>
      </c>
      <c r="E145" s="489">
        <v>1351.8</v>
      </c>
      <c r="F145">
        <v>1354.2428709999999</v>
      </c>
      <c r="G145">
        <v>23144</v>
      </c>
      <c r="H145">
        <v>1772</v>
      </c>
      <c r="I145">
        <v>31342597</v>
      </c>
      <c r="J145">
        <v>13602</v>
      </c>
      <c r="K145">
        <v>58.77</v>
      </c>
      <c r="L145">
        <v>20.55</v>
      </c>
      <c r="M145">
        <v>4.45</v>
      </c>
    </row>
    <row r="146" spans="1:13" x14ac:dyDescent="0.35">
      <c r="A146" s="513">
        <v>44977</v>
      </c>
      <c r="B146">
        <v>1341.35</v>
      </c>
      <c r="C146">
        <v>1354.65</v>
      </c>
      <c r="D146">
        <v>1333.15</v>
      </c>
      <c r="E146" s="489">
        <v>1346</v>
      </c>
      <c r="F146">
        <v>1347.868907</v>
      </c>
      <c r="G146">
        <v>35677</v>
      </c>
      <c r="H146">
        <v>1834</v>
      </c>
      <c r="I146">
        <v>48087919</v>
      </c>
      <c r="J146">
        <v>23316</v>
      </c>
      <c r="K146">
        <v>65.349999999999994</v>
      </c>
      <c r="L146">
        <v>21.5</v>
      </c>
      <c r="M146">
        <v>4.6500000000000004</v>
      </c>
    </row>
    <row r="147" spans="1:13" x14ac:dyDescent="0.35">
      <c r="A147" s="513">
        <v>44974</v>
      </c>
      <c r="B147">
        <v>1364.85</v>
      </c>
      <c r="C147">
        <v>1372.45</v>
      </c>
      <c r="D147">
        <v>1332.9</v>
      </c>
      <c r="E147" s="489">
        <v>1341.35</v>
      </c>
      <c r="F147">
        <v>1351.0000910000001</v>
      </c>
      <c r="G147">
        <v>251467</v>
      </c>
      <c r="H147">
        <v>2981</v>
      </c>
      <c r="I147">
        <v>339731940</v>
      </c>
      <c r="J147">
        <v>215812</v>
      </c>
      <c r="K147">
        <v>85.82</v>
      </c>
      <c r="L147">
        <v>39.549999999999997</v>
      </c>
      <c r="M147">
        <v>-23.5</v>
      </c>
    </row>
    <row r="148" spans="1:13" x14ac:dyDescent="0.35">
      <c r="A148" s="513">
        <v>44973</v>
      </c>
      <c r="B148">
        <v>1385.95</v>
      </c>
      <c r="C148">
        <v>1396</v>
      </c>
      <c r="D148">
        <v>1364.3</v>
      </c>
      <c r="E148" s="489">
        <v>1367.85</v>
      </c>
      <c r="F148">
        <v>1381.5637409999999</v>
      </c>
      <c r="G148">
        <v>33095</v>
      </c>
      <c r="H148">
        <v>2434</v>
      </c>
      <c r="I148">
        <v>45722852</v>
      </c>
      <c r="J148">
        <v>12528</v>
      </c>
      <c r="K148">
        <v>37.85</v>
      </c>
      <c r="L148">
        <v>31.7</v>
      </c>
      <c r="M148">
        <v>-18.100000000000001</v>
      </c>
    </row>
    <row r="149" spans="1:13" x14ac:dyDescent="0.35">
      <c r="A149" s="513">
        <v>44972</v>
      </c>
      <c r="B149">
        <v>1369.95</v>
      </c>
      <c r="C149">
        <v>1382.35</v>
      </c>
      <c r="D149">
        <v>1361.55</v>
      </c>
      <c r="E149" s="489">
        <v>1379.15</v>
      </c>
      <c r="F149">
        <v>1372.2641599999999</v>
      </c>
      <c r="G149">
        <v>31038</v>
      </c>
      <c r="H149">
        <v>1537</v>
      </c>
      <c r="I149">
        <v>42592335</v>
      </c>
      <c r="J149">
        <v>16895</v>
      </c>
      <c r="K149">
        <v>54.43</v>
      </c>
      <c r="L149">
        <v>20.8</v>
      </c>
      <c r="M149">
        <v>9.1999999999999993</v>
      </c>
    </row>
    <row r="150" spans="1:13" x14ac:dyDescent="0.35">
      <c r="A150" s="513">
        <v>44971</v>
      </c>
      <c r="B150">
        <v>1355</v>
      </c>
      <c r="C150">
        <v>1376.55</v>
      </c>
      <c r="D150">
        <v>1350.65</v>
      </c>
      <c r="E150" s="489">
        <v>1362.95</v>
      </c>
      <c r="F150">
        <v>1371.3428160000001</v>
      </c>
      <c r="G150">
        <v>64574</v>
      </c>
      <c r="H150">
        <v>2113</v>
      </c>
      <c r="I150">
        <v>88553091</v>
      </c>
      <c r="J150">
        <v>45190</v>
      </c>
      <c r="K150">
        <v>69.98</v>
      </c>
      <c r="L150">
        <v>25.9</v>
      </c>
      <c r="M150">
        <v>7.95</v>
      </c>
    </row>
    <row r="151" spans="1:13" x14ac:dyDescent="0.35">
      <c r="A151" s="513">
        <v>44970</v>
      </c>
      <c r="B151">
        <v>1374</v>
      </c>
      <c r="C151">
        <v>1383.85</v>
      </c>
      <c r="D151">
        <v>1325.25</v>
      </c>
      <c r="E151" s="489">
        <v>1352.6</v>
      </c>
      <c r="F151">
        <v>1351.9672370000001</v>
      </c>
      <c r="G151">
        <v>79236</v>
      </c>
      <c r="H151">
        <v>3965</v>
      </c>
      <c r="I151">
        <v>107124476</v>
      </c>
      <c r="J151">
        <v>17994</v>
      </c>
      <c r="K151">
        <v>22.71</v>
      </c>
      <c r="L151">
        <v>58.6</v>
      </c>
      <c r="M151">
        <v>-21.4</v>
      </c>
    </row>
    <row r="152" spans="1:13" x14ac:dyDescent="0.35">
      <c r="A152" s="513">
        <v>44967</v>
      </c>
      <c r="B152">
        <v>1386.95</v>
      </c>
      <c r="C152">
        <v>1387</v>
      </c>
      <c r="D152">
        <v>1351.25</v>
      </c>
      <c r="E152" s="489">
        <v>1365.2</v>
      </c>
      <c r="F152">
        <v>1370.9102150000001</v>
      </c>
      <c r="G152">
        <v>88534</v>
      </c>
      <c r="H152">
        <v>5500</v>
      </c>
      <c r="I152">
        <v>121372165</v>
      </c>
      <c r="J152">
        <v>21292</v>
      </c>
      <c r="K152">
        <v>24.05</v>
      </c>
      <c r="L152">
        <v>35.75</v>
      </c>
      <c r="M152">
        <v>-21.75</v>
      </c>
    </row>
    <row r="153" spans="1:13" x14ac:dyDescent="0.35">
      <c r="A153" s="513">
        <v>44966</v>
      </c>
      <c r="B153">
        <v>1362.25</v>
      </c>
      <c r="C153">
        <v>1386</v>
      </c>
      <c r="D153">
        <v>1362.25</v>
      </c>
      <c r="E153" s="489">
        <v>1372.6</v>
      </c>
      <c r="F153">
        <v>1373.1173309999999</v>
      </c>
      <c r="G153">
        <v>61058</v>
      </c>
      <c r="H153">
        <v>4001</v>
      </c>
      <c r="I153">
        <v>83839798</v>
      </c>
      <c r="J153">
        <v>24571</v>
      </c>
      <c r="K153">
        <v>40.24</v>
      </c>
      <c r="L153">
        <v>23.75</v>
      </c>
      <c r="M153">
        <v>10.35</v>
      </c>
    </row>
    <row r="154" spans="1:13" x14ac:dyDescent="0.35">
      <c r="A154" s="513">
        <v>44965</v>
      </c>
      <c r="B154">
        <v>1375</v>
      </c>
      <c r="C154">
        <v>1379.35</v>
      </c>
      <c r="D154">
        <v>1359.7</v>
      </c>
      <c r="E154" s="489">
        <v>1373.2</v>
      </c>
      <c r="F154">
        <v>1371.747838</v>
      </c>
      <c r="G154">
        <v>38844</v>
      </c>
      <c r="H154">
        <v>3132</v>
      </c>
      <c r="I154">
        <v>53284173</v>
      </c>
      <c r="J154">
        <v>23110</v>
      </c>
      <c r="K154">
        <v>59.49</v>
      </c>
      <c r="L154">
        <v>19.649999999999999</v>
      </c>
      <c r="M154">
        <v>-1.8</v>
      </c>
    </row>
    <row r="155" spans="1:13" x14ac:dyDescent="0.35">
      <c r="A155" s="513">
        <v>44964</v>
      </c>
      <c r="B155">
        <v>1378.05</v>
      </c>
      <c r="C155">
        <v>1385.25</v>
      </c>
      <c r="D155">
        <v>1360.7</v>
      </c>
      <c r="E155" s="489">
        <v>1367.1</v>
      </c>
      <c r="F155">
        <v>1371.87438</v>
      </c>
      <c r="G155">
        <v>16136</v>
      </c>
      <c r="H155">
        <v>1476</v>
      </c>
      <c r="I155">
        <v>22136565</v>
      </c>
      <c r="J155">
        <v>5283</v>
      </c>
      <c r="K155">
        <v>32.74</v>
      </c>
      <c r="L155">
        <v>24.55</v>
      </c>
      <c r="M155">
        <v>-10.95</v>
      </c>
    </row>
    <row r="156" spans="1:13" x14ac:dyDescent="0.35">
      <c r="A156" s="513">
        <v>44963</v>
      </c>
      <c r="B156">
        <v>1392</v>
      </c>
      <c r="C156">
        <v>1392</v>
      </c>
      <c r="D156">
        <v>1360.25</v>
      </c>
      <c r="E156" s="489">
        <v>1375.4</v>
      </c>
      <c r="F156">
        <v>1373.0932640000001</v>
      </c>
      <c r="G156">
        <v>53429</v>
      </c>
      <c r="H156">
        <v>4251</v>
      </c>
      <c r="I156">
        <v>73363000</v>
      </c>
      <c r="J156">
        <v>21807</v>
      </c>
      <c r="K156">
        <v>40.81</v>
      </c>
      <c r="L156">
        <v>31.75</v>
      </c>
      <c r="M156">
        <v>-16.600000000000001</v>
      </c>
    </row>
    <row r="157" spans="1:13" x14ac:dyDescent="0.35">
      <c r="A157" s="513">
        <v>44960</v>
      </c>
      <c r="B157">
        <v>1369.85</v>
      </c>
      <c r="C157">
        <v>1391.85</v>
      </c>
      <c r="D157">
        <v>1351</v>
      </c>
      <c r="E157" s="489">
        <v>1388.05</v>
      </c>
      <c r="F157">
        <v>1370.8893250000001</v>
      </c>
      <c r="G157">
        <v>82214</v>
      </c>
      <c r="H157">
        <v>6601</v>
      </c>
      <c r="I157">
        <v>112706295</v>
      </c>
      <c r="J157">
        <v>50581</v>
      </c>
      <c r="K157">
        <v>61.52</v>
      </c>
      <c r="L157">
        <v>40.85</v>
      </c>
      <c r="M157">
        <v>18.2</v>
      </c>
    </row>
    <row r="158" spans="1:13" x14ac:dyDescent="0.35">
      <c r="A158" s="513">
        <v>44959</v>
      </c>
      <c r="B158">
        <v>1352.1</v>
      </c>
      <c r="C158">
        <v>1378</v>
      </c>
      <c r="D158">
        <v>1330.15</v>
      </c>
      <c r="E158" s="489">
        <v>1352.7</v>
      </c>
      <c r="F158">
        <v>1356.6028260000001</v>
      </c>
      <c r="G158">
        <v>56766</v>
      </c>
      <c r="H158">
        <v>5024</v>
      </c>
      <c r="I158">
        <v>77008916</v>
      </c>
      <c r="J158">
        <v>19673</v>
      </c>
      <c r="K158">
        <v>34.659999999999997</v>
      </c>
      <c r="L158">
        <v>47.85</v>
      </c>
      <c r="M158">
        <v>0.6</v>
      </c>
    </row>
    <row r="159" spans="1:13" x14ac:dyDescent="0.35">
      <c r="A159" s="513">
        <v>44958</v>
      </c>
      <c r="B159">
        <v>1383</v>
      </c>
      <c r="C159">
        <v>1389.9</v>
      </c>
      <c r="D159">
        <v>1322.6</v>
      </c>
      <c r="E159" s="489">
        <v>1352.2</v>
      </c>
      <c r="F159">
        <v>1368.9000820000001</v>
      </c>
      <c r="G159">
        <v>55175</v>
      </c>
      <c r="H159">
        <v>4384</v>
      </c>
      <c r="I159">
        <v>75529062</v>
      </c>
      <c r="J159">
        <v>12485</v>
      </c>
      <c r="K159">
        <v>22.63</v>
      </c>
      <c r="L159">
        <v>67.3</v>
      </c>
      <c r="M159">
        <v>-30.8</v>
      </c>
    </row>
    <row r="160" spans="1:13" x14ac:dyDescent="0.35">
      <c r="A160" s="513">
        <v>44957</v>
      </c>
      <c r="B160">
        <v>1345.5</v>
      </c>
      <c r="C160">
        <v>1384.95</v>
      </c>
      <c r="D160">
        <v>1335.25</v>
      </c>
      <c r="E160" s="489">
        <v>1378.6</v>
      </c>
      <c r="F160">
        <v>1361.787323</v>
      </c>
      <c r="G160">
        <v>109114</v>
      </c>
      <c r="H160">
        <v>8477</v>
      </c>
      <c r="I160">
        <v>148590062</v>
      </c>
      <c r="J160">
        <v>70103</v>
      </c>
      <c r="K160">
        <v>64.25</v>
      </c>
      <c r="L160">
        <v>49.7</v>
      </c>
      <c r="M160">
        <v>33.1</v>
      </c>
    </row>
    <row r="161" spans="1:13" x14ac:dyDescent="0.35">
      <c r="A161" s="513">
        <v>44956</v>
      </c>
      <c r="B161">
        <v>1320.6</v>
      </c>
      <c r="C161">
        <v>1342</v>
      </c>
      <c r="D161">
        <v>1304.55</v>
      </c>
      <c r="E161" s="489">
        <v>1331.65</v>
      </c>
      <c r="F161">
        <v>1327.637434</v>
      </c>
      <c r="G161">
        <v>65086</v>
      </c>
      <c r="H161">
        <v>4649</v>
      </c>
      <c r="I161">
        <v>86410610</v>
      </c>
      <c r="J161">
        <v>31155</v>
      </c>
      <c r="K161">
        <v>47.87</v>
      </c>
      <c r="L161">
        <v>37.450000000000003</v>
      </c>
      <c r="M161">
        <v>11.05</v>
      </c>
    </row>
    <row r="162" spans="1:13" x14ac:dyDescent="0.35">
      <c r="A162" s="513">
        <v>44953</v>
      </c>
      <c r="B162">
        <v>1315.3</v>
      </c>
      <c r="C162">
        <v>1340</v>
      </c>
      <c r="D162">
        <v>1287</v>
      </c>
      <c r="E162" s="489">
        <v>1320.6</v>
      </c>
      <c r="F162">
        <v>1318.3498400000001</v>
      </c>
      <c r="G162">
        <v>58904</v>
      </c>
      <c r="H162">
        <v>4252</v>
      </c>
      <c r="I162">
        <v>77656079</v>
      </c>
      <c r="J162">
        <v>18809</v>
      </c>
      <c r="K162">
        <v>31.93</v>
      </c>
      <c r="L162">
        <v>53</v>
      </c>
      <c r="M162">
        <v>5.3</v>
      </c>
    </row>
    <row r="163" spans="1:13" x14ac:dyDescent="0.35">
      <c r="A163" s="513">
        <v>44951</v>
      </c>
      <c r="B163">
        <v>1327</v>
      </c>
      <c r="C163">
        <v>1331.75</v>
      </c>
      <c r="D163">
        <v>1306.0999999999999</v>
      </c>
      <c r="E163" s="489">
        <v>1311.3</v>
      </c>
      <c r="F163">
        <v>1319.464463</v>
      </c>
      <c r="G163">
        <v>17306</v>
      </c>
      <c r="H163">
        <v>1453</v>
      </c>
      <c r="I163">
        <v>22834652</v>
      </c>
      <c r="J163">
        <v>6593</v>
      </c>
      <c r="K163">
        <v>38.1</v>
      </c>
      <c r="L163">
        <v>25.65</v>
      </c>
      <c r="M163">
        <v>-15.7</v>
      </c>
    </row>
    <row r="164" spans="1:13" x14ac:dyDescent="0.35">
      <c r="A164" s="513">
        <v>44950</v>
      </c>
      <c r="B164">
        <v>1330.05</v>
      </c>
      <c r="C164">
        <v>1340</v>
      </c>
      <c r="D164">
        <v>1321.15</v>
      </c>
      <c r="E164" s="489">
        <v>1323.45</v>
      </c>
      <c r="F164">
        <v>1325.9282929999999</v>
      </c>
      <c r="G164">
        <v>45909</v>
      </c>
      <c r="H164">
        <v>2006</v>
      </c>
      <c r="I164">
        <v>60872042</v>
      </c>
      <c r="J164">
        <v>10625</v>
      </c>
      <c r="K164">
        <v>23.14</v>
      </c>
      <c r="L164">
        <v>18.850000000000001</v>
      </c>
      <c r="M164">
        <v>-6.6</v>
      </c>
    </row>
    <row r="165" spans="1:13" x14ac:dyDescent="0.35">
      <c r="A165" s="513">
        <v>44949</v>
      </c>
      <c r="B165">
        <v>1315.1</v>
      </c>
      <c r="C165">
        <v>1345.25</v>
      </c>
      <c r="D165">
        <v>1312</v>
      </c>
      <c r="E165" s="489">
        <v>1327.75</v>
      </c>
      <c r="F165">
        <v>1334.873826</v>
      </c>
      <c r="G165">
        <v>55360</v>
      </c>
      <c r="H165">
        <v>4006</v>
      </c>
      <c r="I165">
        <v>73898615</v>
      </c>
      <c r="J165">
        <v>32535</v>
      </c>
      <c r="K165">
        <v>58.77</v>
      </c>
      <c r="L165">
        <v>33.25</v>
      </c>
      <c r="M165">
        <v>12.65</v>
      </c>
    </row>
    <row r="166" spans="1:13" x14ac:dyDescent="0.35">
      <c r="A166" s="513">
        <v>44946</v>
      </c>
      <c r="B166">
        <v>1320.2</v>
      </c>
      <c r="C166">
        <v>1324.8</v>
      </c>
      <c r="D166">
        <v>1312</v>
      </c>
      <c r="E166" s="489">
        <v>1315.05</v>
      </c>
      <c r="F166">
        <v>1318.694634</v>
      </c>
      <c r="G166">
        <v>41406</v>
      </c>
      <c r="H166">
        <v>2557</v>
      </c>
      <c r="I166">
        <v>54601870</v>
      </c>
      <c r="J166">
        <v>25739</v>
      </c>
      <c r="K166">
        <v>62.16</v>
      </c>
      <c r="L166">
        <v>12.8</v>
      </c>
      <c r="M166">
        <v>-5.15</v>
      </c>
    </row>
    <row r="167" spans="1:13" x14ac:dyDescent="0.35">
      <c r="A167" s="513">
        <v>44945</v>
      </c>
      <c r="B167">
        <v>1308.05</v>
      </c>
      <c r="C167">
        <v>1329.1</v>
      </c>
      <c r="D167">
        <v>1305</v>
      </c>
      <c r="E167" s="489">
        <v>1319.7</v>
      </c>
      <c r="F167">
        <v>1320.460464</v>
      </c>
      <c r="G167">
        <v>17895</v>
      </c>
      <c r="H167">
        <v>1344</v>
      </c>
      <c r="I167">
        <v>23629640</v>
      </c>
      <c r="J167">
        <v>6751</v>
      </c>
      <c r="K167">
        <v>37.729999999999997</v>
      </c>
      <c r="L167">
        <v>24.1</v>
      </c>
      <c r="M167">
        <v>11.65</v>
      </c>
    </row>
    <row r="168" spans="1:13" x14ac:dyDescent="0.35">
      <c r="A168" s="513">
        <v>44944</v>
      </c>
      <c r="B168">
        <v>1317.05</v>
      </c>
      <c r="C168">
        <v>1324.3</v>
      </c>
      <c r="D168">
        <v>1308.5</v>
      </c>
      <c r="E168" s="489">
        <v>1321.85</v>
      </c>
      <c r="F168">
        <v>1316.1158390000001</v>
      </c>
      <c r="G168">
        <v>15323</v>
      </c>
      <c r="H168">
        <v>1873</v>
      </c>
      <c r="I168">
        <v>20166843</v>
      </c>
      <c r="J168">
        <v>9027</v>
      </c>
      <c r="K168">
        <v>58.91</v>
      </c>
      <c r="L168">
        <v>15.8</v>
      </c>
      <c r="M168">
        <v>4.8</v>
      </c>
    </row>
    <row r="169" spans="1:13" x14ac:dyDescent="0.35">
      <c r="A169" s="513">
        <v>44943</v>
      </c>
      <c r="B169">
        <v>1324.85</v>
      </c>
      <c r="C169">
        <v>1324.85</v>
      </c>
      <c r="D169">
        <v>1304.25</v>
      </c>
      <c r="E169" s="489">
        <v>1320</v>
      </c>
      <c r="F169">
        <v>1315.3373260000001</v>
      </c>
      <c r="G169">
        <v>40074</v>
      </c>
      <c r="H169">
        <v>3825</v>
      </c>
      <c r="I169">
        <v>52710828</v>
      </c>
      <c r="J169">
        <v>23825</v>
      </c>
      <c r="K169">
        <v>59.45</v>
      </c>
      <c r="L169">
        <v>20.6</v>
      </c>
      <c r="M169">
        <v>-4.8499999999999996</v>
      </c>
    </row>
    <row r="170" spans="1:13" x14ac:dyDescent="0.35">
      <c r="A170" s="513">
        <v>44942</v>
      </c>
      <c r="B170">
        <v>1325</v>
      </c>
      <c r="C170">
        <v>1335</v>
      </c>
      <c r="D170">
        <v>1303</v>
      </c>
      <c r="E170" s="489">
        <v>1316.15</v>
      </c>
      <c r="F170">
        <v>1315.4700769999999</v>
      </c>
      <c r="G170">
        <v>25900</v>
      </c>
      <c r="H170">
        <v>2148</v>
      </c>
      <c r="I170">
        <v>34070675</v>
      </c>
      <c r="J170">
        <v>9702</v>
      </c>
      <c r="K170">
        <v>37.46</v>
      </c>
      <c r="L170">
        <v>32</v>
      </c>
      <c r="M170">
        <v>-8.85</v>
      </c>
    </row>
    <row r="171" spans="1:13" x14ac:dyDescent="0.35">
      <c r="A171" s="513">
        <v>44939</v>
      </c>
      <c r="B171">
        <v>1320.2</v>
      </c>
      <c r="C171">
        <v>1336.7</v>
      </c>
      <c r="D171">
        <v>1311.65</v>
      </c>
      <c r="E171" s="489">
        <v>1327.9</v>
      </c>
      <c r="F171">
        <v>1329.8516090000001</v>
      </c>
      <c r="G171">
        <v>77929</v>
      </c>
      <c r="H171">
        <v>3201</v>
      </c>
      <c r="I171">
        <v>103634006</v>
      </c>
      <c r="J171">
        <v>42208</v>
      </c>
      <c r="K171">
        <v>54.16</v>
      </c>
      <c r="L171">
        <v>25.05</v>
      </c>
      <c r="M171">
        <v>7.7</v>
      </c>
    </row>
    <row r="172" spans="1:13" x14ac:dyDescent="0.35">
      <c r="A172" s="513">
        <v>44938</v>
      </c>
      <c r="B172">
        <v>1306.9000000000001</v>
      </c>
      <c r="C172">
        <v>1326.9</v>
      </c>
      <c r="D172">
        <v>1306.9000000000001</v>
      </c>
      <c r="E172" s="489">
        <v>1319.8</v>
      </c>
      <c r="F172">
        <v>1317.4595039999999</v>
      </c>
      <c r="G172">
        <v>82206</v>
      </c>
      <c r="H172">
        <v>4959</v>
      </c>
      <c r="I172">
        <v>108303076</v>
      </c>
      <c r="J172">
        <v>48098</v>
      </c>
      <c r="K172">
        <v>58.51</v>
      </c>
      <c r="L172">
        <v>20</v>
      </c>
      <c r="M172">
        <v>12.9</v>
      </c>
    </row>
    <row r="173" spans="1:13" x14ac:dyDescent="0.35">
      <c r="A173" s="513">
        <v>44937</v>
      </c>
      <c r="B173">
        <v>1314.8</v>
      </c>
      <c r="C173">
        <v>1320</v>
      </c>
      <c r="D173">
        <v>1301.25</v>
      </c>
      <c r="E173" s="489">
        <v>1312.6</v>
      </c>
      <c r="F173">
        <v>1309.240139</v>
      </c>
      <c r="G173">
        <v>31665</v>
      </c>
      <c r="H173">
        <v>2933</v>
      </c>
      <c r="I173">
        <v>41457089</v>
      </c>
      <c r="J173">
        <v>16370</v>
      </c>
      <c r="K173">
        <v>51.7</v>
      </c>
      <c r="L173">
        <v>18.75</v>
      </c>
      <c r="M173">
        <v>-2.2000000000000002</v>
      </c>
    </row>
    <row r="174" spans="1:13" x14ac:dyDescent="0.35">
      <c r="A174" s="513">
        <v>44936</v>
      </c>
      <c r="B174">
        <v>1314.9</v>
      </c>
      <c r="C174">
        <v>1326</v>
      </c>
      <c r="D174">
        <v>1305.55</v>
      </c>
      <c r="E174" s="489">
        <v>1314.8</v>
      </c>
      <c r="F174">
        <v>1317.4917150000001</v>
      </c>
      <c r="G174">
        <v>101756</v>
      </c>
      <c r="H174">
        <v>6892</v>
      </c>
      <c r="I174">
        <v>134062687</v>
      </c>
      <c r="J174">
        <v>53985</v>
      </c>
      <c r="K174">
        <v>53.05</v>
      </c>
      <c r="L174">
        <v>20.45</v>
      </c>
      <c r="M174">
        <v>-0.1</v>
      </c>
    </row>
    <row r="175" spans="1:13" x14ac:dyDescent="0.35">
      <c r="A175" s="513">
        <v>44935</v>
      </c>
      <c r="B175">
        <v>1267</v>
      </c>
      <c r="C175">
        <v>1313.3</v>
      </c>
      <c r="D175">
        <v>1267</v>
      </c>
      <c r="E175" s="489">
        <v>1310.4000000000001</v>
      </c>
      <c r="F175">
        <v>1302.542181</v>
      </c>
      <c r="G175">
        <v>192209</v>
      </c>
      <c r="H175">
        <v>11040</v>
      </c>
      <c r="I175">
        <v>250360330</v>
      </c>
      <c r="J175">
        <v>115713</v>
      </c>
      <c r="K175">
        <v>60.2</v>
      </c>
      <c r="L175">
        <v>46.3</v>
      </c>
      <c r="M175">
        <v>43.4</v>
      </c>
    </row>
    <row r="176" spans="1:13" x14ac:dyDescent="0.35">
      <c r="A176" s="513">
        <v>44932</v>
      </c>
      <c r="B176">
        <v>1250.7</v>
      </c>
      <c r="C176">
        <v>1274.9000000000001</v>
      </c>
      <c r="D176">
        <v>1248.8499999999999</v>
      </c>
      <c r="E176" s="489">
        <v>1264.95</v>
      </c>
      <c r="F176">
        <v>1263.563015</v>
      </c>
      <c r="G176">
        <v>52265</v>
      </c>
      <c r="H176">
        <v>2697</v>
      </c>
      <c r="I176">
        <v>66040121</v>
      </c>
      <c r="J176">
        <v>20619</v>
      </c>
      <c r="K176">
        <v>39.450000000000003</v>
      </c>
      <c r="L176">
        <v>26.05</v>
      </c>
      <c r="M176">
        <v>14.25</v>
      </c>
    </row>
    <row r="177" spans="1:13" x14ac:dyDescent="0.35">
      <c r="A177" s="513">
        <v>44931</v>
      </c>
      <c r="B177">
        <v>1237</v>
      </c>
      <c r="C177">
        <v>1255.5999999999999</v>
      </c>
      <c r="D177">
        <v>1231.6500000000001</v>
      </c>
      <c r="E177" s="489">
        <v>1251.6500000000001</v>
      </c>
      <c r="F177">
        <v>1246.1413399999999</v>
      </c>
      <c r="G177">
        <v>26928</v>
      </c>
      <c r="H177">
        <v>1944</v>
      </c>
      <c r="I177">
        <v>33556094</v>
      </c>
      <c r="J177">
        <v>10021</v>
      </c>
      <c r="K177">
        <v>37.21</v>
      </c>
      <c r="L177">
        <v>23.95</v>
      </c>
      <c r="M177">
        <v>14.65</v>
      </c>
    </row>
    <row r="178" spans="1:13" x14ac:dyDescent="0.35">
      <c r="A178" s="513">
        <v>44930</v>
      </c>
      <c r="B178">
        <v>1254.75</v>
      </c>
      <c r="C178">
        <v>1254.75</v>
      </c>
      <c r="D178">
        <v>1231</v>
      </c>
      <c r="E178" s="489">
        <v>1236</v>
      </c>
      <c r="F178">
        <v>1241.5861769999999</v>
      </c>
      <c r="G178">
        <v>27954</v>
      </c>
      <c r="H178">
        <v>2056</v>
      </c>
      <c r="I178">
        <v>34707300</v>
      </c>
      <c r="J178">
        <v>8575</v>
      </c>
      <c r="K178">
        <v>30.68</v>
      </c>
      <c r="L178">
        <v>23.75</v>
      </c>
      <c r="M178">
        <v>-18.75</v>
      </c>
    </row>
    <row r="179" spans="1:13" x14ac:dyDescent="0.35">
      <c r="A179" s="513">
        <v>44929</v>
      </c>
      <c r="B179">
        <v>1262.9000000000001</v>
      </c>
      <c r="C179">
        <v>1264.45</v>
      </c>
      <c r="D179">
        <v>1246.2</v>
      </c>
      <c r="E179" s="489">
        <v>1248.5999999999999</v>
      </c>
      <c r="F179">
        <v>1253.9654829999999</v>
      </c>
      <c r="G179">
        <v>47745</v>
      </c>
      <c r="H179">
        <v>3454</v>
      </c>
      <c r="I179">
        <v>59870582</v>
      </c>
      <c r="J179">
        <v>19073</v>
      </c>
      <c r="K179">
        <v>39.950000000000003</v>
      </c>
      <c r="L179">
        <v>18.25</v>
      </c>
      <c r="M179">
        <v>-14.3</v>
      </c>
    </row>
    <row r="180" spans="1:13" x14ac:dyDescent="0.35">
      <c r="A180" s="513">
        <v>44928</v>
      </c>
      <c r="B180">
        <v>1250</v>
      </c>
      <c r="C180">
        <v>1271</v>
      </c>
      <c r="D180">
        <v>1242.75</v>
      </c>
      <c r="E180" s="489">
        <v>1262.9000000000001</v>
      </c>
      <c r="F180">
        <v>1261.8863260000001</v>
      </c>
      <c r="G180">
        <v>60779</v>
      </c>
      <c r="H180">
        <v>3866</v>
      </c>
      <c r="I180">
        <v>76696189</v>
      </c>
      <c r="J180">
        <v>26464</v>
      </c>
      <c r="K180">
        <v>43.54</v>
      </c>
      <c r="L180">
        <v>28.25</v>
      </c>
      <c r="M180">
        <v>12.9</v>
      </c>
    </row>
    <row r="181" spans="1:13" x14ac:dyDescent="0.35">
      <c r="A181" s="513">
        <v>44925</v>
      </c>
      <c r="B181">
        <v>1263.25</v>
      </c>
      <c r="C181">
        <v>1263.25</v>
      </c>
      <c r="D181">
        <v>1245</v>
      </c>
      <c r="E181" s="489">
        <v>1249.3</v>
      </c>
      <c r="F181">
        <v>1255.1559609999999</v>
      </c>
      <c r="G181">
        <v>33207</v>
      </c>
      <c r="H181">
        <v>1772</v>
      </c>
      <c r="I181">
        <v>41679964</v>
      </c>
      <c r="J181">
        <v>14382</v>
      </c>
      <c r="K181">
        <v>43.31</v>
      </c>
      <c r="L181">
        <v>18.25</v>
      </c>
      <c r="M181">
        <v>-13.95</v>
      </c>
    </row>
    <row r="182" spans="1:13" x14ac:dyDescent="0.35">
      <c r="A182" s="513">
        <v>44924</v>
      </c>
      <c r="B182">
        <v>1255.8</v>
      </c>
      <c r="C182">
        <v>1268</v>
      </c>
      <c r="D182">
        <v>1239.05</v>
      </c>
      <c r="E182" s="489">
        <v>1261.8</v>
      </c>
      <c r="F182">
        <v>1251.543672</v>
      </c>
      <c r="G182">
        <v>31153</v>
      </c>
      <c r="H182">
        <v>1865</v>
      </c>
      <c r="I182">
        <v>38989340</v>
      </c>
      <c r="J182">
        <v>10780</v>
      </c>
      <c r="K182">
        <v>34.6</v>
      </c>
      <c r="L182">
        <v>28.95</v>
      </c>
      <c r="M182">
        <v>6</v>
      </c>
    </row>
    <row r="183" spans="1:13" x14ac:dyDescent="0.35">
      <c r="A183" s="513">
        <v>44923</v>
      </c>
      <c r="B183">
        <v>1233</v>
      </c>
      <c r="C183">
        <v>1255</v>
      </c>
      <c r="D183">
        <v>1226.4000000000001</v>
      </c>
      <c r="E183" s="489">
        <v>1251.95</v>
      </c>
      <c r="F183">
        <v>1246.522211</v>
      </c>
      <c r="G183">
        <v>46441</v>
      </c>
      <c r="H183">
        <v>2334</v>
      </c>
      <c r="I183">
        <v>57889738</v>
      </c>
      <c r="J183">
        <v>11320</v>
      </c>
      <c r="K183">
        <v>24.38</v>
      </c>
      <c r="L183">
        <v>28.6</v>
      </c>
      <c r="M183">
        <v>18.95</v>
      </c>
    </row>
    <row r="184" spans="1:13" x14ac:dyDescent="0.35">
      <c r="A184" s="513">
        <v>44922</v>
      </c>
      <c r="B184">
        <v>1249.95</v>
      </c>
      <c r="C184">
        <v>1249.95</v>
      </c>
      <c r="D184">
        <v>1224.1500000000001</v>
      </c>
      <c r="E184" s="489">
        <v>1232.5999999999999</v>
      </c>
      <c r="F184">
        <v>1229.846914</v>
      </c>
      <c r="G184">
        <v>134532</v>
      </c>
      <c r="H184">
        <v>6641</v>
      </c>
      <c r="I184">
        <v>165453765</v>
      </c>
      <c r="J184">
        <v>103308</v>
      </c>
      <c r="K184">
        <v>76.790000000000006</v>
      </c>
      <c r="L184">
        <v>25.8</v>
      </c>
      <c r="M184">
        <v>-17.350000000000001</v>
      </c>
    </row>
    <row r="185" spans="1:13" x14ac:dyDescent="0.35">
      <c r="A185" s="513">
        <v>44921</v>
      </c>
      <c r="B185">
        <v>1206.05</v>
      </c>
      <c r="C185">
        <v>1247.3499999999999</v>
      </c>
      <c r="D185">
        <v>1206.05</v>
      </c>
      <c r="E185" s="489">
        <v>1236.7</v>
      </c>
      <c r="F185">
        <v>1239.0155830000001</v>
      </c>
      <c r="G185">
        <v>101522</v>
      </c>
      <c r="H185">
        <v>8333</v>
      </c>
      <c r="I185">
        <v>125787340</v>
      </c>
      <c r="J185">
        <v>69879</v>
      </c>
      <c r="K185">
        <v>68.83</v>
      </c>
      <c r="L185">
        <v>41.3</v>
      </c>
      <c r="M185">
        <v>30.65</v>
      </c>
    </row>
    <row r="186" spans="1:13" x14ac:dyDescent="0.35">
      <c r="A186" s="513">
        <v>44918</v>
      </c>
      <c r="B186">
        <v>1217</v>
      </c>
      <c r="C186">
        <v>1229.8</v>
      </c>
      <c r="D186">
        <v>1207.8499999999999</v>
      </c>
      <c r="E186" s="489">
        <v>1225.95</v>
      </c>
      <c r="F186">
        <v>1224.492383</v>
      </c>
      <c r="G186">
        <v>266571</v>
      </c>
      <c r="H186">
        <v>4757</v>
      </c>
      <c r="I186">
        <v>326414159</v>
      </c>
      <c r="J186">
        <v>224706</v>
      </c>
      <c r="K186">
        <v>84.29</v>
      </c>
      <c r="L186">
        <v>21.95</v>
      </c>
      <c r="M186">
        <v>8.9499999999999993</v>
      </c>
    </row>
    <row r="187" spans="1:13" x14ac:dyDescent="0.35">
      <c r="A187" s="513">
        <v>44917</v>
      </c>
      <c r="B187">
        <v>1265.95</v>
      </c>
      <c r="C187">
        <v>1280</v>
      </c>
      <c r="D187">
        <v>1228.8499999999999</v>
      </c>
      <c r="E187" s="489">
        <v>1232.9000000000001</v>
      </c>
      <c r="F187">
        <v>1246.360488</v>
      </c>
      <c r="G187">
        <v>91573</v>
      </c>
      <c r="H187">
        <v>7692</v>
      </c>
      <c r="I187">
        <v>114132969</v>
      </c>
      <c r="J187">
        <v>53202</v>
      </c>
      <c r="K187">
        <v>58.1</v>
      </c>
      <c r="L187">
        <v>51.15</v>
      </c>
      <c r="M187">
        <v>-33.049999999999997</v>
      </c>
    </row>
    <row r="188" spans="1:13" x14ac:dyDescent="0.35">
      <c r="A188" s="513">
        <v>44916</v>
      </c>
      <c r="B188">
        <v>1274.55</v>
      </c>
      <c r="C188">
        <v>1284.8499999999999</v>
      </c>
      <c r="D188">
        <v>1259.2</v>
      </c>
      <c r="E188" s="489">
        <v>1266</v>
      </c>
      <c r="F188">
        <v>1273.088105</v>
      </c>
      <c r="G188">
        <v>26911</v>
      </c>
      <c r="H188">
        <v>1671</v>
      </c>
      <c r="I188">
        <v>34260074</v>
      </c>
      <c r="J188">
        <v>5592</v>
      </c>
      <c r="K188">
        <v>20.78</v>
      </c>
      <c r="L188">
        <v>25.65</v>
      </c>
      <c r="M188">
        <v>-8.5500000000000007</v>
      </c>
    </row>
    <row r="189" spans="1:13" x14ac:dyDescent="0.35">
      <c r="A189" s="513">
        <v>44915</v>
      </c>
      <c r="B189">
        <v>1291</v>
      </c>
      <c r="C189">
        <v>1291</v>
      </c>
      <c r="D189">
        <v>1263.95</v>
      </c>
      <c r="E189" s="489">
        <v>1273.8</v>
      </c>
      <c r="F189">
        <v>1268.368485</v>
      </c>
      <c r="G189">
        <v>76668</v>
      </c>
      <c r="H189">
        <v>3078</v>
      </c>
      <c r="I189">
        <v>97243275</v>
      </c>
      <c r="J189">
        <v>46236</v>
      </c>
      <c r="K189">
        <v>60.31</v>
      </c>
      <c r="L189">
        <v>27.05</v>
      </c>
      <c r="M189">
        <v>-17.2</v>
      </c>
    </row>
    <row r="190" spans="1:13" x14ac:dyDescent="0.35">
      <c r="A190" s="513">
        <v>44914</v>
      </c>
      <c r="B190">
        <v>1250</v>
      </c>
      <c r="C190">
        <v>1294</v>
      </c>
      <c r="D190">
        <v>1247.8</v>
      </c>
      <c r="E190" s="489">
        <v>1290.4000000000001</v>
      </c>
      <c r="F190">
        <v>1279.6196190000001</v>
      </c>
      <c r="G190">
        <v>88301</v>
      </c>
      <c r="H190">
        <v>3193</v>
      </c>
      <c r="I190">
        <v>112991692</v>
      </c>
      <c r="J190">
        <v>52159</v>
      </c>
      <c r="K190">
        <v>59.07</v>
      </c>
      <c r="L190">
        <v>46.2</v>
      </c>
      <c r="M190">
        <v>40.4</v>
      </c>
    </row>
    <row r="191" spans="1:13" x14ac:dyDescent="0.35">
      <c r="A191" s="513">
        <v>44911</v>
      </c>
      <c r="B191">
        <v>1275.05</v>
      </c>
      <c r="C191">
        <v>1286</v>
      </c>
      <c r="D191">
        <v>1250</v>
      </c>
      <c r="E191" s="489">
        <v>1251.4000000000001</v>
      </c>
      <c r="F191">
        <v>1260.858718</v>
      </c>
      <c r="G191">
        <v>38639</v>
      </c>
      <c r="H191">
        <v>2424</v>
      </c>
      <c r="I191">
        <v>48718320</v>
      </c>
      <c r="J191">
        <v>15882</v>
      </c>
      <c r="K191">
        <v>41.1</v>
      </c>
      <c r="L191">
        <v>36</v>
      </c>
      <c r="M191">
        <v>-23.65</v>
      </c>
    </row>
    <row r="192" spans="1:13" x14ac:dyDescent="0.35">
      <c r="A192" s="513">
        <v>44910</v>
      </c>
      <c r="B192">
        <v>1286</v>
      </c>
      <c r="C192">
        <v>1293.5</v>
      </c>
      <c r="D192">
        <v>1282.0999999999999</v>
      </c>
      <c r="E192" s="489">
        <v>1286.8499999999999</v>
      </c>
      <c r="F192">
        <v>1289.2008760000001</v>
      </c>
      <c r="G192">
        <v>18957</v>
      </c>
      <c r="H192">
        <v>1258</v>
      </c>
      <c r="I192">
        <v>24439381</v>
      </c>
      <c r="J192">
        <v>7121</v>
      </c>
      <c r="K192">
        <v>37.56</v>
      </c>
      <c r="L192">
        <v>11.4</v>
      </c>
      <c r="M192">
        <v>0.85</v>
      </c>
    </row>
    <row r="193" spans="1:13" x14ac:dyDescent="0.35">
      <c r="A193" s="513">
        <v>44909</v>
      </c>
      <c r="B193">
        <v>1284.05</v>
      </c>
      <c r="C193">
        <v>1290.5</v>
      </c>
      <c r="D193">
        <v>1276.8499999999999</v>
      </c>
      <c r="E193" s="489">
        <v>1286.1500000000001</v>
      </c>
      <c r="F193">
        <v>1283.5769499999999</v>
      </c>
      <c r="G193">
        <v>81163</v>
      </c>
      <c r="H193">
        <v>5370</v>
      </c>
      <c r="I193">
        <v>104178956</v>
      </c>
      <c r="J193">
        <v>61619</v>
      </c>
      <c r="K193">
        <v>75.92</v>
      </c>
      <c r="L193">
        <v>13.65</v>
      </c>
      <c r="M193">
        <v>2.1</v>
      </c>
    </row>
    <row r="194" spans="1:13" x14ac:dyDescent="0.35">
      <c r="A194" s="513">
        <v>44908</v>
      </c>
      <c r="B194">
        <v>1269.95</v>
      </c>
      <c r="C194">
        <v>1286.2</v>
      </c>
      <c r="D194">
        <v>1268.75</v>
      </c>
      <c r="E194" s="489">
        <v>1283.7</v>
      </c>
      <c r="F194">
        <v>1281.32998</v>
      </c>
      <c r="G194">
        <v>38866</v>
      </c>
      <c r="H194">
        <v>1952</v>
      </c>
      <c r="I194">
        <v>49800171</v>
      </c>
      <c r="J194">
        <v>8814</v>
      </c>
      <c r="K194">
        <v>22.68</v>
      </c>
      <c r="L194">
        <v>17.45</v>
      </c>
      <c r="M194">
        <v>13.75</v>
      </c>
    </row>
    <row r="195" spans="1:13" x14ac:dyDescent="0.35">
      <c r="A195" s="513">
        <v>44907</v>
      </c>
      <c r="B195">
        <v>1261.0999999999999</v>
      </c>
      <c r="C195">
        <v>1277.05</v>
      </c>
      <c r="D195">
        <v>1256.5</v>
      </c>
      <c r="E195" s="489">
        <v>1263.6500000000001</v>
      </c>
      <c r="F195">
        <v>1266.7982569999999</v>
      </c>
      <c r="G195">
        <v>49122</v>
      </c>
      <c r="H195">
        <v>3118</v>
      </c>
      <c r="I195">
        <v>62227664</v>
      </c>
      <c r="J195">
        <v>21925</v>
      </c>
      <c r="K195">
        <v>44.63</v>
      </c>
      <c r="L195">
        <v>20.55</v>
      </c>
      <c r="M195">
        <v>2.5499999999999998</v>
      </c>
    </row>
    <row r="196" spans="1:13" x14ac:dyDescent="0.35">
      <c r="A196" s="513">
        <v>44904</v>
      </c>
      <c r="B196">
        <v>1278.5999999999999</v>
      </c>
      <c r="C196">
        <v>1284.5</v>
      </c>
      <c r="D196">
        <v>1257</v>
      </c>
      <c r="E196" s="489">
        <v>1265.5</v>
      </c>
      <c r="F196">
        <v>1271.978044</v>
      </c>
      <c r="G196">
        <v>20086</v>
      </c>
      <c r="H196">
        <v>1260</v>
      </c>
      <c r="I196">
        <v>25548951</v>
      </c>
      <c r="J196">
        <v>7875</v>
      </c>
      <c r="K196">
        <v>39.21</v>
      </c>
      <c r="L196">
        <v>27.5</v>
      </c>
      <c r="M196">
        <v>-13.1</v>
      </c>
    </row>
    <row r="197" spans="1:13" x14ac:dyDescent="0.35">
      <c r="A197" s="513">
        <v>44903</v>
      </c>
      <c r="B197">
        <v>1269.05</v>
      </c>
      <c r="C197">
        <v>1282</v>
      </c>
      <c r="D197">
        <v>1269.05</v>
      </c>
      <c r="E197" s="489">
        <v>1274.0999999999999</v>
      </c>
      <c r="F197">
        <v>1276.2824169999999</v>
      </c>
      <c r="G197">
        <v>38121</v>
      </c>
      <c r="H197">
        <v>2061</v>
      </c>
      <c r="I197">
        <v>48653162</v>
      </c>
      <c r="J197">
        <v>17055</v>
      </c>
      <c r="K197">
        <v>44.74</v>
      </c>
      <c r="L197">
        <v>12.95</v>
      </c>
      <c r="M197">
        <v>5.05</v>
      </c>
    </row>
    <row r="198" spans="1:13" x14ac:dyDescent="0.35">
      <c r="A198" s="513">
        <v>44902</v>
      </c>
      <c r="B198">
        <v>1263.05</v>
      </c>
      <c r="C198">
        <v>1268.95</v>
      </c>
      <c r="D198">
        <v>1252.25</v>
      </c>
      <c r="E198" s="489">
        <v>1266.3499999999999</v>
      </c>
      <c r="F198">
        <v>1261.80016</v>
      </c>
      <c r="G198">
        <v>44896</v>
      </c>
      <c r="H198">
        <v>3008</v>
      </c>
      <c r="I198">
        <v>56649780</v>
      </c>
      <c r="J198">
        <v>23986</v>
      </c>
      <c r="K198">
        <v>53.43</v>
      </c>
      <c r="L198">
        <v>16.7</v>
      </c>
      <c r="M198">
        <v>3.3</v>
      </c>
    </row>
    <row r="199" spans="1:13" x14ac:dyDescent="0.35">
      <c r="A199" s="513">
        <v>44901</v>
      </c>
      <c r="B199">
        <v>1249.95</v>
      </c>
      <c r="C199">
        <v>1265.25</v>
      </c>
      <c r="D199">
        <v>1248.55</v>
      </c>
      <c r="E199" s="489">
        <v>1263.0999999999999</v>
      </c>
      <c r="F199">
        <v>1257.5002930000001</v>
      </c>
      <c r="G199">
        <v>56271</v>
      </c>
      <c r="H199">
        <v>2401</v>
      </c>
      <c r="I199">
        <v>70760799</v>
      </c>
      <c r="J199">
        <v>39241</v>
      </c>
      <c r="K199">
        <v>69.739999999999995</v>
      </c>
      <c r="L199">
        <v>16.7</v>
      </c>
      <c r="M199">
        <v>13.15</v>
      </c>
    </row>
    <row r="200" spans="1:13" x14ac:dyDescent="0.35">
      <c r="A200" s="513">
        <v>44900</v>
      </c>
      <c r="B200">
        <v>1268</v>
      </c>
      <c r="C200">
        <v>1268</v>
      </c>
      <c r="D200">
        <v>1252.3499999999999</v>
      </c>
      <c r="E200" s="489">
        <v>1258.5</v>
      </c>
      <c r="F200">
        <v>1258.6055060000001</v>
      </c>
      <c r="G200">
        <v>87218</v>
      </c>
      <c r="H200">
        <v>3266</v>
      </c>
      <c r="I200">
        <v>109773055</v>
      </c>
      <c r="J200">
        <v>45275</v>
      </c>
      <c r="K200">
        <v>51.91</v>
      </c>
      <c r="L200">
        <v>15.65</v>
      </c>
      <c r="M200">
        <v>-9.5</v>
      </c>
    </row>
    <row r="201" spans="1:13" x14ac:dyDescent="0.35">
      <c r="A201" s="513">
        <v>44897</v>
      </c>
      <c r="B201">
        <v>1293</v>
      </c>
      <c r="C201">
        <v>1293.7</v>
      </c>
      <c r="D201">
        <v>1260</v>
      </c>
      <c r="E201" s="489">
        <v>1264.4000000000001</v>
      </c>
      <c r="F201">
        <v>1265.4315200000001</v>
      </c>
      <c r="G201">
        <v>146160</v>
      </c>
      <c r="H201">
        <v>9738</v>
      </c>
      <c r="I201">
        <v>184955471</v>
      </c>
      <c r="J201">
        <v>82169</v>
      </c>
      <c r="K201">
        <v>56.22</v>
      </c>
      <c r="L201">
        <v>33.700000000000003</v>
      </c>
      <c r="M201">
        <v>-28.6</v>
      </c>
    </row>
    <row r="202" spans="1:13" x14ac:dyDescent="0.35">
      <c r="A202" s="513">
        <v>44896</v>
      </c>
      <c r="B202">
        <v>1315</v>
      </c>
      <c r="C202">
        <v>1317.5</v>
      </c>
      <c r="D202">
        <v>1288.5999999999999</v>
      </c>
      <c r="E202" s="489">
        <v>1293.3499999999999</v>
      </c>
      <c r="F202">
        <v>1298.3531089999999</v>
      </c>
      <c r="G202">
        <v>86115</v>
      </c>
      <c r="H202">
        <v>4930</v>
      </c>
      <c r="I202">
        <v>111807678</v>
      </c>
      <c r="J202">
        <v>40727</v>
      </c>
      <c r="K202">
        <v>47.29</v>
      </c>
      <c r="L202">
        <v>28.9</v>
      </c>
      <c r="M202">
        <v>-21.65</v>
      </c>
    </row>
    <row r="203" spans="1:13" x14ac:dyDescent="0.35">
      <c r="A203" s="513">
        <v>44895</v>
      </c>
      <c r="B203">
        <v>1257.05</v>
      </c>
      <c r="C203">
        <v>1315.3</v>
      </c>
      <c r="D203">
        <v>1257.05</v>
      </c>
      <c r="E203" s="489">
        <v>1307.2</v>
      </c>
      <c r="F203">
        <v>1283.6841850000001</v>
      </c>
      <c r="G203">
        <v>197293</v>
      </c>
      <c r="H203">
        <v>5140</v>
      </c>
      <c r="I203">
        <v>253261904</v>
      </c>
      <c r="J203">
        <v>134656</v>
      </c>
      <c r="K203">
        <v>68.25</v>
      </c>
      <c r="L203">
        <v>58.25</v>
      </c>
      <c r="M203">
        <v>50.15</v>
      </c>
    </row>
    <row r="204" spans="1:13" x14ac:dyDescent="0.35">
      <c r="A204" s="513">
        <v>44894</v>
      </c>
      <c r="B204">
        <v>1252.3</v>
      </c>
      <c r="C204">
        <v>1265</v>
      </c>
      <c r="D204">
        <v>1248.1500000000001</v>
      </c>
      <c r="E204" s="489">
        <v>1256.95</v>
      </c>
      <c r="F204">
        <v>1255.5742359999999</v>
      </c>
      <c r="G204">
        <v>202455</v>
      </c>
      <c r="H204">
        <v>5367</v>
      </c>
      <c r="I204">
        <v>254197282</v>
      </c>
      <c r="J204">
        <v>144763</v>
      </c>
      <c r="K204">
        <v>71.5</v>
      </c>
      <c r="L204">
        <v>16.850000000000001</v>
      </c>
      <c r="M204">
        <v>4.6500000000000004</v>
      </c>
    </row>
    <row r="205" spans="1:13" x14ac:dyDescent="0.35">
      <c r="A205" s="513">
        <v>44893</v>
      </c>
      <c r="B205">
        <v>1260.5</v>
      </c>
      <c r="C205">
        <v>1271.25</v>
      </c>
      <c r="D205">
        <v>1246.1500000000001</v>
      </c>
      <c r="E205" s="489">
        <v>1250.7</v>
      </c>
      <c r="F205">
        <v>1250.036265</v>
      </c>
      <c r="G205">
        <v>169832</v>
      </c>
      <c r="H205">
        <v>3971</v>
      </c>
      <c r="I205">
        <v>212296159</v>
      </c>
      <c r="J205">
        <v>122474</v>
      </c>
      <c r="K205">
        <v>72.11</v>
      </c>
      <c r="L205">
        <v>25.1</v>
      </c>
      <c r="M205">
        <v>-9.8000000000000007</v>
      </c>
    </row>
    <row r="206" spans="1:13" x14ac:dyDescent="0.35">
      <c r="A206" s="513">
        <v>44890</v>
      </c>
      <c r="B206">
        <v>1254.1500000000001</v>
      </c>
      <c r="C206">
        <v>1267</v>
      </c>
      <c r="D206">
        <v>1246</v>
      </c>
      <c r="E206" s="489">
        <v>1260.5999999999999</v>
      </c>
      <c r="F206">
        <v>1260.4133429999999</v>
      </c>
      <c r="G206">
        <v>56660</v>
      </c>
      <c r="H206">
        <v>5277</v>
      </c>
      <c r="I206">
        <v>71415020</v>
      </c>
      <c r="J206">
        <v>36055</v>
      </c>
      <c r="K206">
        <v>63.63</v>
      </c>
      <c r="L206">
        <v>21</v>
      </c>
      <c r="M206">
        <v>6.45</v>
      </c>
    </row>
    <row r="207" spans="1:13" x14ac:dyDescent="0.35">
      <c r="A207" s="513">
        <v>44889</v>
      </c>
      <c r="B207">
        <v>1237.55</v>
      </c>
      <c r="C207">
        <v>1256.4000000000001</v>
      </c>
      <c r="D207">
        <v>1237.55</v>
      </c>
      <c r="E207" s="489">
        <v>1254.05</v>
      </c>
      <c r="F207">
        <v>1247.973258</v>
      </c>
      <c r="G207">
        <v>39264</v>
      </c>
      <c r="H207">
        <v>1840</v>
      </c>
      <c r="I207">
        <v>49000422</v>
      </c>
      <c r="J207">
        <v>9750</v>
      </c>
      <c r="K207">
        <v>24.83</v>
      </c>
      <c r="L207">
        <v>18.850000000000001</v>
      </c>
      <c r="M207">
        <v>16.5</v>
      </c>
    </row>
    <row r="208" spans="1:13" x14ac:dyDescent="0.35">
      <c r="A208" s="513">
        <v>44888</v>
      </c>
      <c r="B208">
        <v>1237</v>
      </c>
      <c r="C208">
        <v>1240.5</v>
      </c>
      <c r="D208">
        <v>1224.25</v>
      </c>
      <c r="E208" s="489">
        <v>1235.0999999999999</v>
      </c>
      <c r="F208">
        <v>1229.578231</v>
      </c>
      <c r="G208">
        <v>125839</v>
      </c>
      <c r="H208">
        <v>2756</v>
      </c>
      <c r="I208">
        <v>154728895</v>
      </c>
      <c r="J208">
        <v>100795</v>
      </c>
      <c r="K208">
        <v>80.099999999999994</v>
      </c>
      <c r="L208">
        <v>16.25</v>
      </c>
      <c r="M208">
        <v>-1.9</v>
      </c>
    </row>
    <row r="209" spans="1:13" x14ac:dyDescent="0.35">
      <c r="A209" s="513">
        <v>44887</v>
      </c>
      <c r="B209">
        <v>1218</v>
      </c>
      <c r="C209">
        <v>1234.9000000000001</v>
      </c>
      <c r="D209">
        <v>1216.5</v>
      </c>
      <c r="E209" s="489">
        <v>1228.7</v>
      </c>
      <c r="F209">
        <v>1223.188384</v>
      </c>
      <c r="G209">
        <v>23330</v>
      </c>
      <c r="H209">
        <v>1443</v>
      </c>
      <c r="I209">
        <v>28536985</v>
      </c>
      <c r="J209">
        <v>7956</v>
      </c>
      <c r="K209">
        <v>34.1</v>
      </c>
      <c r="L209">
        <v>18.399999999999999</v>
      </c>
      <c r="M209">
        <v>10.7</v>
      </c>
    </row>
    <row r="210" spans="1:13" x14ac:dyDescent="0.35">
      <c r="A210" s="513">
        <v>44886</v>
      </c>
      <c r="B210">
        <v>1216</v>
      </c>
      <c r="C210">
        <v>1234.6500000000001</v>
      </c>
      <c r="D210">
        <v>1201.6500000000001</v>
      </c>
      <c r="E210" s="489">
        <v>1218</v>
      </c>
      <c r="F210">
        <v>1216.8815440000001</v>
      </c>
      <c r="G210">
        <v>105457</v>
      </c>
      <c r="H210">
        <v>5863</v>
      </c>
      <c r="I210">
        <v>128328677</v>
      </c>
      <c r="J210">
        <v>35236</v>
      </c>
      <c r="K210">
        <v>33.409999999999997</v>
      </c>
      <c r="L210">
        <v>33</v>
      </c>
      <c r="M210">
        <v>2</v>
      </c>
    </row>
    <row r="211" spans="1:13" x14ac:dyDescent="0.35">
      <c r="A211" s="513">
        <v>44883</v>
      </c>
      <c r="B211">
        <v>1251</v>
      </c>
      <c r="C211">
        <v>1255</v>
      </c>
      <c r="D211">
        <v>1217.5999999999999</v>
      </c>
      <c r="E211" s="489">
        <v>1227.25</v>
      </c>
      <c r="F211">
        <v>1232.6364960000001</v>
      </c>
      <c r="G211">
        <v>75350</v>
      </c>
      <c r="H211">
        <v>4088</v>
      </c>
      <c r="I211">
        <v>92879160</v>
      </c>
      <c r="J211">
        <v>24218</v>
      </c>
      <c r="K211">
        <v>32.14</v>
      </c>
      <c r="L211">
        <v>37.4</v>
      </c>
      <c r="M211">
        <v>-23.75</v>
      </c>
    </row>
    <row r="212" spans="1:13" x14ac:dyDescent="0.35">
      <c r="A212" s="513">
        <v>44882</v>
      </c>
      <c r="B212">
        <v>1284.8499999999999</v>
      </c>
      <c r="C212">
        <v>1284.8499999999999</v>
      </c>
      <c r="D212">
        <v>1254</v>
      </c>
      <c r="E212" s="489">
        <v>1258.25</v>
      </c>
      <c r="F212">
        <v>1270.5117680000001</v>
      </c>
      <c r="G212">
        <v>85019</v>
      </c>
      <c r="H212">
        <v>2337</v>
      </c>
      <c r="I212">
        <v>108017640</v>
      </c>
      <c r="J212">
        <v>59112</v>
      </c>
      <c r="K212">
        <v>69.53</v>
      </c>
      <c r="L212">
        <v>30.85</v>
      </c>
      <c r="M212">
        <v>-26.6</v>
      </c>
    </row>
    <row r="213" spans="1:13" x14ac:dyDescent="0.35">
      <c r="A213" s="513">
        <v>44881</v>
      </c>
      <c r="B213">
        <v>1290.4000000000001</v>
      </c>
      <c r="C213">
        <v>1295.05</v>
      </c>
      <c r="D213">
        <v>1275.8</v>
      </c>
      <c r="E213" s="489">
        <v>1286.05</v>
      </c>
      <c r="F213">
        <v>1285.848598</v>
      </c>
      <c r="G213">
        <v>86498</v>
      </c>
      <c r="H213">
        <v>4467</v>
      </c>
      <c r="I213">
        <v>111223332</v>
      </c>
      <c r="J213">
        <v>54343</v>
      </c>
      <c r="K213">
        <v>62.83</v>
      </c>
      <c r="L213">
        <v>19.25</v>
      </c>
      <c r="M213">
        <v>-4.3499999999999996</v>
      </c>
    </row>
    <row r="214" spans="1:13" x14ac:dyDescent="0.35">
      <c r="A214" s="513">
        <v>44880</v>
      </c>
      <c r="B214">
        <v>1280</v>
      </c>
      <c r="C214">
        <v>1296.2</v>
      </c>
      <c r="D214">
        <v>1275.25</v>
      </c>
      <c r="E214" s="489">
        <v>1291.9000000000001</v>
      </c>
      <c r="F214">
        <v>1285.0227829999999</v>
      </c>
      <c r="G214">
        <v>113069</v>
      </c>
      <c r="H214">
        <v>2166</v>
      </c>
      <c r="I214">
        <v>145296241</v>
      </c>
      <c r="J214">
        <v>7973</v>
      </c>
      <c r="K214">
        <v>7.05</v>
      </c>
      <c r="L214">
        <v>20.95</v>
      </c>
      <c r="M214">
        <v>11.9</v>
      </c>
    </row>
    <row r="215" spans="1:13" x14ac:dyDescent="0.35">
      <c r="A215" s="513">
        <v>44879</v>
      </c>
      <c r="B215">
        <v>1302</v>
      </c>
      <c r="C215">
        <v>1310</v>
      </c>
      <c r="D215">
        <v>1268.45</v>
      </c>
      <c r="E215" s="489">
        <v>1277.95</v>
      </c>
      <c r="F215">
        <v>1288.6028839999999</v>
      </c>
      <c r="G215">
        <v>115402</v>
      </c>
      <c r="H215">
        <v>6672</v>
      </c>
      <c r="I215">
        <v>148707350</v>
      </c>
      <c r="J215">
        <v>36415</v>
      </c>
      <c r="K215">
        <v>31.55</v>
      </c>
      <c r="L215">
        <v>41.55</v>
      </c>
      <c r="M215">
        <v>-24.05</v>
      </c>
    </row>
    <row r="216" spans="1:13" x14ac:dyDescent="0.35">
      <c r="A216" s="513">
        <v>44876</v>
      </c>
      <c r="B216">
        <v>1305</v>
      </c>
      <c r="C216">
        <v>1317.85</v>
      </c>
      <c r="D216">
        <v>1278.6500000000001</v>
      </c>
      <c r="E216" s="489">
        <v>1287.1500000000001</v>
      </c>
      <c r="F216">
        <v>1293.5480050000001</v>
      </c>
      <c r="G216">
        <v>348920</v>
      </c>
      <c r="H216">
        <v>9173</v>
      </c>
      <c r="I216">
        <v>451344770</v>
      </c>
      <c r="J216">
        <v>258968</v>
      </c>
      <c r="K216">
        <v>74.22</v>
      </c>
      <c r="L216">
        <v>39.200000000000003</v>
      </c>
      <c r="M216">
        <v>-17.850000000000001</v>
      </c>
    </row>
    <row r="217" spans="1:13" x14ac:dyDescent="0.35">
      <c r="A217" s="513">
        <v>44875</v>
      </c>
      <c r="B217">
        <v>1330.1</v>
      </c>
      <c r="C217">
        <v>1339</v>
      </c>
      <c r="D217">
        <v>1291</v>
      </c>
      <c r="E217" s="489">
        <v>1297.95</v>
      </c>
      <c r="F217">
        <v>1300.589651</v>
      </c>
      <c r="G217">
        <v>61009</v>
      </c>
      <c r="H217">
        <v>3229</v>
      </c>
      <c r="I217">
        <v>79347674</v>
      </c>
      <c r="J217">
        <v>14871</v>
      </c>
      <c r="K217">
        <v>24.38</v>
      </c>
      <c r="L217">
        <v>48</v>
      </c>
      <c r="M217">
        <v>-32.15</v>
      </c>
    </row>
    <row r="218" spans="1:13" x14ac:dyDescent="0.35">
      <c r="A218" s="513">
        <v>44874</v>
      </c>
      <c r="B218">
        <v>1360</v>
      </c>
      <c r="C218">
        <v>1365</v>
      </c>
      <c r="D218">
        <v>1332</v>
      </c>
      <c r="E218" s="489">
        <v>1337.2</v>
      </c>
      <c r="F218">
        <v>1345.3242110000001</v>
      </c>
      <c r="G218">
        <v>28099</v>
      </c>
      <c r="H218">
        <v>1957</v>
      </c>
      <c r="I218">
        <v>37802265</v>
      </c>
      <c r="J218">
        <v>8917</v>
      </c>
      <c r="K218">
        <v>31.73</v>
      </c>
      <c r="L218">
        <v>33</v>
      </c>
      <c r="M218">
        <v>-22.8</v>
      </c>
    </row>
    <row r="219" spans="1:13" x14ac:dyDescent="0.35">
      <c r="A219" s="513">
        <v>44872</v>
      </c>
      <c r="B219">
        <v>1339.35</v>
      </c>
      <c r="C219">
        <v>1355</v>
      </c>
      <c r="D219">
        <v>1337.25</v>
      </c>
      <c r="E219" s="489">
        <v>1351.15</v>
      </c>
      <c r="F219">
        <v>1346.4035060000001</v>
      </c>
      <c r="G219">
        <v>40106</v>
      </c>
      <c r="H219">
        <v>2002</v>
      </c>
      <c r="I219">
        <v>53998859</v>
      </c>
      <c r="J219">
        <v>11897</v>
      </c>
      <c r="K219">
        <v>29.66</v>
      </c>
      <c r="L219">
        <v>17.75</v>
      </c>
      <c r="M219">
        <v>11.8</v>
      </c>
    </row>
    <row r="220" spans="1:13" x14ac:dyDescent="0.35">
      <c r="A220" s="513">
        <v>44869</v>
      </c>
      <c r="B220">
        <v>1339</v>
      </c>
      <c r="C220">
        <v>1351.75</v>
      </c>
      <c r="D220">
        <v>1331</v>
      </c>
      <c r="E220" s="489">
        <v>1338.15</v>
      </c>
      <c r="F220">
        <v>1337.273725</v>
      </c>
      <c r="G220">
        <v>73921</v>
      </c>
      <c r="H220">
        <v>7689</v>
      </c>
      <c r="I220">
        <v>98852611</v>
      </c>
      <c r="J220">
        <v>44690</v>
      </c>
      <c r="K220">
        <v>60.46</v>
      </c>
      <c r="L220">
        <v>20.75</v>
      </c>
      <c r="M220">
        <v>-0.85</v>
      </c>
    </row>
    <row r="221" spans="1:13" x14ac:dyDescent="0.35">
      <c r="A221" s="513">
        <v>44868</v>
      </c>
      <c r="B221">
        <v>1343.45</v>
      </c>
      <c r="C221">
        <v>1354.95</v>
      </c>
      <c r="D221">
        <v>1329</v>
      </c>
      <c r="E221" s="489">
        <v>1335.7</v>
      </c>
      <c r="F221">
        <v>1351.950315</v>
      </c>
      <c r="G221">
        <v>1428005</v>
      </c>
      <c r="H221">
        <v>3971</v>
      </c>
      <c r="I221">
        <v>1930591809</v>
      </c>
      <c r="J221">
        <v>1392109</v>
      </c>
      <c r="K221">
        <v>97.49</v>
      </c>
      <c r="L221">
        <v>25.95</v>
      </c>
      <c r="M221">
        <v>-7.75</v>
      </c>
    </row>
    <row r="222" spans="1:13" x14ac:dyDescent="0.35">
      <c r="A222" s="513">
        <v>44867</v>
      </c>
      <c r="B222">
        <v>1353</v>
      </c>
      <c r="C222">
        <v>1360</v>
      </c>
      <c r="D222">
        <v>1338.6</v>
      </c>
      <c r="E222" s="489">
        <v>1352.5</v>
      </c>
      <c r="F222">
        <v>1349.2022529999999</v>
      </c>
      <c r="G222">
        <v>110268</v>
      </c>
      <c r="H222">
        <v>5521</v>
      </c>
      <c r="I222">
        <v>148773834</v>
      </c>
      <c r="J222">
        <v>82156</v>
      </c>
      <c r="K222">
        <v>74.510000000000005</v>
      </c>
      <c r="L222">
        <v>21.4</v>
      </c>
      <c r="M222">
        <v>-0.5</v>
      </c>
    </row>
    <row r="223" spans="1:13" x14ac:dyDescent="0.35">
      <c r="A223" s="513">
        <v>44866</v>
      </c>
      <c r="B223">
        <v>1358.5</v>
      </c>
      <c r="C223">
        <v>1366.3</v>
      </c>
      <c r="D223">
        <v>1346.4</v>
      </c>
      <c r="E223" s="489">
        <v>1353.8</v>
      </c>
      <c r="F223">
        <v>1353.968222</v>
      </c>
      <c r="G223">
        <v>187018</v>
      </c>
      <c r="H223">
        <v>5430</v>
      </c>
      <c r="I223">
        <v>253216429</v>
      </c>
      <c r="J223">
        <v>125732</v>
      </c>
      <c r="K223">
        <v>67.23</v>
      </c>
      <c r="L223">
        <v>19.899999999999999</v>
      </c>
      <c r="M223">
        <v>-4.7</v>
      </c>
    </row>
    <row r="224" spans="1:13" x14ac:dyDescent="0.35">
      <c r="A224" s="513">
        <v>44865</v>
      </c>
      <c r="B224">
        <v>1314.5</v>
      </c>
      <c r="C224">
        <v>1358.9</v>
      </c>
      <c r="D224">
        <v>1314.5</v>
      </c>
      <c r="E224" s="489">
        <v>1346.75</v>
      </c>
      <c r="F224">
        <v>1342.5257220000001</v>
      </c>
      <c r="G224">
        <v>215629</v>
      </c>
      <c r="H224">
        <v>10111</v>
      </c>
      <c r="I224">
        <v>289487479</v>
      </c>
      <c r="J224">
        <v>138781</v>
      </c>
      <c r="K224">
        <v>64.36</v>
      </c>
      <c r="L224">
        <v>44.4</v>
      </c>
      <c r="M224">
        <v>32.25</v>
      </c>
    </row>
    <row r="225" spans="1:13" x14ac:dyDescent="0.35">
      <c r="A225" s="513">
        <v>44862</v>
      </c>
      <c r="B225">
        <v>1297.3499999999999</v>
      </c>
      <c r="C225">
        <v>1315.45</v>
      </c>
      <c r="D225">
        <v>1290.5999999999999</v>
      </c>
      <c r="E225" s="489">
        <v>1311.3</v>
      </c>
      <c r="F225">
        <v>1303.9106850000001</v>
      </c>
      <c r="G225">
        <v>157141</v>
      </c>
      <c r="H225">
        <v>7711</v>
      </c>
      <c r="I225">
        <v>204897829</v>
      </c>
      <c r="J225">
        <v>112787</v>
      </c>
      <c r="K225">
        <v>71.77</v>
      </c>
      <c r="L225">
        <v>24.85</v>
      </c>
      <c r="M225">
        <v>13.95</v>
      </c>
    </row>
    <row r="226" spans="1:13" x14ac:dyDescent="0.35">
      <c r="A226" s="513">
        <v>44861</v>
      </c>
      <c r="B226">
        <v>1280.8499999999999</v>
      </c>
      <c r="C226">
        <v>1299.8</v>
      </c>
      <c r="D226">
        <v>1280</v>
      </c>
      <c r="E226" s="489">
        <v>1293.1500000000001</v>
      </c>
      <c r="F226">
        <v>1295.1463679999999</v>
      </c>
      <c r="G226">
        <v>120197</v>
      </c>
      <c r="H226">
        <v>4489</v>
      </c>
      <c r="I226">
        <v>155672708</v>
      </c>
      <c r="J226">
        <v>89749</v>
      </c>
      <c r="K226">
        <v>74.67</v>
      </c>
      <c r="L226">
        <v>19.8</v>
      </c>
      <c r="M226">
        <v>12.3</v>
      </c>
    </row>
    <row r="227" spans="1:13" x14ac:dyDescent="0.35">
      <c r="A227" s="513">
        <v>44859</v>
      </c>
      <c r="B227">
        <v>1265.1500000000001</v>
      </c>
      <c r="C227">
        <v>1283.95</v>
      </c>
      <c r="D227">
        <v>1259.5999999999999</v>
      </c>
      <c r="E227" s="489">
        <v>1280.75</v>
      </c>
      <c r="F227">
        <v>1272.5401609999999</v>
      </c>
      <c r="G227">
        <v>36889</v>
      </c>
      <c r="H227">
        <v>2349</v>
      </c>
      <c r="I227">
        <v>46942734</v>
      </c>
      <c r="J227">
        <v>8428</v>
      </c>
      <c r="K227">
        <v>22.85</v>
      </c>
      <c r="L227">
        <v>24.35</v>
      </c>
      <c r="M227">
        <v>15.6</v>
      </c>
    </row>
    <row r="228" spans="1:13" x14ac:dyDescent="0.35">
      <c r="A228" s="513">
        <v>44858</v>
      </c>
      <c r="B228">
        <v>1262.7</v>
      </c>
      <c r="C228">
        <v>1276.95</v>
      </c>
      <c r="D228">
        <v>1261.55</v>
      </c>
      <c r="E228" s="489">
        <v>1270.55</v>
      </c>
      <c r="F228">
        <v>1271.4243630000001</v>
      </c>
      <c r="G228">
        <v>27255</v>
      </c>
      <c r="H228">
        <v>3062</v>
      </c>
      <c r="I228">
        <v>34652671</v>
      </c>
      <c r="J228">
        <v>17448</v>
      </c>
      <c r="K228">
        <v>64.02</v>
      </c>
      <c r="L228">
        <v>15.4</v>
      </c>
      <c r="M228">
        <v>7.85</v>
      </c>
    </row>
    <row r="229" spans="1:13" x14ac:dyDescent="0.35">
      <c r="A229" s="513">
        <v>44855</v>
      </c>
      <c r="B229">
        <v>1249.75</v>
      </c>
      <c r="C229">
        <v>1268.5</v>
      </c>
      <c r="D229">
        <v>1244.5</v>
      </c>
      <c r="E229" s="489">
        <v>1256.8499999999999</v>
      </c>
      <c r="F229">
        <v>1258.1147679999999</v>
      </c>
      <c r="G229">
        <v>48341</v>
      </c>
      <c r="H229">
        <v>3474</v>
      </c>
      <c r="I229">
        <v>60818526</v>
      </c>
      <c r="J229">
        <v>24660</v>
      </c>
      <c r="K229">
        <v>51.01</v>
      </c>
      <c r="L229">
        <v>24</v>
      </c>
      <c r="M229">
        <v>7.1</v>
      </c>
    </row>
    <row r="230" spans="1:13" x14ac:dyDescent="0.35">
      <c r="A230" s="513">
        <v>44854</v>
      </c>
      <c r="B230">
        <v>1242</v>
      </c>
      <c r="C230">
        <v>1253</v>
      </c>
      <c r="D230">
        <v>1224.6500000000001</v>
      </c>
      <c r="E230" s="489">
        <v>1250.4000000000001</v>
      </c>
      <c r="F230">
        <v>1239.6166029999999</v>
      </c>
      <c r="G230">
        <v>53146</v>
      </c>
      <c r="H230">
        <v>3307</v>
      </c>
      <c r="I230">
        <v>65880664</v>
      </c>
      <c r="J230">
        <v>13910</v>
      </c>
      <c r="K230">
        <v>26.17</v>
      </c>
      <c r="L230">
        <v>28.35</v>
      </c>
      <c r="M230">
        <v>8.4</v>
      </c>
    </row>
    <row r="231" spans="1:13" x14ac:dyDescent="0.35">
      <c r="A231" s="513">
        <v>44853</v>
      </c>
      <c r="B231">
        <v>1263.55</v>
      </c>
      <c r="C231">
        <v>1264.7</v>
      </c>
      <c r="D231">
        <v>1244.05</v>
      </c>
      <c r="E231" s="489">
        <v>1248.5999999999999</v>
      </c>
      <c r="F231">
        <v>1256.3126139999999</v>
      </c>
      <c r="G231">
        <v>26915</v>
      </c>
      <c r="H231">
        <v>1354</v>
      </c>
      <c r="I231">
        <v>33813654</v>
      </c>
      <c r="J231">
        <v>6463</v>
      </c>
      <c r="K231">
        <v>24.01</v>
      </c>
      <c r="L231">
        <v>20.65</v>
      </c>
      <c r="M231">
        <v>-14.95</v>
      </c>
    </row>
    <row r="232" spans="1:13" x14ac:dyDescent="0.35">
      <c r="A232" s="513">
        <v>44852</v>
      </c>
      <c r="B232">
        <v>1239.8</v>
      </c>
      <c r="C232">
        <v>1267</v>
      </c>
      <c r="D232">
        <v>1234.25</v>
      </c>
      <c r="E232" s="489">
        <v>1252.75</v>
      </c>
      <c r="F232">
        <v>1252.289428</v>
      </c>
      <c r="G232">
        <v>187646</v>
      </c>
      <c r="H232">
        <v>4876</v>
      </c>
      <c r="I232">
        <v>234987102</v>
      </c>
      <c r="J232">
        <v>141811</v>
      </c>
      <c r="K232">
        <v>75.569999999999993</v>
      </c>
      <c r="L232">
        <v>32.75</v>
      </c>
      <c r="M232">
        <v>12.95</v>
      </c>
    </row>
    <row r="233" spans="1:13" x14ac:dyDescent="0.35">
      <c r="A233" s="513">
        <v>44851</v>
      </c>
      <c r="B233">
        <v>1225.05</v>
      </c>
      <c r="C233">
        <v>1237.0999999999999</v>
      </c>
      <c r="D233">
        <v>1196.3</v>
      </c>
      <c r="E233" s="489">
        <v>1231.55</v>
      </c>
      <c r="F233">
        <v>1229.761784</v>
      </c>
      <c r="G233">
        <v>1223681</v>
      </c>
      <c r="H233">
        <v>2952</v>
      </c>
      <c r="I233">
        <v>1504836130</v>
      </c>
      <c r="J233">
        <v>1167851</v>
      </c>
      <c r="K233">
        <v>95.44</v>
      </c>
      <c r="L233">
        <v>40.799999999999997</v>
      </c>
      <c r="M233">
        <v>6.5</v>
      </c>
    </row>
    <row r="234" spans="1:13" x14ac:dyDescent="0.35">
      <c r="A234" s="513">
        <v>44848</v>
      </c>
      <c r="B234">
        <v>1261.5</v>
      </c>
      <c r="C234">
        <v>1273.0999999999999</v>
      </c>
      <c r="D234">
        <v>1228.25</v>
      </c>
      <c r="E234" s="489">
        <v>1230.25</v>
      </c>
      <c r="F234">
        <v>1245.9308570000001</v>
      </c>
      <c r="G234">
        <v>41696</v>
      </c>
      <c r="H234">
        <v>2112</v>
      </c>
      <c r="I234">
        <v>51950333</v>
      </c>
      <c r="J234">
        <v>10868</v>
      </c>
      <c r="K234">
        <v>26.06</v>
      </c>
      <c r="L234">
        <v>44.85</v>
      </c>
      <c r="M234">
        <v>-31.25</v>
      </c>
    </row>
    <row r="235" spans="1:13" x14ac:dyDescent="0.35">
      <c r="A235" s="513">
        <v>44847</v>
      </c>
      <c r="B235">
        <v>1251.05</v>
      </c>
      <c r="C235">
        <v>1274</v>
      </c>
      <c r="D235">
        <v>1241</v>
      </c>
      <c r="E235" s="489">
        <v>1247.7</v>
      </c>
      <c r="F235">
        <v>1255.6330969999999</v>
      </c>
      <c r="G235">
        <v>75952</v>
      </c>
      <c r="H235">
        <v>4212</v>
      </c>
      <c r="I235">
        <v>95367845</v>
      </c>
      <c r="J235">
        <v>26659</v>
      </c>
      <c r="K235">
        <v>35.1</v>
      </c>
      <c r="L235">
        <v>33</v>
      </c>
      <c r="M235">
        <v>-3.35</v>
      </c>
    </row>
    <row r="236" spans="1:13" x14ac:dyDescent="0.35">
      <c r="A236" s="513">
        <v>44846</v>
      </c>
      <c r="B236">
        <v>1238.3499999999999</v>
      </c>
      <c r="C236">
        <v>1259.4000000000001</v>
      </c>
      <c r="D236">
        <v>1230.2</v>
      </c>
      <c r="E236" s="489">
        <v>1248.25</v>
      </c>
      <c r="F236">
        <v>1247.4837620000001</v>
      </c>
      <c r="G236">
        <v>125450</v>
      </c>
      <c r="H236">
        <v>3478</v>
      </c>
      <c r="I236">
        <v>156496838</v>
      </c>
      <c r="J236">
        <v>80215</v>
      </c>
      <c r="K236">
        <v>63.94</v>
      </c>
      <c r="L236">
        <v>29.2</v>
      </c>
      <c r="M236">
        <v>9.9</v>
      </c>
    </row>
    <row r="237" spans="1:13" x14ac:dyDescent="0.35">
      <c r="A237" s="513">
        <v>44845</v>
      </c>
      <c r="B237">
        <v>1246.05</v>
      </c>
      <c r="C237">
        <v>1249.4000000000001</v>
      </c>
      <c r="D237">
        <v>1225.3</v>
      </c>
      <c r="E237" s="489">
        <v>1228.5999999999999</v>
      </c>
      <c r="F237">
        <v>1242.720161</v>
      </c>
      <c r="G237">
        <v>1187429</v>
      </c>
      <c r="H237">
        <v>3567</v>
      </c>
      <c r="I237">
        <v>1475641958</v>
      </c>
      <c r="J237">
        <v>1147958</v>
      </c>
      <c r="K237">
        <v>96.68</v>
      </c>
      <c r="L237">
        <v>24.1</v>
      </c>
      <c r="M237">
        <v>-17.45</v>
      </c>
    </row>
    <row r="238" spans="1:13" x14ac:dyDescent="0.35">
      <c r="A238" s="513">
        <v>44844</v>
      </c>
      <c r="B238">
        <v>1232.2</v>
      </c>
      <c r="C238">
        <v>1246.3</v>
      </c>
      <c r="D238">
        <v>1217.95</v>
      </c>
      <c r="E238" s="489">
        <v>1243</v>
      </c>
      <c r="F238">
        <v>1232.9220089999999</v>
      </c>
      <c r="G238">
        <v>62815</v>
      </c>
      <c r="H238">
        <v>4716</v>
      </c>
      <c r="I238">
        <v>77445996</v>
      </c>
      <c r="J238">
        <v>22329</v>
      </c>
      <c r="K238">
        <v>35.549999999999997</v>
      </c>
      <c r="L238">
        <v>28.35</v>
      </c>
      <c r="M238">
        <v>10.8</v>
      </c>
    </row>
    <row r="239" spans="1:13" x14ac:dyDescent="0.35">
      <c r="A239" s="513">
        <v>44841</v>
      </c>
      <c r="B239">
        <v>1256.0999999999999</v>
      </c>
      <c r="C239">
        <v>1260</v>
      </c>
      <c r="D239">
        <v>1232.55</v>
      </c>
      <c r="E239" s="489">
        <v>1239.25</v>
      </c>
      <c r="F239">
        <v>1240.8121719999999</v>
      </c>
      <c r="G239">
        <v>60385</v>
      </c>
      <c r="H239">
        <v>3187</v>
      </c>
      <c r="I239">
        <v>74926443</v>
      </c>
      <c r="J239">
        <v>16825</v>
      </c>
      <c r="K239">
        <v>27.86</v>
      </c>
      <c r="L239">
        <v>27.45</v>
      </c>
      <c r="M239">
        <v>-16.850000000000001</v>
      </c>
    </row>
    <row r="240" spans="1:13" x14ac:dyDescent="0.35">
      <c r="A240" s="513">
        <v>44840</v>
      </c>
      <c r="B240">
        <v>1265</v>
      </c>
      <c r="C240">
        <v>1277.05</v>
      </c>
      <c r="D240">
        <v>1254.55</v>
      </c>
      <c r="E240" s="489">
        <v>1256.45</v>
      </c>
      <c r="F240">
        <v>1265.1220699999999</v>
      </c>
      <c r="G240">
        <v>136446</v>
      </c>
      <c r="H240">
        <v>5638</v>
      </c>
      <c r="I240">
        <v>172620846</v>
      </c>
      <c r="J240">
        <v>102163</v>
      </c>
      <c r="K240">
        <v>74.87</v>
      </c>
      <c r="L240">
        <v>22.5</v>
      </c>
      <c r="M240">
        <v>-8.5500000000000007</v>
      </c>
    </row>
    <row r="241" spans="1:13" x14ac:dyDescent="0.35">
      <c r="A241" s="513">
        <v>44838</v>
      </c>
      <c r="B241">
        <v>1266</v>
      </c>
      <c r="C241">
        <v>1277.9000000000001</v>
      </c>
      <c r="D241">
        <v>1255.2</v>
      </c>
      <c r="E241" s="489">
        <v>1259.8499999999999</v>
      </c>
      <c r="F241">
        <v>1261.200296</v>
      </c>
      <c r="G241">
        <v>102778</v>
      </c>
      <c r="H241">
        <v>4756</v>
      </c>
      <c r="I241">
        <v>129623644</v>
      </c>
      <c r="J241">
        <v>52379</v>
      </c>
      <c r="K241">
        <v>50.96</v>
      </c>
      <c r="L241">
        <v>22.7</v>
      </c>
      <c r="M241">
        <v>-6.15</v>
      </c>
    </row>
    <row r="242" spans="1:13" x14ac:dyDescent="0.35">
      <c r="A242" s="513">
        <v>44837</v>
      </c>
      <c r="B242">
        <v>1266</v>
      </c>
      <c r="C242">
        <v>1275.8499999999999</v>
      </c>
      <c r="D242">
        <v>1241.8</v>
      </c>
      <c r="E242" s="489">
        <v>1251.5</v>
      </c>
      <c r="F242">
        <v>1261.8612579999999</v>
      </c>
      <c r="G242">
        <v>79536</v>
      </c>
      <c r="H242">
        <v>6212</v>
      </c>
      <c r="I242">
        <v>100363397</v>
      </c>
      <c r="J242">
        <v>23397</v>
      </c>
      <c r="K242">
        <v>29.42</v>
      </c>
      <c r="L242">
        <v>34.049999999999997</v>
      </c>
      <c r="M242">
        <v>-14.5</v>
      </c>
    </row>
    <row r="243" spans="1:13" x14ac:dyDescent="0.35">
      <c r="A243" s="513">
        <v>44834</v>
      </c>
      <c r="B243">
        <v>1249.2</v>
      </c>
      <c r="C243">
        <v>1282.3499999999999</v>
      </c>
      <c r="D243">
        <v>1232.75</v>
      </c>
      <c r="E243" s="489">
        <v>1268.7</v>
      </c>
      <c r="F243">
        <v>1267.45876</v>
      </c>
      <c r="G243">
        <v>136760</v>
      </c>
      <c r="H243">
        <v>5081</v>
      </c>
      <c r="I243">
        <v>173337660</v>
      </c>
      <c r="J243">
        <v>70967</v>
      </c>
      <c r="K243">
        <v>51.89</v>
      </c>
      <c r="L243">
        <v>49.6</v>
      </c>
      <c r="M243">
        <v>19.5</v>
      </c>
    </row>
    <row r="244" spans="1:13" x14ac:dyDescent="0.35">
      <c r="A244" s="513">
        <v>44833</v>
      </c>
      <c r="B244">
        <v>1244.2</v>
      </c>
      <c r="C244">
        <v>1267.7</v>
      </c>
      <c r="D244">
        <v>1244.2</v>
      </c>
      <c r="E244" s="489">
        <v>1256.6500000000001</v>
      </c>
      <c r="F244">
        <v>1255.354329</v>
      </c>
      <c r="G244">
        <v>118181</v>
      </c>
      <c r="H244">
        <v>5519</v>
      </c>
      <c r="I244">
        <v>148359030</v>
      </c>
      <c r="J244">
        <v>60754</v>
      </c>
      <c r="K244">
        <v>51.41</v>
      </c>
      <c r="L244">
        <v>23.5</v>
      </c>
      <c r="M244">
        <v>12.45</v>
      </c>
    </row>
    <row r="245" spans="1:13" x14ac:dyDescent="0.35">
      <c r="A245" s="513">
        <v>44832</v>
      </c>
      <c r="B245">
        <v>1230</v>
      </c>
      <c r="C245">
        <v>1261.8</v>
      </c>
      <c r="D245">
        <v>1212</v>
      </c>
      <c r="E245" s="489">
        <v>1242.6500000000001</v>
      </c>
      <c r="F245">
        <v>1248.388995</v>
      </c>
      <c r="G245">
        <v>154989</v>
      </c>
      <c r="H245">
        <v>6511</v>
      </c>
      <c r="I245">
        <v>193486562</v>
      </c>
      <c r="J245">
        <v>89949</v>
      </c>
      <c r="K245">
        <v>58.04</v>
      </c>
      <c r="L245">
        <v>49.8</v>
      </c>
      <c r="M245">
        <v>12.65</v>
      </c>
    </row>
    <row r="246" spans="1:13" x14ac:dyDescent="0.35">
      <c r="A246" s="513">
        <v>44831</v>
      </c>
      <c r="B246">
        <v>1242</v>
      </c>
      <c r="C246">
        <v>1252.5999999999999</v>
      </c>
      <c r="D246">
        <v>1222</v>
      </c>
      <c r="E246" s="489">
        <v>1235.75</v>
      </c>
      <c r="F246">
        <v>1235.415714</v>
      </c>
      <c r="G246">
        <v>40766</v>
      </c>
      <c r="H246">
        <v>3039</v>
      </c>
      <c r="I246">
        <v>50362957</v>
      </c>
      <c r="J246">
        <v>8831</v>
      </c>
      <c r="K246">
        <v>21.66</v>
      </c>
      <c r="L246">
        <v>30.6</v>
      </c>
      <c r="M246">
        <v>-6.25</v>
      </c>
    </row>
    <row r="247" spans="1:13" x14ac:dyDescent="0.35">
      <c r="A247" s="513">
        <v>44830</v>
      </c>
      <c r="B247">
        <v>1246.9000000000001</v>
      </c>
      <c r="C247">
        <v>1255.9000000000001</v>
      </c>
      <c r="D247">
        <v>1216.25</v>
      </c>
      <c r="E247" s="489">
        <v>1235.3</v>
      </c>
      <c r="F247">
        <v>1232.6384700000001</v>
      </c>
      <c r="G247">
        <v>73377</v>
      </c>
      <c r="H247">
        <v>5253</v>
      </c>
      <c r="I247">
        <v>90447313</v>
      </c>
      <c r="J247">
        <v>15644</v>
      </c>
      <c r="K247">
        <v>21.32</v>
      </c>
      <c r="L247">
        <v>39.65</v>
      </c>
      <c r="M247">
        <v>-11.6</v>
      </c>
    </row>
    <row r="248" spans="1:13" x14ac:dyDescent="0.35">
      <c r="A248" s="513">
        <v>44827</v>
      </c>
      <c r="B248">
        <v>1300.1500000000001</v>
      </c>
      <c r="C248">
        <v>1318.4</v>
      </c>
      <c r="D248">
        <v>1261.1500000000001</v>
      </c>
      <c r="E248" s="489">
        <v>1271.3</v>
      </c>
      <c r="F248">
        <v>1272.660226</v>
      </c>
      <c r="G248">
        <v>157022</v>
      </c>
      <c r="H248">
        <v>11079</v>
      </c>
      <c r="I248">
        <v>199835654</v>
      </c>
      <c r="J248">
        <v>65939</v>
      </c>
      <c r="K248">
        <v>41.99</v>
      </c>
      <c r="L248">
        <v>57.25</v>
      </c>
      <c r="M248">
        <v>-28.85</v>
      </c>
    </row>
    <row r="249" spans="1:13" x14ac:dyDescent="0.35">
      <c r="A249" s="513">
        <v>44826</v>
      </c>
      <c r="B249">
        <v>1290</v>
      </c>
      <c r="C249">
        <v>1320.45</v>
      </c>
      <c r="D249">
        <v>1290</v>
      </c>
      <c r="E249" s="489">
        <v>1310.6500000000001</v>
      </c>
      <c r="F249">
        <v>1308.481747</v>
      </c>
      <c r="G249">
        <v>83957</v>
      </c>
      <c r="H249">
        <v>5718</v>
      </c>
      <c r="I249">
        <v>109856202</v>
      </c>
      <c r="J249">
        <v>42665</v>
      </c>
      <c r="K249">
        <v>50.82</v>
      </c>
      <c r="L249">
        <v>30.45</v>
      </c>
      <c r="M249">
        <v>20.65</v>
      </c>
    </row>
    <row r="250" spans="1:13" x14ac:dyDescent="0.35">
      <c r="A250" s="513">
        <v>44825</v>
      </c>
      <c r="B250">
        <v>1304</v>
      </c>
      <c r="C250">
        <v>1322.4</v>
      </c>
      <c r="D250">
        <v>1294.6500000000001</v>
      </c>
      <c r="E250" s="489">
        <v>1306.9000000000001</v>
      </c>
      <c r="F250">
        <v>1308.4443719999999</v>
      </c>
      <c r="G250">
        <v>142932</v>
      </c>
      <c r="H250">
        <v>6844</v>
      </c>
      <c r="I250">
        <v>187018571</v>
      </c>
      <c r="J250">
        <v>67620</v>
      </c>
      <c r="K250">
        <v>47.31</v>
      </c>
      <c r="L250">
        <v>27.75</v>
      </c>
      <c r="M250">
        <v>2.9</v>
      </c>
    </row>
    <row r="251" spans="1:13" x14ac:dyDescent="0.35">
      <c r="A251" s="513">
        <v>44824</v>
      </c>
      <c r="B251">
        <v>1298.2</v>
      </c>
      <c r="C251">
        <v>1312</v>
      </c>
      <c r="D251">
        <v>1297</v>
      </c>
      <c r="E251" s="489">
        <v>1302.9000000000001</v>
      </c>
      <c r="F251">
        <v>1305.4306710000001</v>
      </c>
      <c r="G251">
        <v>167325</v>
      </c>
      <c r="H251">
        <v>8376</v>
      </c>
      <c r="I251">
        <v>218431187</v>
      </c>
      <c r="J251">
        <v>78491</v>
      </c>
      <c r="K251">
        <v>46.91</v>
      </c>
      <c r="L251">
        <v>15</v>
      </c>
      <c r="M251">
        <v>4.7</v>
      </c>
    </row>
    <row r="252" spans="1:13" x14ac:dyDescent="0.35">
      <c r="A252" s="513">
        <v>44823</v>
      </c>
      <c r="B252">
        <v>1255</v>
      </c>
      <c r="C252">
        <v>1299</v>
      </c>
      <c r="D252">
        <v>1250.25</v>
      </c>
      <c r="E252" s="489">
        <v>1288.7</v>
      </c>
      <c r="F252">
        <v>1259.9937339999999</v>
      </c>
      <c r="G252">
        <v>1088592</v>
      </c>
      <c r="H252">
        <v>14258</v>
      </c>
      <c r="I252">
        <v>1371619099</v>
      </c>
      <c r="J252">
        <v>930277</v>
      </c>
      <c r="K252">
        <v>85.46</v>
      </c>
      <c r="L252">
        <v>48.75</v>
      </c>
      <c r="M252">
        <v>33.700000000000003</v>
      </c>
    </row>
    <row r="253" spans="1:13" x14ac:dyDescent="0.35">
      <c r="A253" s="513">
        <v>44820</v>
      </c>
      <c r="B253">
        <v>1292.0999999999999</v>
      </c>
      <c r="C253">
        <v>1296.95</v>
      </c>
      <c r="D253">
        <v>1234.3499999999999</v>
      </c>
      <c r="E253" s="489">
        <v>1250.5</v>
      </c>
      <c r="F253">
        <v>1254.4695959999999</v>
      </c>
      <c r="G253">
        <v>201041</v>
      </c>
      <c r="H253">
        <v>9792</v>
      </c>
      <c r="I253">
        <v>252199822</v>
      </c>
      <c r="J253">
        <v>92237</v>
      </c>
      <c r="K253">
        <v>45.88</v>
      </c>
      <c r="L253">
        <v>62.6</v>
      </c>
      <c r="M253">
        <v>-41.6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47E5-0BEA-4A34-BF45-7FDA3F723528}">
  <sheetPr>
    <tabColor rgb="FFFF0000"/>
  </sheetPr>
  <dimension ref="A2:J252"/>
  <sheetViews>
    <sheetView topLeftCell="A225" workbookViewId="0">
      <selection activeCell="E5" sqref="E5:E252"/>
    </sheetView>
  </sheetViews>
  <sheetFormatPr defaultRowHeight="14.5" x14ac:dyDescent="0.35"/>
  <cols>
    <col min="1" max="5" width="12.6328125" customWidth="1"/>
  </cols>
  <sheetData>
    <row r="2" spans="1:10" x14ac:dyDescent="0.35">
      <c r="A2" s="503" t="s">
        <v>514</v>
      </c>
      <c r="B2" s="503"/>
      <c r="C2" s="503"/>
      <c r="D2" s="503"/>
      <c r="E2" s="503" t="s">
        <v>656</v>
      </c>
      <c r="F2" s="503"/>
      <c r="G2" s="503"/>
      <c r="H2" s="503"/>
      <c r="I2" s="503"/>
      <c r="J2" s="503"/>
    </row>
    <row r="4" spans="1:10" x14ac:dyDescent="0.35">
      <c r="A4" s="503" t="s">
        <v>297</v>
      </c>
      <c r="B4" s="503" t="s">
        <v>516</v>
      </c>
      <c r="C4" s="503" t="s">
        <v>517</v>
      </c>
      <c r="D4" s="503" t="s">
        <v>518</v>
      </c>
      <c r="E4" s="503" t="s">
        <v>519</v>
      </c>
    </row>
    <row r="5" spans="1:10" x14ac:dyDescent="0.35">
      <c r="A5" s="301">
        <v>45183</v>
      </c>
      <c r="B5">
        <v>67627.03</v>
      </c>
      <c r="C5">
        <v>67771.05</v>
      </c>
      <c r="D5">
        <v>67336.460000000006</v>
      </c>
      <c r="E5" s="2">
        <v>67519</v>
      </c>
    </row>
    <row r="6" spans="1:10" x14ac:dyDescent="0.35">
      <c r="A6" s="301">
        <v>45182</v>
      </c>
      <c r="B6">
        <v>67188.639999999999</v>
      </c>
      <c r="C6">
        <v>67565.41</v>
      </c>
      <c r="D6">
        <v>67053.36</v>
      </c>
      <c r="E6" s="2">
        <v>67466.990000000005</v>
      </c>
    </row>
    <row r="7" spans="1:10" x14ac:dyDescent="0.35">
      <c r="A7" s="301">
        <v>45181</v>
      </c>
      <c r="B7">
        <v>67506.880000000005</v>
      </c>
      <c r="C7">
        <v>67539.100000000006</v>
      </c>
      <c r="D7">
        <v>66948.179999999993</v>
      </c>
      <c r="E7" s="2">
        <v>67221.13</v>
      </c>
    </row>
    <row r="8" spans="1:10" x14ac:dyDescent="0.35">
      <c r="A8" s="301">
        <v>45180</v>
      </c>
      <c r="B8">
        <v>66807.73</v>
      </c>
      <c r="C8">
        <v>67172.13</v>
      </c>
      <c r="D8">
        <v>66735.839999999997</v>
      </c>
      <c r="E8" s="2">
        <v>67127.08</v>
      </c>
    </row>
    <row r="9" spans="1:10" x14ac:dyDescent="0.35">
      <c r="A9" s="301">
        <v>45177</v>
      </c>
      <c r="B9">
        <v>66381.429999999993</v>
      </c>
      <c r="C9">
        <v>66766.92</v>
      </c>
      <c r="D9">
        <v>66299.3</v>
      </c>
      <c r="E9" s="2">
        <v>66598.91</v>
      </c>
    </row>
    <row r="10" spans="1:10" x14ac:dyDescent="0.35">
      <c r="A10" s="301">
        <v>45176</v>
      </c>
      <c r="B10">
        <v>65854.25</v>
      </c>
      <c r="C10">
        <v>66296.899999999994</v>
      </c>
      <c r="D10">
        <v>65672.34</v>
      </c>
      <c r="E10" s="2">
        <v>66265.56</v>
      </c>
    </row>
    <row r="11" spans="1:10" x14ac:dyDescent="0.35">
      <c r="A11" s="301">
        <v>45175</v>
      </c>
      <c r="B11">
        <v>65744.19</v>
      </c>
      <c r="C11">
        <v>65971.13</v>
      </c>
      <c r="D11">
        <v>65488.03</v>
      </c>
      <c r="E11" s="2">
        <v>65880.52</v>
      </c>
    </row>
    <row r="12" spans="1:10" x14ac:dyDescent="0.35">
      <c r="A12" s="301">
        <v>45174</v>
      </c>
      <c r="B12">
        <v>65671.600000000006</v>
      </c>
      <c r="C12">
        <v>65831.7</v>
      </c>
      <c r="D12">
        <v>65601.47</v>
      </c>
      <c r="E12" s="2">
        <v>65780.259999999995</v>
      </c>
    </row>
    <row r="13" spans="1:10" x14ac:dyDescent="0.35">
      <c r="A13" s="301">
        <v>45173</v>
      </c>
      <c r="B13">
        <v>65525.91</v>
      </c>
      <c r="C13">
        <v>65683.91</v>
      </c>
      <c r="D13">
        <v>65285.56</v>
      </c>
      <c r="E13" s="2">
        <v>65628.14</v>
      </c>
    </row>
    <row r="14" spans="1:10" x14ac:dyDescent="0.35">
      <c r="A14" s="301">
        <v>45170</v>
      </c>
      <c r="B14">
        <v>64855.51</v>
      </c>
      <c r="C14">
        <v>65473.27</v>
      </c>
      <c r="D14">
        <v>64818.37</v>
      </c>
      <c r="E14" s="2">
        <v>65387.16</v>
      </c>
    </row>
    <row r="15" spans="1:10" x14ac:dyDescent="0.35">
      <c r="A15" s="301">
        <v>45169</v>
      </c>
      <c r="B15">
        <v>65178.33</v>
      </c>
      <c r="C15">
        <v>65277.04</v>
      </c>
      <c r="D15">
        <v>64723.63</v>
      </c>
      <c r="E15" s="2">
        <v>64831.41</v>
      </c>
    </row>
    <row r="16" spans="1:10" x14ac:dyDescent="0.35">
      <c r="A16" s="301">
        <v>45168</v>
      </c>
      <c r="B16">
        <v>65311.58</v>
      </c>
      <c r="C16">
        <v>65458.7</v>
      </c>
      <c r="D16">
        <v>65052.74</v>
      </c>
      <c r="E16" s="2">
        <v>65087.25</v>
      </c>
    </row>
    <row r="17" spans="1:5" x14ac:dyDescent="0.35">
      <c r="A17" s="301">
        <v>45167</v>
      </c>
      <c r="B17">
        <v>65201.35</v>
      </c>
      <c r="C17">
        <v>65229.03</v>
      </c>
      <c r="D17">
        <v>64956.67</v>
      </c>
      <c r="E17" s="2">
        <v>65075.82</v>
      </c>
    </row>
    <row r="18" spans="1:5" x14ac:dyDescent="0.35">
      <c r="A18" s="301">
        <v>45166</v>
      </c>
      <c r="B18">
        <v>64908.08</v>
      </c>
      <c r="C18">
        <v>65213.45</v>
      </c>
      <c r="D18">
        <v>64776.92</v>
      </c>
      <c r="E18" s="2">
        <v>64996.6</v>
      </c>
    </row>
    <row r="19" spans="1:5" x14ac:dyDescent="0.35">
      <c r="A19" s="301">
        <v>45163</v>
      </c>
      <c r="B19">
        <v>65000.67</v>
      </c>
      <c r="C19">
        <v>65106</v>
      </c>
      <c r="D19">
        <v>64732.57</v>
      </c>
      <c r="E19" s="2">
        <v>64886.51</v>
      </c>
    </row>
    <row r="20" spans="1:5" x14ac:dyDescent="0.35">
      <c r="A20" s="301">
        <v>45162</v>
      </c>
      <c r="B20">
        <v>65722.509999999995</v>
      </c>
      <c r="C20">
        <v>65913.77</v>
      </c>
      <c r="D20">
        <v>65181.94</v>
      </c>
      <c r="E20" s="2">
        <v>65252.34</v>
      </c>
    </row>
    <row r="21" spans="1:5" x14ac:dyDescent="0.35">
      <c r="A21" s="301">
        <v>45161</v>
      </c>
      <c r="B21">
        <v>65300.93</v>
      </c>
      <c r="C21">
        <v>65504.71</v>
      </c>
      <c r="D21">
        <v>65108.51</v>
      </c>
      <c r="E21" s="2">
        <v>65433.3</v>
      </c>
    </row>
    <row r="22" spans="1:5" x14ac:dyDescent="0.35">
      <c r="A22" s="301">
        <v>45160</v>
      </c>
      <c r="B22">
        <v>65272.42</v>
      </c>
      <c r="C22">
        <v>65362.91</v>
      </c>
      <c r="D22">
        <v>65165.45</v>
      </c>
      <c r="E22" s="2">
        <v>65220.03</v>
      </c>
    </row>
    <row r="23" spans="1:5" x14ac:dyDescent="0.35">
      <c r="A23" s="301">
        <v>45159</v>
      </c>
      <c r="B23">
        <v>64852.7</v>
      </c>
      <c r="C23">
        <v>65335.82</v>
      </c>
      <c r="D23">
        <v>64852.7</v>
      </c>
      <c r="E23" s="2">
        <v>65216.09</v>
      </c>
    </row>
    <row r="24" spans="1:5" x14ac:dyDescent="0.35">
      <c r="A24" s="301">
        <v>45156</v>
      </c>
      <c r="B24">
        <v>65025.71</v>
      </c>
      <c r="C24">
        <v>65175.32</v>
      </c>
      <c r="D24">
        <v>64754.720000000001</v>
      </c>
      <c r="E24" s="2">
        <v>64948.66</v>
      </c>
    </row>
    <row r="25" spans="1:5" x14ac:dyDescent="0.35">
      <c r="A25" s="301">
        <v>45155</v>
      </c>
      <c r="B25">
        <v>65503.85</v>
      </c>
      <c r="C25">
        <v>65535.14</v>
      </c>
      <c r="D25">
        <v>65046.1</v>
      </c>
      <c r="E25" s="2">
        <v>65151.02</v>
      </c>
    </row>
    <row r="26" spans="1:5" x14ac:dyDescent="0.35">
      <c r="A26" s="301">
        <v>45154</v>
      </c>
      <c r="B26">
        <v>65238.67</v>
      </c>
      <c r="C26">
        <v>65605.740000000005</v>
      </c>
      <c r="D26">
        <v>65032.89</v>
      </c>
      <c r="E26" s="2">
        <v>65539.42</v>
      </c>
    </row>
    <row r="27" spans="1:5" x14ac:dyDescent="0.35">
      <c r="A27" s="301">
        <v>45152</v>
      </c>
      <c r="B27">
        <v>65153.02</v>
      </c>
      <c r="C27">
        <v>65517.82</v>
      </c>
      <c r="D27">
        <v>64821.88</v>
      </c>
      <c r="E27" s="2">
        <v>65401.919999999998</v>
      </c>
    </row>
    <row r="28" spans="1:5" x14ac:dyDescent="0.35">
      <c r="A28" s="301">
        <v>45149</v>
      </c>
      <c r="B28">
        <v>65727.8</v>
      </c>
      <c r="C28">
        <v>65727.8</v>
      </c>
      <c r="D28">
        <v>65274.61</v>
      </c>
      <c r="E28" s="2">
        <v>65322.65</v>
      </c>
    </row>
    <row r="29" spans="1:5" x14ac:dyDescent="0.35">
      <c r="A29" s="301">
        <v>45148</v>
      </c>
      <c r="B29">
        <v>65945.39</v>
      </c>
      <c r="C29">
        <v>65956.25</v>
      </c>
      <c r="D29">
        <v>65509.14</v>
      </c>
      <c r="E29" s="2">
        <v>65688.179999999993</v>
      </c>
    </row>
    <row r="30" spans="1:5" x14ac:dyDescent="0.35">
      <c r="A30" s="301">
        <v>45147</v>
      </c>
      <c r="B30">
        <v>65810.960000000006</v>
      </c>
      <c r="C30">
        <v>66066.009999999995</v>
      </c>
      <c r="D30">
        <v>65444.38</v>
      </c>
      <c r="E30" s="2">
        <v>65995.81</v>
      </c>
    </row>
    <row r="31" spans="1:5" x14ac:dyDescent="0.35">
      <c r="A31" s="301">
        <v>45146</v>
      </c>
      <c r="B31">
        <v>66048.81</v>
      </c>
      <c r="C31">
        <v>66057.53</v>
      </c>
      <c r="D31">
        <v>65752.63</v>
      </c>
      <c r="E31" s="2">
        <v>65846.5</v>
      </c>
    </row>
    <row r="32" spans="1:5" x14ac:dyDescent="0.35">
      <c r="A32" s="301">
        <v>45145</v>
      </c>
      <c r="B32">
        <v>65453.55</v>
      </c>
      <c r="C32">
        <v>65799.27</v>
      </c>
      <c r="D32">
        <v>65387.18</v>
      </c>
      <c r="E32" s="2">
        <v>65721.25</v>
      </c>
    </row>
    <row r="33" spans="1:5" x14ac:dyDescent="0.35">
      <c r="A33" s="301">
        <v>45142</v>
      </c>
      <c r="B33">
        <v>65453.55</v>
      </c>
      <c r="C33">
        <v>65799.27</v>
      </c>
      <c r="D33">
        <v>65387.18</v>
      </c>
      <c r="E33" s="2">
        <v>65721.25</v>
      </c>
    </row>
    <row r="34" spans="1:5" x14ac:dyDescent="0.35">
      <c r="A34" s="301">
        <v>45141</v>
      </c>
      <c r="B34">
        <v>65550.820000000007</v>
      </c>
      <c r="C34">
        <v>65820.820000000007</v>
      </c>
      <c r="D34">
        <v>64963.08</v>
      </c>
      <c r="E34" s="2">
        <v>65240.68</v>
      </c>
    </row>
    <row r="35" spans="1:5" x14ac:dyDescent="0.35">
      <c r="A35" s="301">
        <v>45140</v>
      </c>
      <c r="B35">
        <v>66064.41</v>
      </c>
      <c r="C35">
        <v>66261.97</v>
      </c>
      <c r="D35">
        <v>65431.68</v>
      </c>
      <c r="E35" s="2">
        <v>65782.78</v>
      </c>
    </row>
    <row r="36" spans="1:5" x14ac:dyDescent="0.35">
      <c r="A36" s="301">
        <v>45139</v>
      </c>
      <c r="B36">
        <v>66532.98</v>
      </c>
      <c r="C36">
        <v>66658.12</v>
      </c>
      <c r="D36">
        <v>66388.259999999995</v>
      </c>
      <c r="E36" s="2">
        <v>66459.31</v>
      </c>
    </row>
    <row r="37" spans="1:5" x14ac:dyDescent="0.35">
      <c r="A37" s="301">
        <v>45138</v>
      </c>
      <c r="B37">
        <v>66156.39</v>
      </c>
      <c r="C37">
        <v>66598.42</v>
      </c>
      <c r="D37">
        <v>65998.899999999994</v>
      </c>
      <c r="E37" s="2">
        <v>66527.67</v>
      </c>
    </row>
    <row r="38" spans="1:5" x14ac:dyDescent="0.35">
      <c r="A38" s="301">
        <v>45135</v>
      </c>
      <c r="B38">
        <v>66266.350000000006</v>
      </c>
      <c r="C38">
        <v>66351.22</v>
      </c>
      <c r="D38">
        <v>65878.649999999994</v>
      </c>
      <c r="E38" s="2">
        <v>66160.2</v>
      </c>
    </row>
    <row r="39" spans="1:5" x14ac:dyDescent="0.35">
      <c r="A39" s="301">
        <v>45134</v>
      </c>
      <c r="B39">
        <v>66834.12</v>
      </c>
      <c r="C39">
        <v>66984.17</v>
      </c>
      <c r="D39">
        <v>66060.740000000005</v>
      </c>
      <c r="E39" s="2">
        <v>66266.820000000007</v>
      </c>
    </row>
    <row r="40" spans="1:5" x14ac:dyDescent="0.35">
      <c r="A40" s="301">
        <v>45133</v>
      </c>
      <c r="B40">
        <v>66434.720000000001</v>
      </c>
      <c r="C40">
        <v>66897.27</v>
      </c>
      <c r="D40">
        <v>66431.34</v>
      </c>
      <c r="E40" s="2">
        <v>66707.199999999997</v>
      </c>
    </row>
    <row r="41" spans="1:5" x14ac:dyDescent="0.35">
      <c r="A41" s="301">
        <v>45132</v>
      </c>
      <c r="B41">
        <v>66531.199999999997</v>
      </c>
      <c r="C41">
        <v>66559.289999999994</v>
      </c>
      <c r="D41">
        <v>66177.62</v>
      </c>
      <c r="E41" s="2">
        <v>66355.710000000006</v>
      </c>
    </row>
    <row r="42" spans="1:5" x14ac:dyDescent="0.35">
      <c r="A42" s="301">
        <v>45131</v>
      </c>
      <c r="B42">
        <v>66629.14</v>
      </c>
      <c r="C42">
        <v>66808.56</v>
      </c>
      <c r="D42">
        <v>66326.25</v>
      </c>
      <c r="E42" s="2">
        <v>66384.78</v>
      </c>
    </row>
    <row r="43" spans="1:5" x14ac:dyDescent="0.35">
      <c r="A43" s="301">
        <v>45128</v>
      </c>
      <c r="B43">
        <v>66907.070000000007</v>
      </c>
      <c r="C43">
        <v>67190.52</v>
      </c>
      <c r="D43">
        <v>66533.740000000005</v>
      </c>
      <c r="E43" s="2">
        <v>66684.259999999995</v>
      </c>
    </row>
    <row r="44" spans="1:5" x14ac:dyDescent="0.35">
      <c r="A44" s="301">
        <v>45127</v>
      </c>
      <c r="B44">
        <v>67074.34</v>
      </c>
      <c r="C44">
        <v>67619.17</v>
      </c>
      <c r="D44">
        <v>66831.38</v>
      </c>
      <c r="E44" s="2">
        <v>67571.899999999994</v>
      </c>
    </row>
    <row r="45" spans="1:5" x14ac:dyDescent="0.35">
      <c r="A45" s="301">
        <v>45126</v>
      </c>
      <c r="B45">
        <v>66905.009999999995</v>
      </c>
      <c r="C45">
        <v>67171.38</v>
      </c>
      <c r="D45">
        <v>66703.61</v>
      </c>
      <c r="E45" s="2">
        <v>67097.440000000002</v>
      </c>
    </row>
    <row r="46" spans="1:5" x14ac:dyDescent="0.35">
      <c r="A46" s="301">
        <v>45125</v>
      </c>
      <c r="B46">
        <v>66828.960000000006</v>
      </c>
      <c r="C46">
        <v>67007.02</v>
      </c>
      <c r="D46">
        <v>66574.47</v>
      </c>
      <c r="E46" s="2">
        <v>66795.14</v>
      </c>
    </row>
    <row r="47" spans="1:5" x14ac:dyDescent="0.35">
      <c r="A47" s="301">
        <v>45124</v>
      </c>
      <c r="B47">
        <v>66148.179999999993</v>
      </c>
      <c r="C47">
        <v>66656.210000000006</v>
      </c>
      <c r="D47">
        <v>66015.63</v>
      </c>
      <c r="E47" s="2">
        <v>66589.929999999993</v>
      </c>
    </row>
    <row r="48" spans="1:5" x14ac:dyDescent="0.35">
      <c r="A48" s="301">
        <v>45121</v>
      </c>
      <c r="B48">
        <v>65775.490000000005</v>
      </c>
      <c r="C48">
        <v>66159.789999999994</v>
      </c>
      <c r="D48">
        <v>65610.820000000007</v>
      </c>
      <c r="E48" s="2">
        <v>66060.899999999994</v>
      </c>
    </row>
    <row r="49" spans="1:5" x14ac:dyDescent="0.35">
      <c r="A49" s="301">
        <v>45120</v>
      </c>
      <c r="B49">
        <v>65667.070000000007</v>
      </c>
      <c r="C49">
        <v>66064.210000000006</v>
      </c>
      <c r="D49">
        <v>65452.15</v>
      </c>
      <c r="E49" s="2">
        <v>65558.89</v>
      </c>
    </row>
    <row r="50" spans="1:5" x14ac:dyDescent="0.35">
      <c r="A50" s="301">
        <v>45119</v>
      </c>
      <c r="B50">
        <v>65759.28</v>
      </c>
      <c r="C50">
        <v>65811.64</v>
      </c>
      <c r="D50">
        <v>65320.25</v>
      </c>
      <c r="E50" s="2">
        <v>65393.9</v>
      </c>
    </row>
    <row r="51" spans="1:5" x14ac:dyDescent="0.35">
      <c r="A51" s="301">
        <v>45118</v>
      </c>
      <c r="B51">
        <v>65598.649999999994</v>
      </c>
      <c r="C51">
        <v>65870.59</v>
      </c>
      <c r="D51">
        <v>65517.57</v>
      </c>
      <c r="E51" s="2">
        <v>65617.84</v>
      </c>
    </row>
    <row r="52" spans="1:5" x14ac:dyDescent="0.35">
      <c r="A52" s="301">
        <v>45117</v>
      </c>
      <c r="B52">
        <v>65482.33</v>
      </c>
      <c r="C52">
        <v>65633.490000000005</v>
      </c>
      <c r="D52">
        <v>65246.400000000001</v>
      </c>
      <c r="E52" s="2">
        <v>65344.17</v>
      </c>
    </row>
    <row r="53" spans="1:5" x14ac:dyDescent="0.35">
      <c r="A53" s="301">
        <v>45114</v>
      </c>
      <c r="B53">
        <v>65559.41</v>
      </c>
      <c r="C53">
        <v>65898.98</v>
      </c>
      <c r="D53">
        <v>65175.74</v>
      </c>
      <c r="E53" s="2">
        <v>65280.45</v>
      </c>
    </row>
    <row r="54" spans="1:5" x14ac:dyDescent="0.35">
      <c r="A54" s="301">
        <v>45113</v>
      </c>
      <c r="B54">
        <v>65391.88</v>
      </c>
      <c r="C54">
        <v>65832.98</v>
      </c>
      <c r="D54">
        <v>65328.29</v>
      </c>
      <c r="E54" s="2">
        <v>65785.64</v>
      </c>
    </row>
    <row r="55" spans="1:5" x14ac:dyDescent="0.35">
      <c r="A55" s="301">
        <v>45112</v>
      </c>
      <c r="B55">
        <v>65493.68</v>
      </c>
      <c r="C55">
        <v>65584.33</v>
      </c>
      <c r="D55">
        <v>65256.49</v>
      </c>
      <c r="E55" s="2">
        <v>65446.04</v>
      </c>
    </row>
    <row r="56" spans="1:5" x14ac:dyDescent="0.35">
      <c r="A56" s="301">
        <v>45111</v>
      </c>
      <c r="B56">
        <v>65503.85</v>
      </c>
      <c r="C56">
        <v>65672.97</v>
      </c>
      <c r="D56">
        <v>65171.06</v>
      </c>
      <c r="E56" s="2">
        <v>65479.05</v>
      </c>
    </row>
    <row r="57" spans="1:5" x14ac:dyDescent="0.35">
      <c r="A57" s="301">
        <v>45110</v>
      </c>
      <c r="B57">
        <v>64836.160000000003</v>
      </c>
      <c r="C57">
        <v>65300.35</v>
      </c>
      <c r="D57">
        <v>64836.160000000003</v>
      </c>
      <c r="E57" s="2">
        <v>65205.05</v>
      </c>
    </row>
    <row r="58" spans="1:5" x14ac:dyDescent="0.35">
      <c r="A58" s="301">
        <v>45107</v>
      </c>
      <c r="B58">
        <v>64068.44</v>
      </c>
      <c r="C58">
        <v>64768.58</v>
      </c>
      <c r="D58">
        <v>64068.44</v>
      </c>
      <c r="E58" s="2">
        <v>64718.559999999998</v>
      </c>
    </row>
    <row r="59" spans="1:5" x14ac:dyDescent="0.35">
      <c r="A59" s="301">
        <v>45105</v>
      </c>
      <c r="B59">
        <v>63701.78</v>
      </c>
      <c r="C59">
        <v>64050.44</v>
      </c>
      <c r="D59">
        <v>63554.82</v>
      </c>
      <c r="E59" s="2">
        <v>63915.42</v>
      </c>
    </row>
    <row r="60" spans="1:5" x14ac:dyDescent="0.35">
      <c r="A60" s="301">
        <v>45104</v>
      </c>
      <c r="B60">
        <v>63151.85</v>
      </c>
      <c r="C60">
        <v>63467.54</v>
      </c>
      <c r="D60">
        <v>63054.84</v>
      </c>
      <c r="E60" s="2">
        <v>63416.03</v>
      </c>
    </row>
    <row r="61" spans="1:5" x14ac:dyDescent="0.35">
      <c r="A61" s="301">
        <v>45103</v>
      </c>
      <c r="B61">
        <v>62946.5</v>
      </c>
      <c r="C61">
        <v>63136.09</v>
      </c>
      <c r="D61">
        <v>62853.67</v>
      </c>
      <c r="E61" s="2">
        <v>62970</v>
      </c>
    </row>
    <row r="62" spans="1:5" x14ac:dyDescent="0.35">
      <c r="A62" s="301">
        <v>45100</v>
      </c>
      <c r="B62">
        <v>63124.28</v>
      </c>
      <c r="C62">
        <v>63240.63</v>
      </c>
      <c r="D62">
        <v>62874.12</v>
      </c>
      <c r="E62" s="2">
        <v>62979.37</v>
      </c>
    </row>
    <row r="63" spans="1:5" x14ac:dyDescent="0.35">
      <c r="A63" s="301">
        <v>45099</v>
      </c>
      <c r="B63">
        <v>63601.71</v>
      </c>
      <c r="C63">
        <v>63601.71</v>
      </c>
      <c r="D63">
        <v>63200.63</v>
      </c>
      <c r="E63" s="2">
        <v>63238.89</v>
      </c>
    </row>
    <row r="64" spans="1:5" x14ac:dyDescent="0.35">
      <c r="A64" s="301">
        <v>45098</v>
      </c>
      <c r="B64">
        <v>63467.46</v>
      </c>
      <c r="C64">
        <v>63588.31</v>
      </c>
      <c r="D64">
        <v>63315.62</v>
      </c>
      <c r="E64" s="2">
        <v>63523.15</v>
      </c>
    </row>
    <row r="65" spans="1:5" x14ac:dyDescent="0.35">
      <c r="A65" s="301">
        <v>45097</v>
      </c>
      <c r="B65">
        <v>63176.77</v>
      </c>
      <c r="C65">
        <v>63440.19</v>
      </c>
      <c r="D65">
        <v>62801.91</v>
      </c>
      <c r="E65" s="2">
        <v>63327.7</v>
      </c>
    </row>
    <row r="66" spans="1:5" x14ac:dyDescent="0.35">
      <c r="A66" s="301">
        <v>45096</v>
      </c>
      <c r="B66">
        <v>63474.21</v>
      </c>
      <c r="C66">
        <v>63574.69</v>
      </c>
      <c r="D66">
        <v>63047.83</v>
      </c>
      <c r="E66" s="2">
        <v>63168.3</v>
      </c>
    </row>
    <row r="67" spans="1:5" x14ac:dyDescent="0.35">
      <c r="A67" s="301">
        <v>45093</v>
      </c>
      <c r="B67">
        <v>62960.73</v>
      </c>
      <c r="C67">
        <v>63520.36</v>
      </c>
      <c r="D67">
        <v>62957.17</v>
      </c>
      <c r="E67" s="2">
        <v>63384.58</v>
      </c>
    </row>
    <row r="68" spans="1:5" x14ac:dyDescent="0.35">
      <c r="A68" s="301">
        <v>45092</v>
      </c>
      <c r="B68">
        <v>63153.78</v>
      </c>
      <c r="C68">
        <v>63310.96</v>
      </c>
      <c r="D68">
        <v>62871.08</v>
      </c>
      <c r="E68" s="2">
        <v>62917.63</v>
      </c>
    </row>
    <row r="69" spans="1:5" x14ac:dyDescent="0.35">
      <c r="A69" s="301">
        <v>45091</v>
      </c>
      <c r="B69">
        <v>63115.48</v>
      </c>
      <c r="C69">
        <v>63274.03</v>
      </c>
      <c r="D69">
        <v>63013.51</v>
      </c>
      <c r="E69" s="2">
        <v>63228.51</v>
      </c>
    </row>
    <row r="70" spans="1:5" x14ac:dyDescent="0.35">
      <c r="A70" s="301">
        <v>45090</v>
      </c>
      <c r="B70">
        <v>62779.14</v>
      </c>
      <c r="C70">
        <v>63177.47</v>
      </c>
      <c r="D70">
        <v>62777.04</v>
      </c>
      <c r="E70" s="2">
        <v>63143.16</v>
      </c>
    </row>
    <row r="71" spans="1:5" x14ac:dyDescent="0.35">
      <c r="A71" s="301">
        <v>45089</v>
      </c>
      <c r="B71">
        <v>62659.98</v>
      </c>
      <c r="C71">
        <v>62804.89</v>
      </c>
      <c r="D71">
        <v>62615.199999999997</v>
      </c>
      <c r="E71" s="2">
        <v>62724.71</v>
      </c>
    </row>
    <row r="72" spans="1:5" x14ac:dyDescent="0.35">
      <c r="A72" s="301">
        <v>45086</v>
      </c>
      <c r="B72">
        <v>62810.68</v>
      </c>
      <c r="C72">
        <v>62992.160000000003</v>
      </c>
      <c r="D72">
        <v>62594.74</v>
      </c>
      <c r="E72" s="2">
        <v>62625.63</v>
      </c>
    </row>
    <row r="73" spans="1:5" x14ac:dyDescent="0.35">
      <c r="A73" s="301">
        <v>45085</v>
      </c>
      <c r="B73">
        <v>63140.17</v>
      </c>
      <c r="C73">
        <v>63321.4</v>
      </c>
      <c r="D73">
        <v>62789.73</v>
      </c>
      <c r="E73" s="2">
        <v>62848.639999999999</v>
      </c>
    </row>
    <row r="74" spans="1:5" x14ac:dyDescent="0.35">
      <c r="A74" s="301">
        <v>45084</v>
      </c>
      <c r="B74">
        <v>62917.39</v>
      </c>
      <c r="C74">
        <v>63196.43</v>
      </c>
      <c r="D74">
        <v>62841.95</v>
      </c>
      <c r="E74" s="2">
        <v>63142.96</v>
      </c>
    </row>
    <row r="75" spans="1:5" x14ac:dyDescent="0.35">
      <c r="A75" s="301">
        <v>45083</v>
      </c>
      <c r="B75">
        <v>62738.35</v>
      </c>
      <c r="C75">
        <v>62867.95</v>
      </c>
      <c r="D75">
        <v>62554.21</v>
      </c>
      <c r="E75" s="2">
        <v>62792.88</v>
      </c>
    </row>
    <row r="76" spans="1:5" x14ac:dyDescent="0.35">
      <c r="A76" s="301">
        <v>45082</v>
      </c>
      <c r="B76">
        <v>62759.19</v>
      </c>
      <c r="C76">
        <v>62943.199999999997</v>
      </c>
      <c r="D76">
        <v>62751.72</v>
      </c>
      <c r="E76" s="2">
        <v>62787.47</v>
      </c>
    </row>
    <row r="77" spans="1:5" x14ac:dyDescent="0.35">
      <c r="A77" s="301">
        <v>45079</v>
      </c>
      <c r="B77">
        <v>62601.97</v>
      </c>
      <c r="C77">
        <v>62719.839999999997</v>
      </c>
      <c r="D77">
        <v>62379.86</v>
      </c>
      <c r="E77" s="2">
        <v>62547.11</v>
      </c>
    </row>
    <row r="78" spans="1:5" x14ac:dyDescent="0.35">
      <c r="A78" s="301">
        <v>45078</v>
      </c>
      <c r="B78">
        <v>62736.47</v>
      </c>
      <c r="C78">
        <v>62762.41</v>
      </c>
      <c r="D78">
        <v>62359.14</v>
      </c>
      <c r="E78" s="2">
        <v>62428.54</v>
      </c>
    </row>
    <row r="79" spans="1:5" x14ac:dyDescent="0.35">
      <c r="A79" s="301">
        <v>45077</v>
      </c>
      <c r="B79">
        <v>62839.97</v>
      </c>
      <c r="C79">
        <v>62876.77</v>
      </c>
      <c r="D79">
        <v>62401.02</v>
      </c>
      <c r="E79" s="2">
        <v>62622.239999999998</v>
      </c>
    </row>
    <row r="80" spans="1:5" x14ac:dyDescent="0.35">
      <c r="A80" s="301">
        <v>45076</v>
      </c>
      <c r="B80">
        <v>62839.85</v>
      </c>
      <c r="C80">
        <v>63036.12</v>
      </c>
      <c r="D80">
        <v>62737.4</v>
      </c>
      <c r="E80" s="2">
        <v>62969.13</v>
      </c>
    </row>
    <row r="81" spans="1:5" x14ac:dyDescent="0.35">
      <c r="A81" s="301">
        <v>45075</v>
      </c>
      <c r="B81">
        <v>62801.54</v>
      </c>
      <c r="C81">
        <v>63026</v>
      </c>
      <c r="D81">
        <v>62801.54</v>
      </c>
      <c r="E81" s="2">
        <v>62846.38</v>
      </c>
    </row>
    <row r="82" spans="1:5" x14ac:dyDescent="0.35">
      <c r="A82" s="301">
        <v>45072</v>
      </c>
      <c r="B82">
        <v>61985.36</v>
      </c>
      <c r="C82">
        <v>62529.83</v>
      </c>
      <c r="D82">
        <v>61911.61</v>
      </c>
      <c r="E82" s="2">
        <v>62501.69</v>
      </c>
    </row>
    <row r="83" spans="1:5" x14ac:dyDescent="0.35">
      <c r="A83" s="301">
        <v>45071</v>
      </c>
      <c r="B83">
        <v>61706.13</v>
      </c>
      <c r="C83">
        <v>61934.01</v>
      </c>
      <c r="D83">
        <v>61484.66</v>
      </c>
      <c r="E83" s="2">
        <v>61872.62</v>
      </c>
    </row>
    <row r="84" spans="1:5" x14ac:dyDescent="0.35">
      <c r="A84" s="301">
        <v>45070</v>
      </c>
      <c r="B84">
        <v>61834.28</v>
      </c>
      <c r="C84">
        <v>62154.14</v>
      </c>
      <c r="D84">
        <v>61708.1</v>
      </c>
      <c r="E84" s="2">
        <v>61773.78</v>
      </c>
    </row>
    <row r="85" spans="1:5" x14ac:dyDescent="0.35">
      <c r="A85" s="301">
        <v>45069</v>
      </c>
      <c r="B85">
        <v>62098.16</v>
      </c>
      <c r="C85">
        <v>62245.19</v>
      </c>
      <c r="D85">
        <v>61914.400000000001</v>
      </c>
      <c r="E85" s="2">
        <v>61981.79</v>
      </c>
    </row>
    <row r="86" spans="1:5" x14ac:dyDescent="0.35">
      <c r="A86" s="301">
        <v>45068</v>
      </c>
      <c r="B86">
        <v>61579.78</v>
      </c>
      <c r="C86">
        <v>62044.46</v>
      </c>
      <c r="D86">
        <v>61579.78</v>
      </c>
      <c r="E86" s="2">
        <v>61963.68</v>
      </c>
    </row>
    <row r="87" spans="1:5" x14ac:dyDescent="0.35">
      <c r="A87" s="301">
        <v>45065</v>
      </c>
      <c r="B87">
        <v>61556.25</v>
      </c>
      <c r="C87">
        <v>61784.61</v>
      </c>
      <c r="D87">
        <v>61251.7</v>
      </c>
      <c r="E87" s="2">
        <v>61729.68</v>
      </c>
    </row>
    <row r="88" spans="1:5" x14ac:dyDescent="0.35">
      <c r="A88" s="301">
        <v>45064</v>
      </c>
      <c r="B88">
        <v>61937.86</v>
      </c>
      <c r="C88">
        <v>61955.9</v>
      </c>
      <c r="D88">
        <v>61349.34</v>
      </c>
      <c r="E88" s="2">
        <v>61431.74</v>
      </c>
    </row>
    <row r="89" spans="1:5" x14ac:dyDescent="0.35">
      <c r="A89" s="301">
        <v>45063</v>
      </c>
      <c r="B89">
        <v>61932.32</v>
      </c>
      <c r="C89">
        <v>61979.94</v>
      </c>
      <c r="D89">
        <v>61340.1</v>
      </c>
      <c r="E89" s="2">
        <v>61560.639999999999</v>
      </c>
    </row>
    <row r="90" spans="1:5" x14ac:dyDescent="0.35">
      <c r="A90" s="301">
        <v>45062</v>
      </c>
      <c r="B90">
        <v>62474.11</v>
      </c>
      <c r="C90">
        <v>62475.95</v>
      </c>
      <c r="D90">
        <v>61847.41</v>
      </c>
      <c r="E90" s="2">
        <v>61932.47</v>
      </c>
    </row>
    <row r="91" spans="1:5" x14ac:dyDescent="0.35">
      <c r="A91" s="301">
        <v>45061</v>
      </c>
      <c r="B91">
        <v>62157.1</v>
      </c>
      <c r="C91">
        <v>62562.67</v>
      </c>
      <c r="D91">
        <v>61950.3</v>
      </c>
      <c r="E91" s="2">
        <v>62345.71</v>
      </c>
    </row>
    <row r="92" spans="1:5" x14ac:dyDescent="0.35">
      <c r="A92" s="301">
        <v>45058</v>
      </c>
      <c r="B92">
        <v>61857.69</v>
      </c>
      <c r="C92">
        <v>62110.93</v>
      </c>
      <c r="D92">
        <v>61578.15</v>
      </c>
      <c r="E92" s="2">
        <v>62027.9</v>
      </c>
    </row>
    <row r="93" spans="1:5" x14ac:dyDescent="0.35">
      <c r="A93" s="301">
        <v>45057</v>
      </c>
      <c r="B93">
        <v>62158.1</v>
      </c>
      <c r="C93">
        <v>62168.22</v>
      </c>
      <c r="D93">
        <v>61823.07</v>
      </c>
      <c r="E93" s="2">
        <v>61904.52</v>
      </c>
    </row>
    <row r="94" spans="1:5" x14ac:dyDescent="0.35">
      <c r="A94" s="301">
        <v>45056</v>
      </c>
      <c r="B94">
        <v>61843.360000000001</v>
      </c>
      <c r="C94">
        <v>61974.35</v>
      </c>
      <c r="D94">
        <v>61572.93</v>
      </c>
      <c r="E94" s="2">
        <v>61940.2</v>
      </c>
    </row>
    <row r="95" spans="1:5" x14ac:dyDescent="0.35">
      <c r="A95" s="301">
        <v>45055</v>
      </c>
      <c r="B95">
        <v>61879.68</v>
      </c>
      <c r="C95">
        <v>62027.51</v>
      </c>
      <c r="D95">
        <v>61654.94</v>
      </c>
      <c r="E95" s="2">
        <v>61761.33</v>
      </c>
    </row>
    <row r="96" spans="1:5" x14ac:dyDescent="0.35">
      <c r="A96" s="301">
        <v>45054</v>
      </c>
      <c r="B96">
        <v>61166.09</v>
      </c>
      <c r="C96">
        <v>61854.19</v>
      </c>
      <c r="D96">
        <v>61166.09</v>
      </c>
      <c r="E96" s="2">
        <v>61764.25</v>
      </c>
    </row>
    <row r="97" spans="1:5" x14ac:dyDescent="0.35">
      <c r="A97" s="301">
        <v>45051</v>
      </c>
      <c r="B97">
        <v>61163.1</v>
      </c>
      <c r="C97">
        <v>61585.5</v>
      </c>
      <c r="D97">
        <v>61002.17</v>
      </c>
      <c r="E97" s="2">
        <v>61054.29</v>
      </c>
    </row>
    <row r="98" spans="1:5" x14ac:dyDescent="0.35">
      <c r="A98" s="301">
        <v>45050</v>
      </c>
      <c r="B98">
        <v>61258.13</v>
      </c>
      <c r="C98">
        <v>61797.91</v>
      </c>
      <c r="D98">
        <v>61119.56</v>
      </c>
      <c r="E98" s="2">
        <v>61749.25</v>
      </c>
    </row>
    <row r="99" spans="1:5" x14ac:dyDescent="0.35">
      <c r="A99" s="301">
        <v>45049</v>
      </c>
      <c r="B99">
        <v>61274.96</v>
      </c>
      <c r="C99">
        <v>61274.96</v>
      </c>
      <c r="D99">
        <v>61024.44</v>
      </c>
      <c r="E99" s="2">
        <v>61193.3</v>
      </c>
    </row>
    <row r="100" spans="1:5" x14ac:dyDescent="0.35">
      <c r="A100" s="301">
        <v>45048</v>
      </c>
      <c r="B100">
        <v>61301.61</v>
      </c>
      <c r="C100">
        <v>61486.239999999998</v>
      </c>
      <c r="D100">
        <v>61255</v>
      </c>
      <c r="E100" s="2">
        <v>61354.71</v>
      </c>
    </row>
    <row r="101" spans="1:5" x14ac:dyDescent="0.35">
      <c r="A101" s="301">
        <v>45044</v>
      </c>
      <c r="B101">
        <v>60721.61</v>
      </c>
      <c r="C101">
        <v>61209.46</v>
      </c>
      <c r="D101">
        <v>60507.83</v>
      </c>
      <c r="E101" s="2">
        <v>61112.44</v>
      </c>
    </row>
    <row r="102" spans="1:5" x14ac:dyDescent="0.35">
      <c r="A102" s="301">
        <v>45043</v>
      </c>
      <c r="B102">
        <v>60315.56</v>
      </c>
      <c r="C102">
        <v>60698.31</v>
      </c>
      <c r="D102">
        <v>60271.49</v>
      </c>
      <c r="E102" s="2">
        <v>60649.38</v>
      </c>
    </row>
    <row r="103" spans="1:5" x14ac:dyDescent="0.35">
      <c r="A103" s="301">
        <v>45042</v>
      </c>
      <c r="B103">
        <v>60087.98</v>
      </c>
      <c r="C103">
        <v>60362.79</v>
      </c>
      <c r="D103">
        <v>59954.91</v>
      </c>
      <c r="E103" s="2">
        <v>60300.58</v>
      </c>
    </row>
    <row r="104" spans="1:5" x14ac:dyDescent="0.35">
      <c r="A104" s="301">
        <v>45041</v>
      </c>
      <c r="B104">
        <v>60202.77</v>
      </c>
      <c r="C104">
        <v>60268.67</v>
      </c>
      <c r="D104">
        <v>59967.02</v>
      </c>
      <c r="E104" s="2">
        <v>60130.71</v>
      </c>
    </row>
    <row r="105" spans="1:5" x14ac:dyDescent="0.35">
      <c r="A105" s="301">
        <v>45040</v>
      </c>
      <c r="B105">
        <v>59873.71</v>
      </c>
      <c r="C105">
        <v>60101.64</v>
      </c>
      <c r="D105">
        <v>59620.11</v>
      </c>
      <c r="E105" s="2">
        <v>60056.1</v>
      </c>
    </row>
    <row r="106" spans="1:5" x14ac:dyDescent="0.35">
      <c r="A106" s="301">
        <v>45037</v>
      </c>
      <c r="B106">
        <v>59538.79</v>
      </c>
      <c r="C106">
        <v>59781.36</v>
      </c>
      <c r="D106">
        <v>59412.81</v>
      </c>
      <c r="E106" s="2">
        <v>59655.06</v>
      </c>
    </row>
    <row r="107" spans="1:5" x14ac:dyDescent="0.35">
      <c r="A107" s="301">
        <v>45036</v>
      </c>
      <c r="B107">
        <v>59586.61</v>
      </c>
      <c r="C107">
        <v>59836.79</v>
      </c>
      <c r="D107">
        <v>59489.98</v>
      </c>
      <c r="E107" s="2">
        <v>59632.35</v>
      </c>
    </row>
    <row r="108" spans="1:5" x14ac:dyDescent="0.35">
      <c r="A108" s="301">
        <v>45035</v>
      </c>
      <c r="B108">
        <v>59745.89</v>
      </c>
      <c r="C108">
        <v>59745.89</v>
      </c>
      <c r="D108">
        <v>59452.72</v>
      </c>
      <c r="E108" s="2">
        <v>59567.8</v>
      </c>
    </row>
    <row r="109" spans="1:5" x14ac:dyDescent="0.35">
      <c r="A109" s="301">
        <v>45034</v>
      </c>
      <c r="B109">
        <v>59991.26</v>
      </c>
      <c r="C109">
        <v>60113.47</v>
      </c>
      <c r="D109">
        <v>59579.3</v>
      </c>
      <c r="E109" s="2">
        <v>59727.01</v>
      </c>
    </row>
    <row r="110" spans="1:5" x14ac:dyDescent="0.35">
      <c r="A110" s="301">
        <v>45033</v>
      </c>
      <c r="B110">
        <v>60385.9</v>
      </c>
      <c r="C110">
        <v>60407.86</v>
      </c>
      <c r="D110">
        <v>59442.47</v>
      </c>
      <c r="E110" s="2">
        <v>59910.75</v>
      </c>
    </row>
    <row r="111" spans="1:5" x14ac:dyDescent="0.35">
      <c r="A111" s="301">
        <v>45029</v>
      </c>
      <c r="B111">
        <v>60364.41</v>
      </c>
      <c r="C111">
        <v>60486.91</v>
      </c>
      <c r="D111">
        <v>60081.43</v>
      </c>
      <c r="E111" s="2">
        <v>60431</v>
      </c>
    </row>
    <row r="112" spans="1:5" x14ac:dyDescent="0.35">
      <c r="A112" s="301">
        <v>45028</v>
      </c>
      <c r="B112">
        <v>60180.2</v>
      </c>
      <c r="C112">
        <v>60437.64</v>
      </c>
      <c r="D112">
        <v>60094.69</v>
      </c>
      <c r="E112" s="2">
        <v>60392.77</v>
      </c>
    </row>
    <row r="113" spans="1:5" x14ac:dyDescent="0.35">
      <c r="A113" s="301">
        <v>45027</v>
      </c>
      <c r="B113">
        <v>60028.6</v>
      </c>
      <c r="C113">
        <v>60267.68</v>
      </c>
      <c r="D113">
        <v>59919.88</v>
      </c>
      <c r="E113" s="2">
        <v>60157.72</v>
      </c>
    </row>
    <row r="114" spans="1:5" x14ac:dyDescent="0.35">
      <c r="A114" s="301">
        <v>45026</v>
      </c>
      <c r="B114">
        <v>59858.98</v>
      </c>
      <c r="C114">
        <v>60109.11</v>
      </c>
      <c r="D114">
        <v>59766.23</v>
      </c>
      <c r="E114" s="2">
        <v>59846.51</v>
      </c>
    </row>
    <row r="115" spans="1:5" x14ac:dyDescent="0.35">
      <c r="A115" s="301">
        <v>45022</v>
      </c>
      <c r="B115">
        <v>59627.01</v>
      </c>
      <c r="C115">
        <v>59950.06</v>
      </c>
      <c r="D115">
        <v>59520.12</v>
      </c>
      <c r="E115" s="2">
        <v>59832.97</v>
      </c>
    </row>
    <row r="116" spans="1:5" x14ac:dyDescent="0.35">
      <c r="A116" s="301">
        <v>45021</v>
      </c>
      <c r="B116">
        <v>59094.71</v>
      </c>
      <c r="C116">
        <v>59747.12</v>
      </c>
      <c r="D116">
        <v>59094.400000000001</v>
      </c>
      <c r="E116" s="2">
        <v>59689.31</v>
      </c>
    </row>
    <row r="117" spans="1:5" x14ac:dyDescent="0.35">
      <c r="A117" s="301">
        <v>45019</v>
      </c>
      <c r="B117">
        <v>59131.16</v>
      </c>
      <c r="C117">
        <v>59204.82</v>
      </c>
      <c r="D117">
        <v>58793.08</v>
      </c>
      <c r="E117" s="2">
        <v>59106.44</v>
      </c>
    </row>
    <row r="118" spans="1:5" x14ac:dyDescent="0.35">
      <c r="A118" s="301">
        <v>45016</v>
      </c>
      <c r="B118">
        <v>58273.86</v>
      </c>
      <c r="C118">
        <v>59068.47</v>
      </c>
      <c r="D118">
        <v>58273.86</v>
      </c>
      <c r="E118" s="2">
        <v>58991.519999999997</v>
      </c>
    </row>
    <row r="119" spans="1:5" x14ac:dyDescent="0.35">
      <c r="A119" s="301">
        <v>45014</v>
      </c>
      <c r="B119">
        <v>57572.08</v>
      </c>
      <c r="C119">
        <v>58124.2</v>
      </c>
      <c r="D119">
        <v>57524.32</v>
      </c>
      <c r="E119" s="2">
        <v>57960.09</v>
      </c>
    </row>
    <row r="120" spans="1:5" x14ac:dyDescent="0.35">
      <c r="A120" s="301">
        <v>45013</v>
      </c>
      <c r="B120">
        <v>57751.5</v>
      </c>
      <c r="C120">
        <v>57949.45</v>
      </c>
      <c r="D120">
        <v>57494.91</v>
      </c>
      <c r="E120" s="2">
        <v>57613.72</v>
      </c>
    </row>
    <row r="121" spans="1:5" x14ac:dyDescent="0.35">
      <c r="A121" s="301">
        <v>45012</v>
      </c>
      <c r="B121">
        <v>57566.9</v>
      </c>
      <c r="C121">
        <v>58019.55</v>
      </c>
      <c r="D121">
        <v>57415.02</v>
      </c>
      <c r="E121" s="2">
        <v>57653.86</v>
      </c>
    </row>
    <row r="122" spans="1:5" x14ac:dyDescent="0.35">
      <c r="A122" s="301">
        <v>45009</v>
      </c>
      <c r="B122">
        <v>57890.66</v>
      </c>
      <c r="C122">
        <v>58066.400000000001</v>
      </c>
      <c r="D122">
        <v>57422.98</v>
      </c>
      <c r="E122" s="2">
        <v>57527.1</v>
      </c>
    </row>
    <row r="123" spans="1:5" x14ac:dyDescent="0.35">
      <c r="A123" s="301">
        <v>45008</v>
      </c>
      <c r="B123">
        <v>58061.41</v>
      </c>
      <c r="C123">
        <v>58396.17</v>
      </c>
      <c r="D123">
        <v>57838.85</v>
      </c>
      <c r="E123" s="2">
        <v>57925.279999999999</v>
      </c>
    </row>
    <row r="124" spans="1:5" x14ac:dyDescent="0.35">
      <c r="A124" s="301">
        <v>45007</v>
      </c>
      <c r="B124">
        <v>58245.26</v>
      </c>
      <c r="C124">
        <v>58418.78</v>
      </c>
      <c r="D124">
        <v>58063.5</v>
      </c>
      <c r="E124" s="2">
        <v>58214.59</v>
      </c>
    </row>
    <row r="125" spans="1:5" x14ac:dyDescent="0.35">
      <c r="A125" s="301">
        <v>45006</v>
      </c>
      <c r="B125">
        <v>57963.27</v>
      </c>
      <c r="C125">
        <v>58133.33</v>
      </c>
      <c r="D125">
        <v>57730.09</v>
      </c>
      <c r="E125" s="2">
        <v>58074.68</v>
      </c>
    </row>
    <row r="126" spans="1:5" x14ac:dyDescent="0.35">
      <c r="A126" s="301">
        <v>45005</v>
      </c>
      <c r="B126">
        <v>57773.55</v>
      </c>
      <c r="C126">
        <v>57829.23</v>
      </c>
      <c r="D126">
        <v>57084.91</v>
      </c>
      <c r="E126" s="2">
        <v>57628.95</v>
      </c>
    </row>
    <row r="127" spans="1:5" x14ac:dyDescent="0.35">
      <c r="A127" s="301">
        <v>45002</v>
      </c>
      <c r="B127">
        <v>58038.17</v>
      </c>
      <c r="C127">
        <v>58178.94</v>
      </c>
      <c r="D127">
        <v>57503.9</v>
      </c>
      <c r="E127" s="2">
        <v>57989.9</v>
      </c>
    </row>
    <row r="128" spans="1:5" x14ac:dyDescent="0.35">
      <c r="A128" s="301">
        <v>45001</v>
      </c>
      <c r="B128">
        <v>57510.8</v>
      </c>
      <c r="C128">
        <v>57887.46</v>
      </c>
      <c r="D128">
        <v>57158.69</v>
      </c>
      <c r="E128" s="2">
        <v>57634.84</v>
      </c>
    </row>
    <row r="129" spans="1:5" x14ac:dyDescent="0.35">
      <c r="A129" s="301">
        <v>45000</v>
      </c>
      <c r="B129">
        <v>58268.54</v>
      </c>
      <c r="C129">
        <v>58473.63</v>
      </c>
      <c r="D129">
        <v>57455.67</v>
      </c>
      <c r="E129" s="2">
        <v>57555.9</v>
      </c>
    </row>
    <row r="130" spans="1:5" x14ac:dyDescent="0.35">
      <c r="A130" s="301">
        <v>44999</v>
      </c>
      <c r="B130">
        <v>58168.75</v>
      </c>
      <c r="C130">
        <v>58490.98</v>
      </c>
      <c r="D130">
        <v>57721.16</v>
      </c>
      <c r="E130" s="2">
        <v>57900.19</v>
      </c>
    </row>
    <row r="131" spans="1:5" x14ac:dyDescent="0.35">
      <c r="A131" s="301">
        <v>44998</v>
      </c>
      <c r="B131">
        <v>59033.77</v>
      </c>
      <c r="C131">
        <v>59510.92</v>
      </c>
      <c r="D131">
        <v>58094.55</v>
      </c>
      <c r="E131" s="2">
        <v>58237.85</v>
      </c>
    </row>
    <row r="132" spans="1:5" x14ac:dyDescent="0.35">
      <c r="A132" s="301">
        <v>44995</v>
      </c>
      <c r="B132">
        <v>59259.83</v>
      </c>
      <c r="C132">
        <v>59262.47</v>
      </c>
      <c r="D132">
        <v>58884.98</v>
      </c>
      <c r="E132" s="2">
        <v>59135.13</v>
      </c>
    </row>
    <row r="133" spans="1:5" x14ac:dyDescent="0.35">
      <c r="A133" s="301">
        <v>44994</v>
      </c>
      <c r="B133">
        <v>60467.09</v>
      </c>
      <c r="C133">
        <v>60467.09</v>
      </c>
      <c r="D133">
        <v>59750.53</v>
      </c>
      <c r="E133" s="2">
        <v>59806.28</v>
      </c>
    </row>
    <row r="134" spans="1:5" x14ac:dyDescent="0.35">
      <c r="A134" s="301">
        <v>44993</v>
      </c>
      <c r="B134">
        <v>59916.1</v>
      </c>
      <c r="C134">
        <v>60402.85</v>
      </c>
      <c r="D134">
        <v>59844.82</v>
      </c>
      <c r="E134" s="2">
        <v>60348.09</v>
      </c>
    </row>
    <row r="135" spans="1:5" x14ac:dyDescent="0.35">
      <c r="A135" s="301">
        <v>44991</v>
      </c>
      <c r="B135">
        <v>60007.040000000001</v>
      </c>
      <c r="C135">
        <v>60498.48</v>
      </c>
      <c r="D135">
        <v>60005.65</v>
      </c>
      <c r="E135" s="2">
        <v>60224.46</v>
      </c>
    </row>
    <row r="136" spans="1:5" x14ac:dyDescent="0.35">
      <c r="A136" s="301">
        <v>44988</v>
      </c>
      <c r="B136">
        <v>59241.2</v>
      </c>
      <c r="C136">
        <v>59967.040000000001</v>
      </c>
      <c r="D136">
        <v>59231.58</v>
      </c>
      <c r="E136" s="2">
        <v>59808.97</v>
      </c>
    </row>
    <row r="137" spans="1:5" x14ac:dyDescent="0.35">
      <c r="A137" s="301">
        <v>44987</v>
      </c>
      <c r="B137">
        <v>59287.18</v>
      </c>
      <c r="C137">
        <v>59423.79</v>
      </c>
      <c r="D137">
        <v>58866.26</v>
      </c>
      <c r="E137" s="2">
        <v>58909.35</v>
      </c>
    </row>
    <row r="138" spans="1:5" x14ac:dyDescent="0.35">
      <c r="A138" s="301">
        <v>44986</v>
      </c>
      <c r="B138">
        <v>59136.480000000003</v>
      </c>
      <c r="C138">
        <v>59475.45</v>
      </c>
      <c r="D138">
        <v>59109.54</v>
      </c>
      <c r="E138" s="2">
        <v>59411.08</v>
      </c>
    </row>
    <row r="139" spans="1:5" x14ac:dyDescent="0.35">
      <c r="A139" s="301">
        <v>44985</v>
      </c>
      <c r="B139">
        <v>59346.61</v>
      </c>
      <c r="C139">
        <v>59483.72</v>
      </c>
      <c r="D139">
        <v>58795.97</v>
      </c>
      <c r="E139" s="2">
        <v>58962.12</v>
      </c>
    </row>
    <row r="140" spans="1:5" x14ac:dyDescent="0.35">
      <c r="A140" s="301">
        <v>44984</v>
      </c>
      <c r="B140">
        <v>59331.31</v>
      </c>
      <c r="C140">
        <v>59441.13</v>
      </c>
      <c r="D140">
        <v>58937.64</v>
      </c>
      <c r="E140" s="2">
        <v>59288.35</v>
      </c>
    </row>
    <row r="141" spans="1:5" x14ac:dyDescent="0.35">
      <c r="A141" s="301">
        <v>44981</v>
      </c>
      <c r="B141">
        <v>59859.48</v>
      </c>
      <c r="C141">
        <v>59908.77</v>
      </c>
      <c r="D141">
        <v>59325.34</v>
      </c>
      <c r="E141" s="2">
        <v>59463.93</v>
      </c>
    </row>
    <row r="142" spans="1:5" x14ac:dyDescent="0.35">
      <c r="A142" s="301">
        <v>44980</v>
      </c>
      <c r="B142">
        <v>59777.64</v>
      </c>
      <c r="C142">
        <v>59960.04</v>
      </c>
      <c r="D142">
        <v>59406.31</v>
      </c>
      <c r="E142" s="2">
        <v>59605.8</v>
      </c>
    </row>
    <row r="143" spans="1:5" x14ac:dyDescent="0.35">
      <c r="A143" s="301">
        <v>44979</v>
      </c>
      <c r="B143">
        <v>60391.86</v>
      </c>
      <c r="C143">
        <v>60462.9</v>
      </c>
      <c r="D143">
        <v>59681.55</v>
      </c>
      <c r="E143" s="2">
        <v>59744.98</v>
      </c>
    </row>
    <row r="144" spans="1:5" x14ac:dyDescent="0.35">
      <c r="A144" s="301">
        <v>44978</v>
      </c>
      <c r="B144">
        <v>60770.43</v>
      </c>
      <c r="C144">
        <v>60976.59</v>
      </c>
      <c r="D144">
        <v>60583.72</v>
      </c>
      <c r="E144" s="2">
        <v>60672.72</v>
      </c>
    </row>
    <row r="145" spans="1:5" x14ac:dyDescent="0.35">
      <c r="A145" s="301">
        <v>44977</v>
      </c>
      <c r="B145">
        <v>61112.84</v>
      </c>
      <c r="C145">
        <v>61290.19</v>
      </c>
      <c r="D145">
        <v>60607.02</v>
      </c>
      <c r="E145" s="2">
        <v>60691.54</v>
      </c>
    </row>
    <row r="146" spans="1:5" x14ac:dyDescent="0.35">
      <c r="A146" s="301">
        <v>44974</v>
      </c>
      <c r="B146">
        <v>60993.54</v>
      </c>
      <c r="C146">
        <v>61302.720000000001</v>
      </c>
      <c r="D146">
        <v>60810.67</v>
      </c>
      <c r="E146" s="2">
        <v>61002.57</v>
      </c>
    </row>
    <row r="147" spans="1:5" x14ac:dyDescent="0.35">
      <c r="A147" s="301">
        <v>44973</v>
      </c>
      <c r="B147">
        <v>61566.22</v>
      </c>
      <c r="C147">
        <v>61682.25</v>
      </c>
      <c r="D147">
        <v>61196.72</v>
      </c>
      <c r="E147" s="2">
        <v>61319.51</v>
      </c>
    </row>
    <row r="148" spans="1:5" x14ac:dyDescent="0.35">
      <c r="A148" s="301">
        <v>44972</v>
      </c>
      <c r="B148">
        <v>60990.05</v>
      </c>
      <c r="C148">
        <v>61352.55</v>
      </c>
      <c r="D148">
        <v>60750.32</v>
      </c>
      <c r="E148" s="2">
        <v>61275.09</v>
      </c>
    </row>
    <row r="149" spans="1:5" x14ac:dyDescent="0.35">
      <c r="A149" s="301">
        <v>44971</v>
      </c>
      <c r="B149">
        <v>60550.25</v>
      </c>
      <c r="C149">
        <v>61102.74</v>
      </c>
      <c r="D149">
        <v>60550.25</v>
      </c>
      <c r="E149" s="2">
        <v>61032.26</v>
      </c>
    </row>
    <row r="150" spans="1:5" x14ac:dyDescent="0.35">
      <c r="A150" s="301">
        <v>44970</v>
      </c>
      <c r="B150">
        <v>60652.82</v>
      </c>
      <c r="C150">
        <v>60740.95</v>
      </c>
      <c r="D150">
        <v>60245.05</v>
      </c>
      <c r="E150" s="2">
        <v>60431.839999999997</v>
      </c>
    </row>
    <row r="151" spans="1:5" x14ac:dyDescent="0.35">
      <c r="A151" s="301">
        <v>44967</v>
      </c>
      <c r="B151">
        <v>60706.81</v>
      </c>
      <c r="C151">
        <v>60774.14</v>
      </c>
      <c r="D151">
        <v>60501.74</v>
      </c>
      <c r="E151" s="2">
        <v>60682.7</v>
      </c>
    </row>
    <row r="152" spans="1:5" x14ac:dyDescent="0.35">
      <c r="A152" s="301">
        <v>44966</v>
      </c>
      <c r="B152">
        <v>60715.89</v>
      </c>
      <c r="C152">
        <v>60863.63</v>
      </c>
      <c r="D152">
        <v>60472.81</v>
      </c>
      <c r="E152" s="2">
        <v>60806.22</v>
      </c>
    </row>
    <row r="153" spans="1:5" x14ac:dyDescent="0.35">
      <c r="A153" s="301">
        <v>44965</v>
      </c>
      <c r="B153">
        <v>60332.99</v>
      </c>
      <c r="C153">
        <v>60792.1</v>
      </c>
      <c r="D153">
        <v>60324.92</v>
      </c>
      <c r="E153" s="2">
        <v>60663.79</v>
      </c>
    </row>
    <row r="154" spans="1:5" x14ac:dyDescent="0.35">
      <c r="A154" s="301">
        <v>44964</v>
      </c>
      <c r="B154">
        <v>60511.32</v>
      </c>
      <c r="C154">
        <v>60655.14</v>
      </c>
      <c r="D154">
        <v>60063.49</v>
      </c>
      <c r="E154" s="2">
        <v>60286.04</v>
      </c>
    </row>
    <row r="155" spans="1:5" x14ac:dyDescent="0.35">
      <c r="A155" s="301">
        <v>44963</v>
      </c>
      <c r="B155">
        <v>60847.21</v>
      </c>
      <c r="C155">
        <v>60847.21</v>
      </c>
      <c r="D155">
        <v>60345.61</v>
      </c>
      <c r="E155" s="2">
        <v>60506.9</v>
      </c>
    </row>
    <row r="156" spans="1:5" x14ac:dyDescent="0.35">
      <c r="A156" s="301">
        <v>44960</v>
      </c>
      <c r="B156">
        <v>60350.01</v>
      </c>
      <c r="C156">
        <v>60905.34</v>
      </c>
      <c r="D156">
        <v>60013.06</v>
      </c>
      <c r="E156" s="2">
        <v>60841.88</v>
      </c>
    </row>
    <row r="157" spans="1:5" x14ac:dyDescent="0.35">
      <c r="A157" s="301">
        <v>44959</v>
      </c>
      <c r="B157">
        <v>59459.87</v>
      </c>
      <c r="C157">
        <v>60007.67</v>
      </c>
      <c r="D157">
        <v>59215.62</v>
      </c>
      <c r="E157" s="2">
        <v>59932.24</v>
      </c>
    </row>
    <row r="158" spans="1:5" x14ac:dyDescent="0.35">
      <c r="A158" s="301">
        <v>44958</v>
      </c>
      <c r="B158">
        <v>60001.17</v>
      </c>
      <c r="C158">
        <v>60773.440000000002</v>
      </c>
      <c r="D158">
        <v>58816.84</v>
      </c>
      <c r="E158" s="2">
        <v>59708.08</v>
      </c>
    </row>
    <row r="159" spans="1:5" x14ac:dyDescent="0.35">
      <c r="A159" s="301">
        <v>44957</v>
      </c>
      <c r="B159">
        <v>59770.83</v>
      </c>
      <c r="C159">
        <v>59787.63</v>
      </c>
      <c r="D159">
        <v>59104.59</v>
      </c>
      <c r="E159" s="2">
        <v>59549.9</v>
      </c>
    </row>
    <row r="160" spans="1:5" x14ac:dyDescent="0.35">
      <c r="A160" s="301">
        <v>44956</v>
      </c>
      <c r="B160">
        <v>59101.69</v>
      </c>
      <c r="C160">
        <v>59644.24</v>
      </c>
      <c r="D160">
        <v>58699.199999999997</v>
      </c>
      <c r="E160" s="2">
        <v>59500.41</v>
      </c>
    </row>
    <row r="161" spans="1:5" x14ac:dyDescent="0.35">
      <c r="A161" s="301">
        <v>44953</v>
      </c>
      <c r="B161">
        <v>60166.9</v>
      </c>
      <c r="C161">
        <v>60166.9</v>
      </c>
      <c r="D161">
        <v>58974.7</v>
      </c>
      <c r="E161" s="2">
        <v>59330.9</v>
      </c>
    </row>
    <row r="162" spans="1:5" x14ac:dyDescent="0.35">
      <c r="A162" s="301">
        <v>44951</v>
      </c>
      <c r="B162">
        <v>60834.73</v>
      </c>
      <c r="C162">
        <v>60899.21</v>
      </c>
      <c r="D162">
        <v>60081.36</v>
      </c>
      <c r="E162" s="2">
        <v>60205.06</v>
      </c>
    </row>
    <row r="163" spans="1:5" x14ac:dyDescent="0.35">
      <c r="A163" s="301">
        <v>44950</v>
      </c>
      <c r="B163">
        <v>61122.2</v>
      </c>
      <c r="C163">
        <v>61266.06</v>
      </c>
      <c r="D163">
        <v>60849.120000000003</v>
      </c>
      <c r="E163" s="2">
        <v>60978.75</v>
      </c>
    </row>
    <row r="164" spans="1:5" x14ac:dyDescent="0.35">
      <c r="A164" s="301">
        <v>44949</v>
      </c>
      <c r="B164">
        <v>60876.01</v>
      </c>
      <c r="C164">
        <v>61113.27</v>
      </c>
      <c r="D164">
        <v>60761.88</v>
      </c>
      <c r="E164" s="2">
        <v>60941.67</v>
      </c>
    </row>
    <row r="165" spans="1:5" x14ac:dyDescent="0.35">
      <c r="A165" s="301">
        <v>44946</v>
      </c>
      <c r="B165">
        <v>60901.16</v>
      </c>
      <c r="C165">
        <v>61001.18</v>
      </c>
      <c r="D165">
        <v>60585.25</v>
      </c>
      <c r="E165" s="2">
        <v>60621.77</v>
      </c>
    </row>
    <row r="166" spans="1:5" x14ac:dyDescent="0.35">
      <c r="A166" s="301">
        <v>44945</v>
      </c>
      <c r="B166">
        <v>60920.02</v>
      </c>
      <c r="C166">
        <v>61032.47</v>
      </c>
      <c r="D166">
        <v>60716.55</v>
      </c>
      <c r="E166" s="2">
        <v>60858.43</v>
      </c>
    </row>
    <row r="167" spans="1:5" x14ac:dyDescent="0.35">
      <c r="A167" s="301">
        <v>44944</v>
      </c>
      <c r="B167">
        <v>60716.03</v>
      </c>
      <c r="C167">
        <v>61110.25</v>
      </c>
      <c r="D167">
        <v>60569.19</v>
      </c>
      <c r="E167" s="2">
        <v>61045.74</v>
      </c>
    </row>
    <row r="168" spans="1:5" x14ac:dyDescent="0.35">
      <c r="A168" s="301">
        <v>44943</v>
      </c>
      <c r="B168">
        <v>60142.080000000002</v>
      </c>
      <c r="C168">
        <v>60704.480000000003</v>
      </c>
      <c r="D168">
        <v>60072.34</v>
      </c>
      <c r="E168" s="2">
        <v>60655.72</v>
      </c>
    </row>
    <row r="169" spans="1:5" x14ac:dyDescent="0.35">
      <c r="A169" s="301">
        <v>44942</v>
      </c>
      <c r="B169">
        <v>60550.5</v>
      </c>
      <c r="C169">
        <v>60586.77</v>
      </c>
      <c r="D169">
        <v>59963.83</v>
      </c>
      <c r="E169" s="2">
        <v>60092.97</v>
      </c>
    </row>
    <row r="170" spans="1:5" x14ac:dyDescent="0.35">
      <c r="A170" s="301">
        <v>44939</v>
      </c>
      <c r="B170">
        <v>60044.959999999999</v>
      </c>
      <c r="C170">
        <v>60418.26</v>
      </c>
      <c r="D170">
        <v>59628.43</v>
      </c>
      <c r="E170" s="2">
        <v>60261.18</v>
      </c>
    </row>
    <row r="171" spans="1:5" x14ac:dyDescent="0.35">
      <c r="A171" s="301">
        <v>44938</v>
      </c>
      <c r="B171">
        <v>60083.03</v>
      </c>
      <c r="C171">
        <v>60290.35</v>
      </c>
      <c r="D171">
        <v>59632.32</v>
      </c>
      <c r="E171" s="2">
        <v>59958.03</v>
      </c>
    </row>
    <row r="172" spans="1:5" x14ac:dyDescent="0.35">
      <c r="A172" s="301">
        <v>44937</v>
      </c>
      <c r="B172">
        <v>60134.559999999998</v>
      </c>
      <c r="C172">
        <v>60364.77</v>
      </c>
      <c r="D172">
        <v>59805.78</v>
      </c>
      <c r="E172" s="2">
        <v>60105.5</v>
      </c>
    </row>
    <row r="173" spans="1:5" x14ac:dyDescent="0.35">
      <c r="A173" s="301">
        <v>44936</v>
      </c>
      <c r="B173">
        <v>60805.14</v>
      </c>
      <c r="C173">
        <v>60809.65</v>
      </c>
      <c r="D173">
        <v>59938.38</v>
      </c>
      <c r="E173" s="2">
        <v>60115.48</v>
      </c>
    </row>
    <row r="174" spans="1:5" x14ac:dyDescent="0.35">
      <c r="A174" s="301">
        <v>44935</v>
      </c>
      <c r="B174">
        <v>60147.07</v>
      </c>
      <c r="C174">
        <v>60889.41</v>
      </c>
      <c r="D174">
        <v>60109.94</v>
      </c>
      <c r="E174" s="2">
        <v>60747.31</v>
      </c>
    </row>
    <row r="175" spans="1:5" x14ac:dyDescent="0.35">
      <c r="A175" s="301">
        <v>44932</v>
      </c>
      <c r="B175">
        <v>60388.74</v>
      </c>
      <c r="C175">
        <v>60537.63</v>
      </c>
      <c r="D175">
        <v>59669.91</v>
      </c>
      <c r="E175" s="2">
        <v>59900.37</v>
      </c>
    </row>
    <row r="176" spans="1:5" x14ac:dyDescent="0.35">
      <c r="A176" s="301">
        <v>44931</v>
      </c>
      <c r="B176">
        <v>60847.5</v>
      </c>
      <c r="C176">
        <v>60877.06</v>
      </c>
      <c r="D176">
        <v>60049.84</v>
      </c>
      <c r="E176" s="2">
        <v>60353.27</v>
      </c>
    </row>
    <row r="177" spans="1:5" x14ac:dyDescent="0.35">
      <c r="A177" s="301">
        <v>44930</v>
      </c>
      <c r="B177">
        <v>61294.65</v>
      </c>
      <c r="C177">
        <v>61327.21</v>
      </c>
      <c r="D177">
        <v>60593.56</v>
      </c>
      <c r="E177" s="2">
        <v>60657.45</v>
      </c>
    </row>
    <row r="178" spans="1:5" x14ac:dyDescent="0.35">
      <c r="A178" s="301">
        <v>44929</v>
      </c>
      <c r="B178">
        <v>61074.879999999997</v>
      </c>
      <c r="C178">
        <v>61343.96</v>
      </c>
      <c r="D178">
        <v>61004.04</v>
      </c>
      <c r="E178" s="2">
        <v>61294.2</v>
      </c>
    </row>
    <row r="179" spans="1:5" x14ac:dyDescent="0.35">
      <c r="A179" s="301">
        <v>44928</v>
      </c>
      <c r="B179">
        <v>60871.24</v>
      </c>
      <c r="C179">
        <v>61222.79</v>
      </c>
      <c r="D179">
        <v>60764.63</v>
      </c>
      <c r="E179" s="2">
        <v>61167.79</v>
      </c>
    </row>
    <row r="180" spans="1:5" x14ac:dyDescent="0.35">
      <c r="A180" s="301">
        <v>44925</v>
      </c>
      <c r="B180">
        <v>61329.16</v>
      </c>
      <c r="C180">
        <v>61392.68</v>
      </c>
      <c r="D180">
        <v>60743.71</v>
      </c>
      <c r="E180" s="2">
        <v>60840.74</v>
      </c>
    </row>
    <row r="181" spans="1:5" x14ac:dyDescent="0.35">
      <c r="A181" s="301">
        <v>44924</v>
      </c>
      <c r="B181">
        <v>60628.29</v>
      </c>
      <c r="C181">
        <v>61210.65</v>
      </c>
      <c r="D181">
        <v>60479.06</v>
      </c>
      <c r="E181" s="2">
        <v>61133.88</v>
      </c>
    </row>
    <row r="182" spans="1:5" x14ac:dyDescent="0.35">
      <c r="A182" s="301">
        <v>44923</v>
      </c>
      <c r="B182">
        <v>60811.519999999997</v>
      </c>
      <c r="C182">
        <v>61075.33</v>
      </c>
      <c r="D182">
        <v>60713.77</v>
      </c>
      <c r="E182" s="2">
        <v>60910.28</v>
      </c>
    </row>
    <row r="183" spans="1:5" x14ac:dyDescent="0.35">
      <c r="A183" s="301">
        <v>44922</v>
      </c>
      <c r="B183">
        <v>60861.41</v>
      </c>
      <c r="C183">
        <v>60986.68</v>
      </c>
      <c r="D183">
        <v>60405.66</v>
      </c>
      <c r="E183" s="2">
        <v>60927.43</v>
      </c>
    </row>
    <row r="184" spans="1:5" x14ac:dyDescent="0.35">
      <c r="A184" s="301">
        <v>44921</v>
      </c>
      <c r="B184">
        <v>59755.08</v>
      </c>
      <c r="C184">
        <v>60833.78</v>
      </c>
      <c r="D184">
        <v>59754.1</v>
      </c>
      <c r="E184" s="2">
        <v>60566.42</v>
      </c>
    </row>
    <row r="185" spans="1:5" x14ac:dyDescent="0.35">
      <c r="A185" s="301">
        <v>44918</v>
      </c>
      <c r="B185">
        <v>60205.56</v>
      </c>
      <c r="C185">
        <v>60546.879999999997</v>
      </c>
      <c r="D185">
        <v>59765.56</v>
      </c>
      <c r="E185" s="2">
        <v>59845.29</v>
      </c>
    </row>
    <row r="186" spans="1:5" x14ac:dyDescent="0.35">
      <c r="A186" s="301">
        <v>44917</v>
      </c>
      <c r="B186">
        <v>61257.17</v>
      </c>
      <c r="C186">
        <v>61464.38</v>
      </c>
      <c r="D186">
        <v>60637.24</v>
      </c>
      <c r="E186" s="2">
        <v>60826.22</v>
      </c>
    </row>
    <row r="187" spans="1:5" x14ac:dyDescent="0.35">
      <c r="A187" s="301">
        <v>44916</v>
      </c>
      <c r="B187">
        <v>61993.71</v>
      </c>
      <c r="C187">
        <v>62006.46</v>
      </c>
      <c r="D187">
        <v>60938.38</v>
      </c>
      <c r="E187" s="2">
        <v>61067.24</v>
      </c>
    </row>
    <row r="188" spans="1:5" x14ac:dyDescent="0.35">
      <c r="A188" s="301">
        <v>44915</v>
      </c>
      <c r="B188">
        <v>61608.85</v>
      </c>
      <c r="C188">
        <v>61780.37</v>
      </c>
      <c r="D188">
        <v>61102.68</v>
      </c>
      <c r="E188" s="2">
        <v>61702.29</v>
      </c>
    </row>
    <row r="189" spans="1:5" x14ac:dyDescent="0.35">
      <c r="A189" s="301">
        <v>44914</v>
      </c>
      <c r="B189">
        <v>61405.8</v>
      </c>
      <c r="C189">
        <v>61844.92</v>
      </c>
      <c r="D189">
        <v>61265.31</v>
      </c>
      <c r="E189" s="2">
        <v>61806.19</v>
      </c>
    </row>
    <row r="190" spans="1:5" x14ac:dyDescent="0.35">
      <c r="A190" s="301">
        <v>44911</v>
      </c>
      <c r="B190">
        <v>61534.239999999998</v>
      </c>
      <c r="C190">
        <v>61893.22</v>
      </c>
      <c r="D190">
        <v>61292.53</v>
      </c>
      <c r="E190" s="2">
        <v>61337.81</v>
      </c>
    </row>
    <row r="191" spans="1:5" x14ac:dyDescent="0.35">
      <c r="A191" s="301">
        <v>44910</v>
      </c>
      <c r="B191">
        <v>62530.07</v>
      </c>
      <c r="C191">
        <v>62624.81</v>
      </c>
      <c r="D191">
        <v>61715.61</v>
      </c>
      <c r="E191" s="2">
        <v>61799.03</v>
      </c>
    </row>
    <row r="192" spans="1:5" x14ac:dyDescent="0.35">
      <c r="A192" s="301">
        <v>44909</v>
      </c>
      <c r="B192">
        <v>62685.94</v>
      </c>
      <c r="C192">
        <v>62835.11</v>
      </c>
      <c r="D192">
        <v>62591.28</v>
      </c>
      <c r="E192" s="2">
        <v>62677.91</v>
      </c>
    </row>
    <row r="193" spans="1:5" x14ac:dyDescent="0.35">
      <c r="A193" s="301">
        <v>44908</v>
      </c>
      <c r="B193">
        <v>62300.67</v>
      </c>
      <c r="C193">
        <v>62567.92</v>
      </c>
      <c r="D193">
        <v>62129.57</v>
      </c>
      <c r="E193" s="2">
        <v>62533.3</v>
      </c>
    </row>
    <row r="194" spans="1:5" x14ac:dyDescent="0.35">
      <c r="A194" s="301">
        <v>44907</v>
      </c>
      <c r="B194">
        <v>61770.559999999998</v>
      </c>
      <c r="C194">
        <v>62239.42</v>
      </c>
      <c r="D194">
        <v>61676.15</v>
      </c>
      <c r="E194" s="2">
        <v>62130.57</v>
      </c>
    </row>
    <row r="195" spans="1:5" x14ac:dyDescent="0.35">
      <c r="A195" s="301">
        <v>44904</v>
      </c>
      <c r="B195">
        <v>62690.86</v>
      </c>
      <c r="C195">
        <v>62735.42</v>
      </c>
      <c r="D195">
        <v>61889.11</v>
      </c>
      <c r="E195" s="2">
        <v>62181.67</v>
      </c>
    </row>
    <row r="196" spans="1:5" x14ac:dyDescent="0.35">
      <c r="A196" s="301">
        <v>44903</v>
      </c>
      <c r="B196">
        <v>62504.04</v>
      </c>
      <c r="C196">
        <v>62633.56</v>
      </c>
      <c r="D196">
        <v>62320.18</v>
      </c>
      <c r="E196" s="2">
        <v>62570.68</v>
      </c>
    </row>
    <row r="197" spans="1:5" x14ac:dyDescent="0.35">
      <c r="A197" s="301">
        <v>44902</v>
      </c>
      <c r="B197">
        <v>62615.519999999997</v>
      </c>
      <c r="C197">
        <v>62759.97</v>
      </c>
      <c r="D197">
        <v>62316.65</v>
      </c>
      <c r="E197" s="2">
        <v>62410.68</v>
      </c>
    </row>
    <row r="198" spans="1:5" x14ac:dyDescent="0.35">
      <c r="A198" s="301">
        <v>44901</v>
      </c>
      <c r="B198">
        <v>62395.55</v>
      </c>
      <c r="C198">
        <v>62677.84</v>
      </c>
      <c r="D198">
        <v>62390.07</v>
      </c>
      <c r="E198" s="2">
        <v>62626.36</v>
      </c>
    </row>
    <row r="199" spans="1:5" x14ac:dyDescent="0.35">
      <c r="A199" s="301">
        <v>44900</v>
      </c>
      <c r="B199">
        <v>62865.279999999999</v>
      </c>
      <c r="C199">
        <v>62939.63</v>
      </c>
      <c r="D199">
        <v>62507.88</v>
      </c>
      <c r="E199" s="2">
        <v>62834.6</v>
      </c>
    </row>
    <row r="200" spans="1:5" x14ac:dyDescent="0.35">
      <c r="A200" s="301">
        <v>44897</v>
      </c>
      <c r="B200">
        <v>62978.58</v>
      </c>
      <c r="C200">
        <v>63148.59</v>
      </c>
      <c r="D200">
        <v>62679.63</v>
      </c>
      <c r="E200" s="2">
        <v>62868.5</v>
      </c>
    </row>
    <row r="201" spans="1:5" x14ac:dyDescent="0.35">
      <c r="A201" s="301">
        <v>44896</v>
      </c>
      <c r="B201">
        <v>63357.99</v>
      </c>
      <c r="C201">
        <v>63583.07</v>
      </c>
      <c r="D201">
        <v>63183.77</v>
      </c>
      <c r="E201" s="2">
        <v>63284.19</v>
      </c>
    </row>
    <row r="202" spans="1:5" x14ac:dyDescent="0.35">
      <c r="A202" s="301">
        <v>44895</v>
      </c>
      <c r="B202">
        <v>62743.47</v>
      </c>
      <c r="C202">
        <v>63303.01</v>
      </c>
      <c r="D202">
        <v>62648.38</v>
      </c>
      <c r="E202" s="2">
        <v>63099.65</v>
      </c>
    </row>
    <row r="203" spans="1:5" x14ac:dyDescent="0.35">
      <c r="A203" s="301">
        <v>44894</v>
      </c>
      <c r="B203">
        <v>62362.080000000002</v>
      </c>
      <c r="C203">
        <v>62887.4</v>
      </c>
      <c r="D203">
        <v>62362.080000000002</v>
      </c>
      <c r="E203" s="2">
        <v>62681.84</v>
      </c>
    </row>
    <row r="204" spans="1:5" x14ac:dyDescent="0.35">
      <c r="A204" s="301">
        <v>44893</v>
      </c>
      <c r="B204">
        <v>62016.35</v>
      </c>
      <c r="C204">
        <v>62701.4</v>
      </c>
      <c r="D204">
        <v>61959.74</v>
      </c>
      <c r="E204" s="2">
        <v>62504.800000000003</v>
      </c>
    </row>
    <row r="205" spans="1:5" x14ac:dyDescent="0.35">
      <c r="A205" s="301">
        <v>44890</v>
      </c>
      <c r="B205">
        <v>62327.88</v>
      </c>
      <c r="C205">
        <v>62447.73</v>
      </c>
      <c r="D205">
        <v>62115.66</v>
      </c>
      <c r="E205" s="2">
        <v>62293.64</v>
      </c>
    </row>
    <row r="206" spans="1:5" x14ac:dyDescent="0.35">
      <c r="A206" s="301">
        <v>44889</v>
      </c>
      <c r="B206">
        <v>61656</v>
      </c>
      <c r="C206">
        <v>62412.33</v>
      </c>
      <c r="D206">
        <v>61600.42</v>
      </c>
      <c r="E206" s="2">
        <v>62272.68</v>
      </c>
    </row>
    <row r="207" spans="1:5" x14ac:dyDescent="0.35">
      <c r="A207" s="301">
        <v>44888</v>
      </c>
      <c r="B207">
        <v>61779.71</v>
      </c>
      <c r="C207">
        <v>61780.9</v>
      </c>
      <c r="D207">
        <v>61442.69</v>
      </c>
      <c r="E207" s="2">
        <v>61510.58</v>
      </c>
    </row>
    <row r="208" spans="1:5" x14ac:dyDescent="0.35">
      <c r="A208" s="301">
        <v>44887</v>
      </c>
      <c r="B208">
        <v>61126.559999999998</v>
      </c>
      <c r="C208">
        <v>61466.63</v>
      </c>
      <c r="D208">
        <v>61073.68</v>
      </c>
      <c r="E208" s="2">
        <v>61418.96</v>
      </c>
    </row>
    <row r="209" spans="1:5" x14ac:dyDescent="0.35">
      <c r="A209" s="301">
        <v>44886</v>
      </c>
      <c r="B209">
        <v>61456.33</v>
      </c>
      <c r="C209">
        <v>61456.33</v>
      </c>
      <c r="D209">
        <v>61059.33</v>
      </c>
      <c r="E209" s="2">
        <v>61144.84</v>
      </c>
    </row>
    <row r="210" spans="1:5" x14ac:dyDescent="0.35">
      <c r="A210" s="301">
        <v>44883</v>
      </c>
      <c r="B210">
        <v>61858.2</v>
      </c>
      <c r="C210">
        <v>61929.88</v>
      </c>
      <c r="D210">
        <v>61337.43</v>
      </c>
      <c r="E210" s="2">
        <v>61663.48</v>
      </c>
    </row>
    <row r="211" spans="1:5" x14ac:dyDescent="0.35">
      <c r="A211" s="301">
        <v>44882</v>
      </c>
      <c r="B211">
        <v>61812.36</v>
      </c>
      <c r="C211">
        <v>62050.8</v>
      </c>
      <c r="D211">
        <v>61643.27</v>
      </c>
      <c r="E211" s="2">
        <v>61750.6</v>
      </c>
    </row>
    <row r="212" spans="1:5" x14ac:dyDescent="0.35">
      <c r="A212" s="301">
        <v>44881</v>
      </c>
      <c r="B212">
        <v>61708.63</v>
      </c>
      <c r="C212">
        <v>62052.57</v>
      </c>
      <c r="D212">
        <v>61708.63</v>
      </c>
      <c r="E212" s="2">
        <v>61980.72</v>
      </c>
    </row>
    <row r="213" spans="1:5" x14ac:dyDescent="0.35">
      <c r="A213" s="301">
        <v>44880</v>
      </c>
      <c r="B213">
        <v>61630.05</v>
      </c>
      <c r="C213">
        <v>61955.96</v>
      </c>
      <c r="D213">
        <v>61436.9</v>
      </c>
      <c r="E213" s="2">
        <v>61872.99</v>
      </c>
    </row>
    <row r="214" spans="1:5" x14ac:dyDescent="0.35">
      <c r="A214" s="301">
        <v>44879</v>
      </c>
      <c r="B214">
        <v>61765.86</v>
      </c>
      <c r="C214">
        <v>61916.24</v>
      </c>
      <c r="D214">
        <v>61572.03</v>
      </c>
      <c r="E214" s="2">
        <v>61624.15</v>
      </c>
    </row>
    <row r="215" spans="1:5" x14ac:dyDescent="0.35">
      <c r="A215" s="301">
        <v>44876</v>
      </c>
      <c r="B215">
        <v>61311.02</v>
      </c>
      <c r="C215">
        <v>61840.97</v>
      </c>
      <c r="D215">
        <v>61311.02</v>
      </c>
      <c r="E215" s="2">
        <v>61795.040000000001</v>
      </c>
    </row>
    <row r="216" spans="1:5" x14ac:dyDescent="0.35">
      <c r="A216" s="301">
        <v>44875</v>
      </c>
      <c r="B216">
        <v>60524.27</v>
      </c>
      <c r="C216">
        <v>60848.73</v>
      </c>
      <c r="D216">
        <v>60425.47</v>
      </c>
      <c r="E216" s="2">
        <v>60613.7</v>
      </c>
    </row>
    <row r="217" spans="1:5" x14ac:dyDescent="0.35">
      <c r="A217" s="301">
        <v>44874</v>
      </c>
      <c r="B217">
        <v>61304.29</v>
      </c>
      <c r="C217">
        <v>61447.23</v>
      </c>
      <c r="D217">
        <v>60905.15</v>
      </c>
      <c r="E217" s="2">
        <v>61033.55</v>
      </c>
    </row>
    <row r="218" spans="1:5" x14ac:dyDescent="0.35">
      <c r="A218" s="301">
        <v>44872</v>
      </c>
      <c r="B218">
        <v>61188.13</v>
      </c>
      <c r="C218">
        <v>61401.54</v>
      </c>
      <c r="D218">
        <v>60714.36</v>
      </c>
      <c r="E218" s="2">
        <v>61185.15</v>
      </c>
    </row>
    <row r="219" spans="1:5" x14ac:dyDescent="0.35">
      <c r="A219" s="301">
        <v>44869</v>
      </c>
      <c r="B219">
        <v>60698.27</v>
      </c>
      <c r="C219">
        <v>61004.49</v>
      </c>
      <c r="D219">
        <v>60666.01</v>
      </c>
      <c r="E219" s="2">
        <v>60950.36</v>
      </c>
    </row>
    <row r="220" spans="1:5" x14ac:dyDescent="0.35">
      <c r="A220" s="301">
        <v>44868</v>
      </c>
      <c r="B220">
        <v>60511.57</v>
      </c>
      <c r="C220">
        <v>60994.37</v>
      </c>
      <c r="D220">
        <v>60485.14</v>
      </c>
      <c r="E220" s="2">
        <v>60836.41</v>
      </c>
    </row>
    <row r="221" spans="1:5" x14ac:dyDescent="0.35">
      <c r="A221" s="301">
        <v>44867</v>
      </c>
      <c r="B221">
        <v>61156.89</v>
      </c>
      <c r="C221">
        <v>61209.65</v>
      </c>
      <c r="D221">
        <v>60794.39</v>
      </c>
      <c r="E221" s="2">
        <v>60906.09</v>
      </c>
    </row>
    <row r="222" spans="1:5" x14ac:dyDescent="0.35">
      <c r="A222" s="301">
        <v>44866</v>
      </c>
      <c r="B222">
        <v>61065.58</v>
      </c>
      <c r="C222">
        <v>61289.73</v>
      </c>
      <c r="D222">
        <v>60868.69</v>
      </c>
      <c r="E222" s="2">
        <v>61121.35</v>
      </c>
    </row>
    <row r="223" spans="1:5" x14ac:dyDescent="0.35">
      <c r="A223" s="301">
        <v>44865</v>
      </c>
      <c r="B223">
        <v>60246.96</v>
      </c>
      <c r="C223">
        <v>60786.7</v>
      </c>
      <c r="D223">
        <v>60246.96</v>
      </c>
      <c r="E223" s="2">
        <v>60746.59</v>
      </c>
    </row>
    <row r="224" spans="1:5" x14ac:dyDescent="0.35">
      <c r="A224" s="301">
        <v>44862</v>
      </c>
      <c r="B224">
        <v>59746.8</v>
      </c>
      <c r="C224">
        <v>60133.17</v>
      </c>
      <c r="D224">
        <v>59739.05</v>
      </c>
      <c r="E224" s="2">
        <v>59959.85</v>
      </c>
    </row>
    <row r="225" spans="1:5" x14ac:dyDescent="0.35">
      <c r="A225" s="301">
        <v>44861</v>
      </c>
      <c r="B225">
        <v>59792.32</v>
      </c>
      <c r="C225">
        <v>59959.94</v>
      </c>
      <c r="D225">
        <v>59496.800000000003</v>
      </c>
      <c r="E225" s="2">
        <v>59756.84</v>
      </c>
    </row>
    <row r="226" spans="1:5" x14ac:dyDescent="0.35">
      <c r="A226" s="301">
        <v>44859</v>
      </c>
      <c r="B226">
        <v>60002.96</v>
      </c>
      <c r="C226">
        <v>60081.24</v>
      </c>
      <c r="D226">
        <v>59489.02</v>
      </c>
      <c r="E226" s="2">
        <v>59543.96</v>
      </c>
    </row>
    <row r="227" spans="1:5" x14ac:dyDescent="0.35">
      <c r="A227" s="301">
        <v>44858</v>
      </c>
      <c r="B227">
        <v>59804.02</v>
      </c>
      <c r="C227">
        <v>59994.25</v>
      </c>
      <c r="D227">
        <v>59776.66</v>
      </c>
      <c r="E227" s="2">
        <v>59831.66</v>
      </c>
    </row>
    <row r="228" spans="1:5" x14ac:dyDescent="0.35">
      <c r="A228" s="301">
        <v>44855</v>
      </c>
      <c r="B228">
        <v>59381.36</v>
      </c>
      <c r="C228">
        <v>59590.93</v>
      </c>
      <c r="D228">
        <v>59132.94</v>
      </c>
      <c r="E228" s="2">
        <v>59307.15</v>
      </c>
    </row>
    <row r="229" spans="1:5" x14ac:dyDescent="0.35">
      <c r="A229" s="301">
        <v>44854</v>
      </c>
      <c r="B229">
        <v>58824.480000000003</v>
      </c>
      <c r="C229">
        <v>59273.85</v>
      </c>
      <c r="D229">
        <v>58791.28</v>
      </c>
      <c r="E229" s="2">
        <v>59202.9</v>
      </c>
    </row>
    <row r="230" spans="1:5" x14ac:dyDescent="0.35">
      <c r="A230" s="301">
        <v>44853</v>
      </c>
      <c r="B230">
        <v>59196.959999999999</v>
      </c>
      <c r="C230">
        <v>59399.69</v>
      </c>
      <c r="D230">
        <v>58961.77</v>
      </c>
      <c r="E230" s="2">
        <v>59107.19</v>
      </c>
    </row>
    <row r="231" spans="1:5" x14ac:dyDescent="0.35">
      <c r="A231" s="301">
        <v>44852</v>
      </c>
      <c r="B231">
        <v>58744.13</v>
      </c>
      <c r="C231">
        <v>59143.66</v>
      </c>
      <c r="D231">
        <v>58744.13</v>
      </c>
      <c r="E231" s="2">
        <v>58960.6</v>
      </c>
    </row>
    <row r="232" spans="1:5" x14ac:dyDescent="0.35">
      <c r="A232" s="301">
        <v>44851</v>
      </c>
      <c r="B232">
        <v>57752.5</v>
      </c>
      <c r="C232">
        <v>58449</v>
      </c>
      <c r="D232">
        <v>57639.8</v>
      </c>
      <c r="E232" s="2">
        <v>58410.98</v>
      </c>
    </row>
    <row r="233" spans="1:5" x14ac:dyDescent="0.35">
      <c r="A233" s="301">
        <v>44848</v>
      </c>
      <c r="B233">
        <v>58162.74</v>
      </c>
      <c r="C233">
        <v>58435.12</v>
      </c>
      <c r="D233">
        <v>57848.23</v>
      </c>
      <c r="E233" s="2">
        <v>57919.97</v>
      </c>
    </row>
    <row r="234" spans="1:5" x14ac:dyDescent="0.35">
      <c r="A234" s="301">
        <v>44847</v>
      </c>
      <c r="B234">
        <v>57512.74</v>
      </c>
      <c r="C234">
        <v>57568.14</v>
      </c>
      <c r="D234">
        <v>57055.75</v>
      </c>
      <c r="E234" s="2">
        <v>57235.33</v>
      </c>
    </row>
    <row r="235" spans="1:5" x14ac:dyDescent="0.35">
      <c r="A235" s="301">
        <v>44846</v>
      </c>
      <c r="B235">
        <v>57312.49</v>
      </c>
      <c r="C235">
        <v>57687.64</v>
      </c>
      <c r="D235">
        <v>57085.919999999998</v>
      </c>
      <c r="E235" s="2">
        <v>57625.91</v>
      </c>
    </row>
    <row r="236" spans="1:5" x14ac:dyDescent="0.35">
      <c r="A236" s="301">
        <v>44845</v>
      </c>
      <c r="B236">
        <v>58004.25</v>
      </c>
      <c r="C236">
        <v>58027.519999999997</v>
      </c>
      <c r="D236">
        <v>57050.400000000001</v>
      </c>
      <c r="E236" s="2">
        <v>57147.32</v>
      </c>
    </row>
    <row r="237" spans="1:5" x14ac:dyDescent="0.35">
      <c r="A237" s="301">
        <v>44844</v>
      </c>
      <c r="B237">
        <v>57424.07</v>
      </c>
      <c r="C237">
        <v>58125.01</v>
      </c>
      <c r="D237">
        <v>57365.68</v>
      </c>
      <c r="E237" s="2">
        <v>57991.11</v>
      </c>
    </row>
    <row r="238" spans="1:5" x14ac:dyDescent="0.35">
      <c r="A238" s="301">
        <v>44841</v>
      </c>
      <c r="B238">
        <v>58092.56</v>
      </c>
      <c r="C238">
        <v>58269.34</v>
      </c>
      <c r="D238">
        <v>57851.15</v>
      </c>
      <c r="E238" s="2">
        <v>58191.29</v>
      </c>
    </row>
    <row r="239" spans="1:5" x14ac:dyDescent="0.35">
      <c r="A239" s="301">
        <v>44840</v>
      </c>
      <c r="B239">
        <v>58314.05</v>
      </c>
      <c r="C239">
        <v>58578.76</v>
      </c>
      <c r="D239">
        <v>58173.7</v>
      </c>
      <c r="E239" s="2">
        <v>58222.1</v>
      </c>
    </row>
    <row r="240" spans="1:5" x14ac:dyDescent="0.35">
      <c r="A240" s="301">
        <v>44838</v>
      </c>
      <c r="B240">
        <v>57506.65</v>
      </c>
      <c r="C240">
        <v>58099.94</v>
      </c>
      <c r="D240">
        <v>57506.65</v>
      </c>
      <c r="E240" s="2">
        <v>58065.47</v>
      </c>
    </row>
    <row r="241" spans="1:5" x14ac:dyDescent="0.35">
      <c r="A241" s="301">
        <v>44837</v>
      </c>
      <c r="B241">
        <v>57403.92</v>
      </c>
      <c r="C241">
        <v>57454.84</v>
      </c>
      <c r="D241">
        <v>56683.4</v>
      </c>
      <c r="E241" s="2">
        <v>56788.81</v>
      </c>
    </row>
    <row r="242" spans="1:5" x14ac:dyDescent="0.35">
      <c r="A242" s="301">
        <v>44834</v>
      </c>
      <c r="B242">
        <v>56240.15</v>
      </c>
      <c r="C242">
        <v>57722.63</v>
      </c>
      <c r="D242">
        <v>56147.23</v>
      </c>
      <c r="E242" s="2">
        <v>57426.92</v>
      </c>
    </row>
    <row r="243" spans="1:5" x14ac:dyDescent="0.35">
      <c r="A243" s="301">
        <v>44833</v>
      </c>
      <c r="B243">
        <v>56997.9</v>
      </c>
      <c r="C243">
        <v>57166.14</v>
      </c>
      <c r="D243">
        <v>56314.05</v>
      </c>
      <c r="E243" s="2">
        <v>56409.96</v>
      </c>
    </row>
    <row r="244" spans="1:5" x14ac:dyDescent="0.35">
      <c r="A244" s="301">
        <v>44832</v>
      </c>
      <c r="B244">
        <v>56710.13</v>
      </c>
      <c r="C244">
        <v>57213.33</v>
      </c>
      <c r="D244">
        <v>56485.67</v>
      </c>
      <c r="E244" s="2">
        <v>56598.28</v>
      </c>
    </row>
    <row r="245" spans="1:5" x14ac:dyDescent="0.35">
      <c r="A245" s="301">
        <v>44831</v>
      </c>
      <c r="B245">
        <v>57376.52</v>
      </c>
      <c r="C245">
        <v>57704.57</v>
      </c>
      <c r="D245">
        <v>56950.52</v>
      </c>
      <c r="E245" s="2">
        <v>57107.519999999997</v>
      </c>
    </row>
    <row r="246" spans="1:5" x14ac:dyDescent="0.35">
      <c r="A246" s="301">
        <v>44830</v>
      </c>
      <c r="B246">
        <v>57525.03</v>
      </c>
      <c r="C246">
        <v>57708.38</v>
      </c>
      <c r="D246">
        <v>57038.239999999998</v>
      </c>
      <c r="E246" s="2">
        <v>57145.22</v>
      </c>
    </row>
    <row r="247" spans="1:5" x14ac:dyDescent="0.35">
      <c r="A247" s="301">
        <v>44827</v>
      </c>
      <c r="B247">
        <v>59005.18</v>
      </c>
      <c r="C247">
        <v>59143.32</v>
      </c>
      <c r="D247">
        <v>57981.95</v>
      </c>
      <c r="E247" s="2">
        <v>58098.92</v>
      </c>
    </row>
    <row r="248" spans="1:5" x14ac:dyDescent="0.35">
      <c r="A248" s="301">
        <v>44826</v>
      </c>
      <c r="B248">
        <v>59073.84</v>
      </c>
      <c r="C248">
        <v>59457.58</v>
      </c>
      <c r="D248">
        <v>58832.78</v>
      </c>
      <c r="E248" s="2">
        <v>59119.72</v>
      </c>
    </row>
    <row r="249" spans="1:5" x14ac:dyDescent="0.35">
      <c r="A249" s="301">
        <v>44825</v>
      </c>
      <c r="B249">
        <v>59504.14</v>
      </c>
      <c r="C249">
        <v>59799.040000000001</v>
      </c>
      <c r="D249">
        <v>59275.4</v>
      </c>
      <c r="E249" s="2">
        <v>59456.78</v>
      </c>
    </row>
    <row r="250" spans="1:5" x14ac:dyDescent="0.35">
      <c r="A250" s="301">
        <v>44824</v>
      </c>
      <c r="B250">
        <v>59556.91</v>
      </c>
      <c r="C250">
        <v>60105.79</v>
      </c>
      <c r="D250">
        <v>59556.91</v>
      </c>
      <c r="E250" s="2">
        <v>59719.74</v>
      </c>
    </row>
    <row r="251" spans="1:5" x14ac:dyDescent="0.35">
      <c r="A251" s="301">
        <v>44823</v>
      </c>
      <c r="B251">
        <v>58747.31</v>
      </c>
      <c r="C251">
        <v>59277.55</v>
      </c>
      <c r="D251">
        <v>58487.76</v>
      </c>
      <c r="E251" s="2">
        <v>59141.23</v>
      </c>
    </row>
    <row r="252" spans="1:5" x14ac:dyDescent="0.35">
      <c r="A252" s="301">
        <v>44820</v>
      </c>
      <c r="B252">
        <v>59585.72</v>
      </c>
      <c r="C252">
        <v>59720.56</v>
      </c>
      <c r="D252">
        <v>58687.17</v>
      </c>
      <c r="E252" s="2">
        <v>58840.79</v>
      </c>
    </row>
  </sheetData>
  <sortState xmlns:xlrd2="http://schemas.microsoft.com/office/spreadsheetml/2017/richdata2" ref="A5:E252">
    <sortCondition descending="1" ref="A5:A25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96CE-D361-4634-80BA-9516148696C8}">
  <sheetPr>
    <tabColor rgb="FFFF0000"/>
  </sheetPr>
  <dimension ref="A1:H254"/>
  <sheetViews>
    <sheetView workbookViewId="0">
      <selection activeCell="J13" sqref="J13"/>
    </sheetView>
  </sheetViews>
  <sheetFormatPr defaultRowHeight="14.5" x14ac:dyDescent="0.35"/>
  <cols>
    <col min="1" max="1" width="18.08984375" bestFit="1" customWidth="1"/>
    <col min="2" max="6" width="10.6328125" customWidth="1"/>
    <col min="7" max="7" width="14.1796875" customWidth="1"/>
  </cols>
  <sheetData>
    <row r="1" spans="1:8" x14ac:dyDescent="0.35">
      <c r="D1" s="503" t="s">
        <v>514</v>
      </c>
      <c r="E1" s="504" t="s">
        <v>513</v>
      </c>
      <c r="F1" s="503"/>
      <c r="G1" s="503"/>
      <c r="H1" s="503"/>
    </row>
    <row r="3" spans="1:8" ht="33" x14ac:dyDescent="0.35">
      <c r="A3" s="505" t="s">
        <v>297</v>
      </c>
      <c r="B3" s="514" t="s">
        <v>520</v>
      </c>
      <c r="C3" s="514" t="s">
        <v>516</v>
      </c>
      <c r="D3" s="514" t="s">
        <v>517</v>
      </c>
      <c r="E3" s="514" t="s">
        <v>518</v>
      </c>
      <c r="F3" s="514" t="s">
        <v>521</v>
      </c>
      <c r="G3" s="514" t="s">
        <v>522</v>
      </c>
    </row>
    <row r="4" spans="1:8" ht="16.5" x14ac:dyDescent="0.35">
      <c r="A4" s="511">
        <v>45170</v>
      </c>
      <c r="B4" s="496">
        <v>67696.22</v>
      </c>
      <c r="C4" s="506">
        <v>64855.51</v>
      </c>
      <c r="D4" s="506">
        <v>67770.2</v>
      </c>
      <c r="E4" s="506">
        <v>64825.05</v>
      </c>
      <c r="F4" s="506" t="s">
        <v>523</v>
      </c>
      <c r="G4" s="507">
        <v>4.4200000000000003E-2</v>
      </c>
    </row>
    <row r="5" spans="1:8" ht="16.5" x14ac:dyDescent="0.35">
      <c r="A5" s="511">
        <v>45139</v>
      </c>
      <c r="B5" s="496">
        <v>64831.41</v>
      </c>
      <c r="C5" s="506">
        <v>66532.98</v>
      </c>
      <c r="D5" s="506">
        <v>66658.12</v>
      </c>
      <c r="E5" s="506">
        <v>64723.63</v>
      </c>
      <c r="F5" s="506" t="s">
        <v>524</v>
      </c>
      <c r="G5" s="507">
        <v>-2.5499999999999998E-2</v>
      </c>
    </row>
    <row r="6" spans="1:8" ht="16.5" x14ac:dyDescent="0.35">
      <c r="A6" s="511">
        <v>45108</v>
      </c>
      <c r="B6" s="496">
        <v>66527.67</v>
      </c>
      <c r="C6" s="506">
        <v>64836.160000000003</v>
      </c>
      <c r="D6" s="506">
        <v>67619.17</v>
      </c>
      <c r="E6" s="506">
        <v>64836.160000000003</v>
      </c>
      <c r="F6" s="506" t="s">
        <v>525</v>
      </c>
      <c r="G6" s="507">
        <v>2.8000000000000001E-2</v>
      </c>
    </row>
    <row r="7" spans="1:8" ht="16.5" x14ac:dyDescent="0.35">
      <c r="A7" s="511">
        <v>45078</v>
      </c>
      <c r="B7" s="496">
        <v>64718.559999999998</v>
      </c>
      <c r="C7" s="506">
        <v>62736.47</v>
      </c>
      <c r="D7" s="506">
        <v>64768.58</v>
      </c>
      <c r="E7" s="506">
        <v>62359.14</v>
      </c>
      <c r="F7" s="506" t="s">
        <v>526</v>
      </c>
      <c r="G7" s="507">
        <v>3.3500000000000002E-2</v>
      </c>
    </row>
    <row r="8" spans="1:8" ht="16.5" x14ac:dyDescent="0.35">
      <c r="A8" s="511">
        <v>45047</v>
      </c>
      <c r="B8" s="496">
        <v>62622.239999999998</v>
      </c>
      <c r="C8" s="506">
        <v>61301.61</v>
      </c>
      <c r="D8" s="506">
        <v>63036.12</v>
      </c>
      <c r="E8" s="506">
        <v>61002.17</v>
      </c>
      <c r="F8" s="506" t="s">
        <v>527</v>
      </c>
      <c r="G8" s="507">
        <v>2.47E-2</v>
      </c>
    </row>
    <row r="9" spans="1:8" ht="16.5" x14ac:dyDescent="0.35">
      <c r="A9" s="511">
        <v>45017</v>
      </c>
      <c r="B9" s="496">
        <v>61112.44</v>
      </c>
      <c r="C9" s="506">
        <v>59131.16</v>
      </c>
      <c r="D9" s="506">
        <v>61209.46</v>
      </c>
      <c r="E9" s="506">
        <v>58793.08</v>
      </c>
      <c r="F9" s="506" t="s">
        <v>528</v>
      </c>
      <c r="G9" s="507">
        <v>3.5999999999999997E-2</v>
      </c>
    </row>
    <row r="10" spans="1:8" ht="16.5" x14ac:dyDescent="0.35">
      <c r="A10" s="511">
        <v>44986</v>
      </c>
      <c r="B10" s="496">
        <v>58991.519999999997</v>
      </c>
      <c r="C10" s="506">
        <v>59136.480000000003</v>
      </c>
      <c r="D10" s="506">
        <v>60498.48</v>
      </c>
      <c r="E10" s="506">
        <v>57084.91</v>
      </c>
      <c r="F10" s="506" t="s">
        <v>529</v>
      </c>
      <c r="G10" s="507">
        <v>5.0000000000000001E-4</v>
      </c>
    </row>
    <row r="11" spans="1:8" ht="16.5" x14ac:dyDescent="0.35">
      <c r="A11" s="511">
        <v>44958</v>
      </c>
      <c r="B11" s="496">
        <v>58962.12</v>
      </c>
      <c r="C11" s="506">
        <v>60001.17</v>
      </c>
      <c r="D11" s="506">
        <v>61682.25</v>
      </c>
      <c r="E11" s="506">
        <v>58795.97</v>
      </c>
      <c r="F11" s="506" t="s">
        <v>530</v>
      </c>
      <c r="G11" s="507">
        <v>-9.9000000000000008E-3</v>
      </c>
    </row>
    <row r="12" spans="1:8" ht="16.5" x14ac:dyDescent="0.35">
      <c r="A12" s="511">
        <v>44927</v>
      </c>
      <c r="B12" s="496">
        <v>59549.9</v>
      </c>
      <c r="C12" s="506">
        <v>60871.24</v>
      </c>
      <c r="D12" s="506">
        <v>61343.96</v>
      </c>
      <c r="E12" s="506">
        <v>58699.199999999997</v>
      </c>
      <c r="F12" s="506" t="s">
        <v>531</v>
      </c>
      <c r="G12" s="507">
        <v>-2.12E-2</v>
      </c>
    </row>
    <row r="13" spans="1:8" ht="16.5" x14ac:dyDescent="0.35">
      <c r="A13" s="511">
        <v>44896</v>
      </c>
      <c r="B13" s="496">
        <v>60840.74</v>
      </c>
      <c r="C13" s="506">
        <v>63357.99</v>
      </c>
      <c r="D13" s="506">
        <v>63583.07</v>
      </c>
      <c r="E13" s="506">
        <v>59754.1</v>
      </c>
      <c r="F13" s="506" t="s">
        <v>532</v>
      </c>
      <c r="G13" s="507">
        <v>-3.5799999999999998E-2</v>
      </c>
    </row>
    <row r="14" spans="1:8" ht="16.5" x14ac:dyDescent="0.35">
      <c r="A14" s="511">
        <v>44866</v>
      </c>
      <c r="B14" s="496">
        <v>63099.65</v>
      </c>
      <c r="C14" s="506">
        <v>61065.58</v>
      </c>
      <c r="D14" s="506">
        <v>63303.01</v>
      </c>
      <c r="E14" s="506">
        <v>60425.47</v>
      </c>
      <c r="F14" s="506" t="s">
        <v>533</v>
      </c>
      <c r="G14" s="507">
        <v>3.8699999999999998E-2</v>
      </c>
    </row>
    <row r="15" spans="1:8" ht="16.5" x14ac:dyDescent="0.35">
      <c r="A15" s="511">
        <v>44835</v>
      </c>
      <c r="B15" s="496">
        <v>60746.59</v>
      </c>
      <c r="C15" s="506">
        <v>57403.92</v>
      </c>
      <c r="D15" s="506">
        <v>60786.7</v>
      </c>
      <c r="E15" s="506">
        <v>56683.4</v>
      </c>
      <c r="F15" s="506" t="s">
        <v>534</v>
      </c>
      <c r="G15" s="507">
        <v>5.7799999999999997E-2</v>
      </c>
    </row>
    <row r="16" spans="1:8" ht="16.5" x14ac:dyDescent="0.35">
      <c r="A16" s="511">
        <v>44805</v>
      </c>
      <c r="B16" s="496">
        <v>57426.92</v>
      </c>
      <c r="C16" s="506">
        <v>58710.53</v>
      </c>
      <c r="D16" s="506">
        <v>60676.12</v>
      </c>
      <c r="E16" s="506">
        <v>56147.23</v>
      </c>
      <c r="F16" s="506" t="s">
        <v>535</v>
      </c>
      <c r="G16" s="507">
        <v>-3.5400000000000001E-2</v>
      </c>
    </row>
    <row r="17" spans="1:7" ht="16.5" x14ac:dyDescent="0.35">
      <c r="A17" s="511">
        <v>44774</v>
      </c>
      <c r="B17" s="496">
        <v>59537.07</v>
      </c>
      <c r="C17" s="506">
        <v>57823.1</v>
      </c>
      <c r="D17" s="506">
        <v>60411.199999999997</v>
      </c>
      <c r="E17" s="506">
        <v>57367.47</v>
      </c>
      <c r="F17" s="506" t="s">
        <v>536</v>
      </c>
      <c r="G17" s="507">
        <v>3.4200000000000001E-2</v>
      </c>
    </row>
    <row r="18" spans="1:7" ht="16.5" x14ac:dyDescent="0.35">
      <c r="A18" s="511">
        <v>44743</v>
      </c>
      <c r="B18" s="496">
        <v>57570.25</v>
      </c>
      <c r="C18" s="506">
        <v>52863.34</v>
      </c>
      <c r="D18" s="506">
        <v>57619.27</v>
      </c>
      <c r="E18" s="506">
        <v>52094.25</v>
      </c>
      <c r="F18" s="506" t="s">
        <v>537</v>
      </c>
      <c r="G18" s="507">
        <v>8.5800000000000001E-2</v>
      </c>
    </row>
    <row r="19" spans="1:7" ht="16.5" x14ac:dyDescent="0.35">
      <c r="A19" s="511">
        <v>44713</v>
      </c>
      <c r="B19" s="496">
        <v>53018.94</v>
      </c>
      <c r="C19" s="506">
        <v>55588.27</v>
      </c>
      <c r="D19" s="506">
        <v>56432.65</v>
      </c>
      <c r="E19" s="506">
        <v>50921.22</v>
      </c>
      <c r="F19" s="506" t="s">
        <v>538</v>
      </c>
      <c r="G19" s="507">
        <v>-4.58E-2</v>
      </c>
    </row>
    <row r="20" spans="1:7" ht="16.5" x14ac:dyDescent="0.35">
      <c r="A20" s="511">
        <v>44682</v>
      </c>
      <c r="B20" s="496">
        <v>55566.41</v>
      </c>
      <c r="C20" s="506">
        <v>56429.45</v>
      </c>
      <c r="D20" s="506">
        <v>57184.21</v>
      </c>
      <c r="E20" s="506">
        <v>52632.480000000003</v>
      </c>
      <c r="F20" s="506" t="s">
        <v>539</v>
      </c>
      <c r="G20" s="507">
        <v>-2.6200000000000001E-2</v>
      </c>
    </row>
    <row r="21" spans="1:7" ht="16.5" x14ac:dyDescent="0.35">
      <c r="A21" s="511">
        <v>44652</v>
      </c>
      <c r="B21" s="496">
        <v>57060.87</v>
      </c>
      <c r="C21" s="506">
        <v>58530.73</v>
      </c>
      <c r="D21" s="506">
        <v>60845.1</v>
      </c>
      <c r="E21" s="506">
        <v>56009.07</v>
      </c>
      <c r="F21" s="506" t="s">
        <v>540</v>
      </c>
      <c r="G21" s="507">
        <v>-2.5700000000000001E-2</v>
      </c>
    </row>
    <row r="22" spans="1:7" ht="16.5" x14ac:dyDescent="0.35">
      <c r="A22" s="511">
        <v>44621</v>
      </c>
      <c r="B22" s="496">
        <v>58568.51</v>
      </c>
      <c r="C22" s="506">
        <v>55629.3</v>
      </c>
      <c r="D22" s="506">
        <v>58890.92</v>
      </c>
      <c r="E22" s="506">
        <v>52260.82</v>
      </c>
      <c r="F22" s="506" t="s">
        <v>541</v>
      </c>
      <c r="G22" s="507">
        <v>4.1300000000000003E-2</v>
      </c>
    </row>
    <row r="23" spans="1:7" ht="16.5" x14ac:dyDescent="0.35">
      <c r="A23" s="511">
        <v>44593</v>
      </c>
      <c r="B23" s="496">
        <v>56247.28</v>
      </c>
      <c r="C23" s="506">
        <v>58672.86</v>
      </c>
      <c r="D23" s="506">
        <v>59618.51</v>
      </c>
      <c r="E23" s="506">
        <v>54383.199999999997</v>
      </c>
      <c r="F23" s="506" t="s">
        <v>542</v>
      </c>
      <c r="G23" s="507">
        <v>-3.0499999999999999E-2</v>
      </c>
    </row>
    <row r="24" spans="1:7" ht="16.5" x14ac:dyDescent="0.35">
      <c r="A24" s="511">
        <v>44562</v>
      </c>
      <c r="B24" s="496">
        <v>58014.17</v>
      </c>
      <c r="C24" s="506">
        <v>58310.09</v>
      </c>
      <c r="D24" s="506">
        <v>61475.15</v>
      </c>
      <c r="E24" s="506">
        <v>56409.63</v>
      </c>
      <c r="F24" s="506" t="s">
        <v>543</v>
      </c>
      <c r="G24" s="507">
        <v>-4.1000000000000003E-3</v>
      </c>
    </row>
    <row r="25" spans="1:7" ht="16.5" x14ac:dyDescent="0.35">
      <c r="A25" s="511">
        <v>44531</v>
      </c>
      <c r="B25" s="496">
        <v>58253.82</v>
      </c>
      <c r="C25" s="506">
        <v>57365.85</v>
      </c>
      <c r="D25" s="506">
        <v>59203.37</v>
      </c>
      <c r="E25" s="506">
        <v>55132.68</v>
      </c>
      <c r="F25" s="506" t="s">
        <v>544</v>
      </c>
      <c r="G25" s="507">
        <v>2.0799999999999999E-2</v>
      </c>
    </row>
    <row r="26" spans="1:7" ht="16.5" x14ac:dyDescent="0.35">
      <c r="A26" s="511">
        <v>44501</v>
      </c>
      <c r="B26" s="496">
        <v>57064.87</v>
      </c>
      <c r="C26" s="506">
        <v>59577.48</v>
      </c>
      <c r="D26" s="506">
        <v>61036.56</v>
      </c>
      <c r="E26" s="506">
        <v>56382.93</v>
      </c>
      <c r="F26" s="506" t="s">
        <v>545</v>
      </c>
      <c r="G26" s="507">
        <v>-3.78E-2</v>
      </c>
    </row>
    <row r="27" spans="1:7" ht="16.5" x14ac:dyDescent="0.35">
      <c r="A27" s="511">
        <v>44470</v>
      </c>
      <c r="B27" s="496">
        <v>59306.93</v>
      </c>
      <c r="C27" s="506">
        <v>58889.77</v>
      </c>
      <c r="D27" s="506">
        <v>62245.43</v>
      </c>
      <c r="E27" s="506">
        <v>58551.14</v>
      </c>
      <c r="F27" s="506" t="s">
        <v>546</v>
      </c>
      <c r="G27" s="507">
        <v>3.0999999999999999E-3</v>
      </c>
    </row>
    <row r="28" spans="1:7" ht="16.5" x14ac:dyDescent="0.35">
      <c r="A28" s="511">
        <v>44440</v>
      </c>
      <c r="B28" s="496">
        <v>59126.36</v>
      </c>
      <c r="C28" s="506">
        <v>57763.53</v>
      </c>
      <c r="D28" s="506">
        <v>60412.32</v>
      </c>
      <c r="E28" s="506">
        <v>57263.9</v>
      </c>
      <c r="F28" s="506" t="s">
        <v>547</v>
      </c>
      <c r="G28" s="507">
        <v>2.7300000000000001E-2</v>
      </c>
    </row>
    <row r="29" spans="1:7" ht="16.5" x14ac:dyDescent="0.35">
      <c r="A29" s="511">
        <v>44409</v>
      </c>
      <c r="B29" s="496">
        <v>57552.39</v>
      </c>
      <c r="C29" s="506">
        <v>52901.279999999999</v>
      </c>
      <c r="D29" s="506">
        <v>57625.26</v>
      </c>
      <c r="E29" s="506">
        <v>52804.08</v>
      </c>
      <c r="F29" s="506" t="s">
        <v>548</v>
      </c>
      <c r="G29" s="507">
        <v>9.4399999999999998E-2</v>
      </c>
    </row>
    <row r="30" spans="1:7" ht="16.5" x14ac:dyDescent="0.35">
      <c r="A30" s="511">
        <v>44378</v>
      </c>
      <c r="B30" s="496">
        <v>52586.84</v>
      </c>
      <c r="C30" s="506">
        <v>52638.5</v>
      </c>
      <c r="D30" s="506">
        <v>53290.81</v>
      </c>
      <c r="E30" s="506">
        <v>51802.73</v>
      </c>
      <c r="F30" s="506" t="s">
        <v>549</v>
      </c>
      <c r="G30" s="507">
        <v>2E-3</v>
      </c>
    </row>
    <row r="31" spans="1:7" ht="16.5" x14ac:dyDescent="0.35">
      <c r="A31" s="511">
        <v>44348</v>
      </c>
      <c r="B31" s="496">
        <v>52482.71</v>
      </c>
      <c r="C31" s="506">
        <v>52067.51</v>
      </c>
      <c r="D31" s="506">
        <v>53126.73</v>
      </c>
      <c r="E31" s="506">
        <v>51450.58</v>
      </c>
      <c r="F31" s="506" t="s">
        <v>550</v>
      </c>
      <c r="G31" s="507">
        <v>1.0500000000000001E-2</v>
      </c>
    </row>
    <row r="32" spans="1:7" ht="16.5" x14ac:dyDescent="0.35">
      <c r="A32" s="511">
        <v>44317</v>
      </c>
      <c r="B32" s="496">
        <v>51937.440000000002</v>
      </c>
      <c r="C32" s="506">
        <v>48356.01</v>
      </c>
      <c r="D32" s="506">
        <v>52013.22</v>
      </c>
      <c r="E32" s="506">
        <v>48028.07</v>
      </c>
      <c r="F32" s="506" t="s">
        <v>551</v>
      </c>
      <c r="G32" s="507">
        <v>6.4699999999999994E-2</v>
      </c>
    </row>
    <row r="33" spans="1:7" ht="16.5" x14ac:dyDescent="0.35">
      <c r="A33" s="511">
        <v>44287</v>
      </c>
      <c r="B33" s="496">
        <v>48782.36</v>
      </c>
      <c r="C33" s="506">
        <v>49868.53</v>
      </c>
      <c r="D33" s="506">
        <v>50375.77</v>
      </c>
      <c r="E33" s="506">
        <v>47204.5</v>
      </c>
      <c r="F33" s="506" t="s">
        <v>552</v>
      </c>
      <c r="G33" s="507">
        <v>-1.47E-2</v>
      </c>
    </row>
    <row r="34" spans="1:7" ht="16.5" x14ac:dyDescent="0.35">
      <c r="A34" s="511">
        <v>44256</v>
      </c>
      <c r="B34" s="496">
        <v>49509.15</v>
      </c>
      <c r="C34" s="506">
        <v>49747.71</v>
      </c>
      <c r="D34" s="506">
        <v>51821.84</v>
      </c>
      <c r="E34" s="506">
        <v>48236.35</v>
      </c>
      <c r="F34" s="506" t="s">
        <v>553</v>
      </c>
      <c r="G34" s="507">
        <v>8.3000000000000001E-3</v>
      </c>
    </row>
    <row r="35" spans="1:7" ht="16.5" x14ac:dyDescent="0.35">
      <c r="A35" s="511">
        <v>44228</v>
      </c>
      <c r="B35" s="496">
        <v>49099.99</v>
      </c>
      <c r="C35" s="506">
        <v>46617.95</v>
      </c>
      <c r="D35" s="506">
        <v>52516.76</v>
      </c>
      <c r="E35" s="506">
        <v>46433.65</v>
      </c>
      <c r="F35" s="506" t="s">
        <v>554</v>
      </c>
      <c r="G35" s="507">
        <v>6.08E-2</v>
      </c>
    </row>
    <row r="36" spans="1:7" ht="16.5" x14ac:dyDescent="0.35">
      <c r="A36" s="511">
        <v>44197</v>
      </c>
      <c r="B36" s="496">
        <v>46285.77</v>
      </c>
      <c r="C36" s="506">
        <v>47785.279999999999</v>
      </c>
      <c r="D36" s="506">
        <v>50184.01</v>
      </c>
      <c r="E36" s="506">
        <v>46160.46</v>
      </c>
      <c r="F36" s="506" t="s">
        <v>555</v>
      </c>
      <c r="G36" s="507">
        <v>-3.0700000000000002E-2</v>
      </c>
    </row>
    <row r="37" spans="1:7" ht="16.5" x14ac:dyDescent="0.35">
      <c r="A37" s="511">
        <v>44166</v>
      </c>
      <c r="B37" s="496">
        <v>47751.33</v>
      </c>
      <c r="C37" s="506">
        <v>44435.83</v>
      </c>
      <c r="D37" s="506">
        <v>47896.97</v>
      </c>
      <c r="E37" s="506">
        <v>44118.1</v>
      </c>
      <c r="F37" s="506" t="s">
        <v>556</v>
      </c>
      <c r="G37" s="507">
        <v>8.1600000000000006E-2</v>
      </c>
    </row>
    <row r="38" spans="1:7" ht="16.5" x14ac:dyDescent="0.35">
      <c r="A38" s="511">
        <v>44136</v>
      </c>
      <c r="B38" s="496">
        <v>44149.72</v>
      </c>
      <c r="C38" s="506">
        <v>39880.379999999997</v>
      </c>
      <c r="D38" s="506">
        <v>44825.37</v>
      </c>
      <c r="E38" s="506">
        <v>39334.92</v>
      </c>
      <c r="F38" s="506" t="s">
        <v>557</v>
      </c>
      <c r="G38" s="507">
        <v>0.1145</v>
      </c>
    </row>
    <row r="39" spans="1:7" ht="16.5" x14ac:dyDescent="0.35">
      <c r="A39" s="511">
        <v>44105</v>
      </c>
      <c r="B39" s="496">
        <v>39614.07</v>
      </c>
      <c r="C39" s="506">
        <v>38410.199999999997</v>
      </c>
      <c r="D39" s="506">
        <v>41048.050000000003</v>
      </c>
      <c r="E39" s="506">
        <v>38410.199999999997</v>
      </c>
      <c r="F39" s="506" t="s">
        <v>558</v>
      </c>
      <c r="G39" s="507">
        <v>4.0599999999999997E-2</v>
      </c>
    </row>
    <row r="40" spans="1:7" ht="16.5" x14ac:dyDescent="0.35">
      <c r="A40" s="511">
        <v>44075</v>
      </c>
      <c r="B40" s="496">
        <v>38067.93</v>
      </c>
      <c r="C40" s="506">
        <v>38754</v>
      </c>
      <c r="D40" s="506">
        <v>39359.51</v>
      </c>
      <c r="E40" s="506">
        <v>36495.980000000003</v>
      </c>
      <c r="F40" s="506" t="s">
        <v>559</v>
      </c>
      <c r="G40" s="507">
        <v>-1.4500000000000001E-2</v>
      </c>
    </row>
    <row r="41" spans="1:7" ht="16.5" x14ac:dyDescent="0.35">
      <c r="A41" s="511">
        <v>44044</v>
      </c>
      <c r="B41" s="496">
        <v>38628.29</v>
      </c>
      <c r="C41" s="506">
        <v>37595.730000000003</v>
      </c>
      <c r="D41" s="506">
        <v>40010.17</v>
      </c>
      <c r="E41" s="506">
        <v>36911.230000000003</v>
      </c>
      <c r="F41" s="506" t="s">
        <v>560</v>
      </c>
      <c r="G41" s="507">
        <v>2.7199999999999998E-2</v>
      </c>
    </row>
    <row r="42" spans="1:7" ht="16.5" x14ac:dyDescent="0.35">
      <c r="A42" s="511">
        <v>44013</v>
      </c>
      <c r="B42" s="496">
        <v>37606.89</v>
      </c>
      <c r="C42" s="506">
        <v>35009.589999999997</v>
      </c>
      <c r="D42" s="506">
        <v>38617.03</v>
      </c>
      <c r="E42" s="506">
        <v>34927.199999999997</v>
      </c>
      <c r="F42" s="506" t="s">
        <v>561</v>
      </c>
      <c r="G42" s="507">
        <v>7.7100000000000002E-2</v>
      </c>
    </row>
    <row r="43" spans="1:7" ht="16.5" x14ac:dyDescent="0.35">
      <c r="A43" s="511">
        <v>43983</v>
      </c>
      <c r="B43" s="496">
        <v>34915.800000000003</v>
      </c>
      <c r="C43" s="506">
        <v>32906.050000000003</v>
      </c>
      <c r="D43" s="506">
        <v>35706.550000000003</v>
      </c>
      <c r="E43" s="506">
        <v>32348.1</v>
      </c>
      <c r="F43" s="506" t="s">
        <v>562</v>
      </c>
      <c r="G43" s="507">
        <v>7.6799999999999993E-2</v>
      </c>
    </row>
    <row r="44" spans="1:7" ht="16.5" x14ac:dyDescent="0.35">
      <c r="A44" s="511">
        <v>43952</v>
      </c>
      <c r="B44" s="496">
        <v>32424.1</v>
      </c>
      <c r="C44" s="506">
        <v>32748.14</v>
      </c>
      <c r="D44" s="506">
        <v>32845.480000000003</v>
      </c>
      <c r="E44" s="506">
        <v>29968.45</v>
      </c>
      <c r="F44" s="506" t="s">
        <v>563</v>
      </c>
      <c r="G44" s="507">
        <v>-3.8399999999999997E-2</v>
      </c>
    </row>
    <row r="45" spans="1:7" ht="16.5" x14ac:dyDescent="0.35">
      <c r="A45" s="511">
        <v>43922</v>
      </c>
      <c r="B45" s="496">
        <v>33717.620000000003</v>
      </c>
      <c r="C45" s="506">
        <v>29505.33</v>
      </c>
      <c r="D45" s="506">
        <v>33887.25</v>
      </c>
      <c r="E45" s="506">
        <v>27500.79</v>
      </c>
      <c r="F45" s="506" t="s">
        <v>564</v>
      </c>
      <c r="G45" s="507">
        <v>0.14419999999999999</v>
      </c>
    </row>
    <row r="46" spans="1:7" ht="16.5" x14ac:dyDescent="0.35">
      <c r="A46" s="511">
        <v>43891</v>
      </c>
      <c r="B46" s="496">
        <v>29468.49</v>
      </c>
      <c r="C46" s="506">
        <v>38910.949999999997</v>
      </c>
      <c r="D46" s="506">
        <v>39083.17</v>
      </c>
      <c r="E46" s="506">
        <v>25638.9</v>
      </c>
      <c r="F46" s="506" t="s">
        <v>565</v>
      </c>
      <c r="G46" s="507">
        <v>-0.23050000000000001</v>
      </c>
    </row>
    <row r="47" spans="1:7" ht="16.5" x14ac:dyDescent="0.35">
      <c r="A47" s="511">
        <v>43862</v>
      </c>
      <c r="B47" s="496">
        <v>38297.29</v>
      </c>
      <c r="C47" s="506">
        <v>40753.18</v>
      </c>
      <c r="D47" s="506">
        <v>41709.300000000003</v>
      </c>
      <c r="E47" s="506">
        <v>38219.97</v>
      </c>
      <c r="F47" s="506" t="s">
        <v>566</v>
      </c>
      <c r="G47" s="507">
        <v>-5.96E-2</v>
      </c>
    </row>
    <row r="48" spans="1:7" ht="16.5" x14ac:dyDescent="0.35">
      <c r="A48" s="511">
        <v>43831</v>
      </c>
      <c r="B48" s="496">
        <v>40723.49</v>
      </c>
      <c r="C48" s="506">
        <v>41349.360000000001</v>
      </c>
      <c r="D48" s="506">
        <v>42273.87</v>
      </c>
      <c r="E48" s="506">
        <v>40476.550000000003</v>
      </c>
      <c r="F48" s="506" t="s">
        <v>567</v>
      </c>
      <c r="G48" s="507">
        <v>-1.29E-2</v>
      </c>
    </row>
    <row r="49" spans="1:7" ht="16.5" x14ac:dyDescent="0.35">
      <c r="A49" s="511">
        <v>43800</v>
      </c>
      <c r="B49" s="496">
        <v>41253.74</v>
      </c>
      <c r="C49" s="506">
        <v>41072.94</v>
      </c>
      <c r="D49" s="506">
        <v>41809.96</v>
      </c>
      <c r="E49" s="506">
        <v>40135.370000000003</v>
      </c>
      <c r="F49" s="506" t="s">
        <v>568</v>
      </c>
      <c r="G49" s="507">
        <v>1.1299999999999999E-2</v>
      </c>
    </row>
    <row r="50" spans="1:7" ht="16.5" x14ac:dyDescent="0.35">
      <c r="A50" s="511">
        <v>43770</v>
      </c>
      <c r="B50" s="496">
        <v>40793.81</v>
      </c>
      <c r="C50" s="506">
        <v>40196.07</v>
      </c>
      <c r="D50" s="506">
        <v>41163.79</v>
      </c>
      <c r="E50" s="506">
        <v>40014.230000000003</v>
      </c>
      <c r="F50" s="506" t="s">
        <v>569</v>
      </c>
      <c r="G50" s="507">
        <v>1.66E-2</v>
      </c>
    </row>
    <row r="51" spans="1:7" ht="16.5" x14ac:dyDescent="0.35">
      <c r="A51" s="511">
        <v>43739</v>
      </c>
      <c r="B51" s="496">
        <v>40129.050000000003</v>
      </c>
      <c r="C51" s="506">
        <v>38813.480000000003</v>
      </c>
      <c r="D51" s="506">
        <v>40392.22</v>
      </c>
      <c r="E51" s="506">
        <v>37415.83</v>
      </c>
      <c r="F51" s="506" t="s">
        <v>570</v>
      </c>
      <c r="G51" s="507">
        <v>3.78E-2</v>
      </c>
    </row>
    <row r="52" spans="1:7" ht="16.5" x14ac:dyDescent="0.35">
      <c r="A52" s="511">
        <v>43709</v>
      </c>
      <c r="B52" s="496">
        <v>38667.33</v>
      </c>
      <c r="C52" s="506">
        <v>37181.760000000002</v>
      </c>
      <c r="D52" s="506">
        <v>39441.120000000003</v>
      </c>
      <c r="E52" s="506">
        <v>35987.800000000003</v>
      </c>
      <c r="F52" s="506" t="s">
        <v>571</v>
      </c>
      <c r="G52" s="507">
        <v>3.5700000000000003E-2</v>
      </c>
    </row>
    <row r="53" spans="1:7" ht="16.5" x14ac:dyDescent="0.35">
      <c r="A53" s="511">
        <v>43678</v>
      </c>
      <c r="B53" s="496">
        <v>37332.79</v>
      </c>
      <c r="C53" s="506">
        <v>37387.18</v>
      </c>
      <c r="D53" s="506">
        <v>37807.550000000003</v>
      </c>
      <c r="E53" s="506">
        <v>36102.35</v>
      </c>
      <c r="F53" s="506" t="s">
        <v>572</v>
      </c>
      <c r="G53" s="507">
        <v>-4.0000000000000001E-3</v>
      </c>
    </row>
    <row r="54" spans="1:7" ht="16.5" x14ac:dyDescent="0.35">
      <c r="A54" s="511">
        <v>43647</v>
      </c>
      <c r="B54" s="496">
        <v>37481.120000000003</v>
      </c>
      <c r="C54" s="506">
        <v>39543.730000000003</v>
      </c>
      <c r="D54" s="506">
        <v>40032.410000000003</v>
      </c>
      <c r="E54" s="506">
        <v>37128.26</v>
      </c>
      <c r="F54" s="506" t="s">
        <v>573</v>
      </c>
      <c r="G54" s="507">
        <v>-4.8599999999999997E-2</v>
      </c>
    </row>
    <row r="55" spans="1:7" ht="16.5" x14ac:dyDescent="0.35">
      <c r="A55" s="511">
        <v>43617</v>
      </c>
      <c r="B55" s="496">
        <v>39394.639999999999</v>
      </c>
      <c r="C55" s="506">
        <v>39806.86</v>
      </c>
      <c r="D55" s="506">
        <v>40312.07</v>
      </c>
      <c r="E55" s="506">
        <v>38870.959999999999</v>
      </c>
      <c r="F55" s="506" t="s">
        <v>574</v>
      </c>
      <c r="G55" s="507">
        <v>-8.0000000000000002E-3</v>
      </c>
    </row>
    <row r="56" spans="1:7" ht="16.5" x14ac:dyDescent="0.35">
      <c r="A56" s="511">
        <v>43586</v>
      </c>
      <c r="B56" s="496">
        <v>39714.199999999997</v>
      </c>
      <c r="C56" s="506">
        <v>39036.51</v>
      </c>
      <c r="D56" s="506">
        <v>40124.959999999999</v>
      </c>
      <c r="E56" s="506">
        <v>36956.1</v>
      </c>
      <c r="F56" s="506" t="s">
        <v>575</v>
      </c>
      <c r="G56" s="507">
        <v>1.7500000000000002E-2</v>
      </c>
    </row>
    <row r="57" spans="1:7" ht="16.5" x14ac:dyDescent="0.35">
      <c r="A57" s="511">
        <v>43556</v>
      </c>
      <c r="B57" s="496">
        <v>39031.550000000003</v>
      </c>
      <c r="C57" s="506">
        <v>38858.879999999997</v>
      </c>
      <c r="D57" s="506">
        <v>39487.449999999997</v>
      </c>
      <c r="E57" s="506">
        <v>38460.25</v>
      </c>
      <c r="F57" s="506" t="s">
        <v>576</v>
      </c>
      <c r="G57" s="507">
        <v>9.2999999999999992E-3</v>
      </c>
    </row>
    <row r="58" spans="1:7" ht="16.5" x14ac:dyDescent="0.35">
      <c r="A58" s="511">
        <v>43525</v>
      </c>
      <c r="B58" s="496">
        <v>38672.910000000003</v>
      </c>
      <c r="C58" s="506">
        <v>36018.49</v>
      </c>
      <c r="D58" s="506">
        <v>38748.54</v>
      </c>
      <c r="E58" s="506">
        <v>35926.94</v>
      </c>
      <c r="F58" s="506" t="s">
        <v>577</v>
      </c>
      <c r="G58" s="507">
        <v>7.8200000000000006E-2</v>
      </c>
    </row>
    <row r="59" spans="1:7" ht="16.5" x14ac:dyDescent="0.35">
      <c r="A59" s="511">
        <v>43497</v>
      </c>
      <c r="B59" s="496">
        <v>35867.440000000002</v>
      </c>
      <c r="C59" s="506">
        <v>36311.74</v>
      </c>
      <c r="D59" s="506">
        <v>37172.18</v>
      </c>
      <c r="E59" s="506">
        <v>35287.160000000003</v>
      </c>
      <c r="F59" s="506" t="s">
        <v>578</v>
      </c>
      <c r="G59" s="507">
        <v>-1.0699999999999999E-2</v>
      </c>
    </row>
    <row r="60" spans="1:7" ht="16.5" x14ac:dyDescent="0.35">
      <c r="A60" s="511">
        <v>43466</v>
      </c>
      <c r="B60" s="496">
        <v>36256.69</v>
      </c>
      <c r="C60" s="506">
        <v>36161.800000000003</v>
      </c>
      <c r="D60" s="506">
        <v>36701.03</v>
      </c>
      <c r="E60" s="506">
        <v>35375.51</v>
      </c>
      <c r="F60" s="506" t="s">
        <v>579</v>
      </c>
      <c r="G60" s="507">
        <v>5.1999999999999998E-3</v>
      </c>
    </row>
    <row r="61" spans="1:7" ht="16.5" x14ac:dyDescent="0.35">
      <c r="A61" s="511">
        <v>43435</v>
      </c>
      <c r="B61" s="496">
        <v>36068.33</v>
      </c>
      <c r="C61" s="506">
        <v>36396.69</v>
      </c>
      <c r="D61" s="506">
        <v>36554.99</v>
      </c>
      <c r="E61" s="506">
        <v>34426.29</v>
      </c>
      <c r="F61" s="506" t="s">
        <v>580</v>
      </c>
      <c r="G61" s="507">
        <v>-3.5000000000000001E-3</v>
      </c>
    </row>
    <row r="62" spans="1:7" ht="16.5" x14ac:dyDescent="0.35">
      <c r="A62" s="511">
        <v>43405</v>
      </c>
      <c r="B62" s="496">
        <v>36194.300000000003</v>
      </c>
      <c r="C62" s="506">
        <v>34650.629999999997</v>
      </c>
      <c r="D62" s="506">
        <v>36389.22</v>
      </c>
      <c r="E62" s="506">
        <v>34303.379999999997</v>
      </c>
      <c r="F62" s="506" t="s">
        <v>581</v>
      </c>
      <c r="G62" s="507">
        <v>5.0900000000000001E-2</v>
      </c>
    </row>
    <row r="63" spans="1:7" ht="16.5" x14ac:dyDescent="0.35">
      <c r="A63" s="511">
        <v>43374</v>
      </c>
      <c r="B63" s="496">
        <v>34442.050000000003</v>
      </c>
      <c r="C63" s="506">
        <v>36274.25</v>
      </c>
      <c r="D63" s="506">
        <v>36616.639999999999</v>
      </c>
      <c r="E63" s="506">
        <v>33291.58</v>
      </c>
      <c r="F63" s="506" t="s">
        <v>582</v>
      </c>
      <c r="G63" s="507">
        <v>-4.9299999999999997E-2</v>
      </c>
    </row>
    <row r="64" spans="1:7" ht="16.5" x14ac:dyDescent="0.35">
      <c r="A64" s="511">
        <v>43344</v>
      </c>
      <c r="B64" s="496">
        <v>36227.14</v>
      </c>
      <c r="C64" s="506">
        <v>38915.910000000003</v>
      </c>
      <c r="D64" s="506">
        <v>38934.35</v>
      </c>
      <c r="E64" s="506">
        <v>35985.629999999997</v>
      </c>
      <c r="F64" s="506" t="s">
        <v>583</v>
      </c>
      <c r="G64" s="507">
        <v>-6.2600000000000003E-2</v>
      </c>
    </row>
    <row r="65" spans="1:7" ht="16.5" x14ac:dyDescent="0.35">
      <c r="A65" s="511">
        <v>43313</v>
      </c>
      <c r="B65" s="496">
        <v>38645.07</v>
      </c>
      <c r="C65" s="506">
        <v>37643.870000000003</v>
      </c>
      <c r="D65" s="506">
        <v>38989.65</v>
      </c>
      <c r="E65" s="506">
        <v>37128.99</v>
      </c>
      <c r="F65" s="506" t="s">
        <v>584</v>
      </c>
      <c r="G65" s="507">
        <v>2.76E-2</v>
      </c>
    </row>
    <row r="66" spans="1:7" ht="16.5" x14ac:dyDescent="0.35">
      <c r="A66" s="511">
        <v>43282</v>
      </c>
      <c r="B66" s="496">
        <v>37606.58</v>
      </c>
      <c r="C66" s="506">
        <v>35545.22</v>
      </c>
      <c r="D66" s="506">
        <v>37644.589999999997</v>
      </c>
      <c r="E66" s="506">
        <v>35106.57</v>
      </c>
      <c r="F66" s="506" t="s">
        <v>585</v>
      </c>
      <c r="G66" s="507">
        <v>6.1600000000000002E-2</v>
      </c>
    </row>
    <row r="67" spans="1:7" ht="16.5" x14ac:dyDescent="0.35">
      <c r="A67" s="511">
        <v>43252</v>
      </c>
      <c r="B67" s="496">
        <v>35423.480000000003</v>
      </c>
      <c r="C67" s="506">
        <v>35373.980000000003</v>
      </c>
      <c r="D67" s="506">
        <v>35877.410000000003</v>
      </c>
      <c r="E67" s="506">
        <v>34784.68</v>
      </c>
      <c r="F67" s="506" t="s">
        <v>586</v>
      </c>
      <c r="G67" s="507">
        <v>2.8999999999999998E-3</v>
      </c>
    </row>
    <row r="68" spans="1:7" ht="16.5" x14ac:dyDescent="0.35">
      <c r="A68" s="511">
        <v>43221</v>
      </c>
      <c r="B68" s="496">
        <v>35322.379999999997</v>
      </c>
      <c r="C68" s="506">
        <v>35328.910000000003</v>
      </c>
      <c r="D68" s="506">
        <v>35993.53</v>
      </c>
      <c r="E68" s="506">
        <v>34302.89</v>
      </c>
      <c r="F68" s="506" t="s">
        <v>587</v>
      </c>
      <c r="G68" s="507">
        <v>4.5999999999999999E-3</v>
      </c>
    </row>
    <row r="69" spans="1:7" ht="16.5" x14ac:dyDescent="0.35">
      <c r="A69" s="511">
        <v>43191</v>
      </c>
      <c r="B69" s="496">
        <v>35160.36</v>
      </c>
      <c r="C69" s="506">
        <v>33030.870000000003</v>
      </c>
      <c r="D69" s="506">
        <v>35213.300000000003</v>
      </c>
      <c r="E69" s="506">
        <v>32972.559999999998</v>
      </c>
      <c r="F69" s="506" t="s">
        <v>588</v>
      </c>
      <c r="G69" s="507">
        <v>6.6500000000000004E-2</v>
      </c>
    </row>
    <row r="70" spans="1:7" ht="16.5" x14ac:dyDescent="0.35">
      <c r="A70" s="511">
        <v>43160</v>
      </c>
      <c r="B70" s="496">
        <v>32968.68</v>
      </c>
      <c r="C70" s="506">
        <v>34141.22</v>
      </c>
      <c r="D70" s="506">
        <v>34278.629999999997</v>
      </c>
      <c r="E70" s="506">
        <v>32483.84</v>
      </c>
      <c r="F70" s="506" t="s">
        <v>589</v>
      </c>
      <c r="G70" s="507">
        <v>-3.56E-2</v>
      </c>
    </row>
    <row r="71" spans="1:7" ht="16.5" x14ac:dyDescent="0.35">
      <c r="A71" s="511">
        <v>43132</v>
      </c>
      <c r="B71" s="496">
        <v>34184.04</v>
      </c>
      <c r="C71" s="506">
        <v>36048.99</v>
      </c>
      <c r="D71" s="506">
        <v>36256.83</v>
      </c>
      <c r="E71" s="506">
        <v>33482.81</v>
      </c>
      <c r="F71" s="506" t="s">
        <v>590</v>
      </c>
      <c r="G71" s="507">
        <v>-4.9500000000000002E-2</v>
      </c>
    </row>
    <row r="72" spans="1:7" ht="16.5" x14ac:dyDescent="0.35">
      <c r="A72" s="511">
        <v>43101</v>
      </c>
      <c r="B72" s="496">
        <v>35965.019999999997</v>
      </c>
      <c r="C72" s="506">
        <v>34059.99</v>
      </c>
      <c r="D72" s="506">
        <v>36443.980000000003</v>
      </c>
      <c r="E72" s="506">
        <v>33703.370000000003</v>
      </c>
      <c r="F72" s="506" t="s">
        <v>591</v>
      </c>
      <c r="G72" s="507">
        <v>5.6000000000000001E-2</v>
      </c>
    </row>
    <row r="73" spans="1:7" ht="16.5" x14ac:dyDescent="0.35">
      <c r="A73" s="511">
        <v>43070</v>
      </c>
      <c r="B73" s="496">
        <v>34056.83</v>
      </c>
      <c r="C73" s="506">
        <v>33247.660000000003</v>
      </c>
      <c r="D73" s="506">
        <v>34137.97</v>
      </c>
      <c r="E73" s="506">
        <v>32565.16</v>
      </c>
      <c r="F73" s="506" t="s">
        <v>592</v>
      </c>
      <c r="G73" s="507">
        <v>2.7400000000000001E-2</v>
      </c>
    </row>
    <row r="74" spans="1:7" ht="16.5" x14ac:dyDescent="0.35">
      <c r="A74" s="511">
        <v>43040</v>
      </c>
      <c r="B74" s="496">
        <v>33149.35</v>
      </c>
      <c r="C74" s="506">
        <v>33344.230000000003</v>
      </c>
      <c r="D74" s="506">
        <v>33865.949999999997</v>
      </c>
      <c r="E74" s="506">
        <v>32683.59</v>
      </c>
      <c r="F74" s="506" t="s">
        <v>593</v>
      </c>
      <c r="G74" s="507">
        <v>-1.9E-3</v>
      </c>
    </row>
    <row r="75" spans="1:7" ht="16.5" x14ac:dyDescent="0.35">
      <c r="A75" s="511">
        <v>43009</v>
      </c>
      <c r="B75" s="496">
        <v>33213.129999999997</v>
      </c>
      <c r="C75" s="506">
        <v>31537.81</v>
      </c>
      <c r="D75" s="506">
        <v>33340.17</v>
      </c>
      <c r="E75" s="506">
        <v>31440.48</v>
      </c>
      <c r="F75" s="506" t="s">
        <v>594</v>
      </c>
      <c r="G75" s="507">
        <v>6.1699999999999998E-2</v>
      </c>
    </row>
    <row r="76" spans="1:7" ht="16.5" x14ac:dyDescent="0.35">
      <c r="A76" s="511">
        <v>42979</v>
      </c>
      <c r="B76" s="496">
        <v>31283.72</v>
      </c>
      <c r="C76" s="506">
        <v>31769.34</v>
      </c>
      <c r="D76" s="506">
        <v>32524.11</v>
      </c>
      <c r="E76" s="506">
        <v>31081.83</v>
      </c>
      <c r="F76" s="506" t="s">
        <v>595</v>
      </c>
      <c r="G76" s="507">
        <v>-1.41E-2</v>
      </c>
    </row>
    <row r="77" spans="1:7" ht="16.5" x14ac:dyDescent="0.35">
      <c r="A77" s="511">
        <v>42948</v>
      </c>
      <c r="B77" s="496">
        <v>31730.49</v>
      </c>
      <c r="C77" s="506">
        <v>32579.8</v>
      </c>
      <c r="D77" s="506">
        <v>32686.48</v>
      </c>
      <c r="E77" s="506">
        <v>31128.02</v>
      </c>
      <c r="F77" s="506" t="s">
        <v>596</v>
      </c>
      <c r="G77" s="507">
        <v>-2.41E-2</v>
      </c>
    </row>
    <row r="78" spans="1:7" ht="16.5" x14ac:dyDescent="0.35">
      <c r="A78" s="511">
        <v>42917</v>
      </c>
      <c r="B78" s="496">
        <v>32514.94</v>
      </c>
      <c r="C78" s="506">
        <v>31156.04</v>
      </c>
      <c r="D78" s="506">
        <v>32672.66</v>
      </c>
      <c r="E78" s="506">
        <v>31017.11</v>
      </c>
      <c r="F78" s="506" t="s">
        <v>597</v>
      </c>
      <c r="G78" s="507">
        <v>5.1499999999999997E-2</v>
      </c>
    </row>
    <row r="79" spans="1:7" ht="16.5" x14ac:dyDescent="0.35">
      <c r="A79" s="511">
        <v>42887</v>
      </c>
      <c r="B79" s="496">
        <v>30921.61</v>
      </c>
      <c r="C79" s="506">
        <v>31117.09</v>
      </c>
      <c r="D79" s="506">
        <v>31522.87</v>
      </c>
      <c r="E79" s="506">
        <v>30680.66</v>
      </c>
      <c r="F79" s="506" t="s">
        <v>598</v>
      </c>
      <c r="G79" s="507">
        <v>-7.1999999999999998E-3</v>
      </c>
    </row>
    <row r="80" spans="1:7" ht="16.5" x14ac:dyDescent="0.35">
      <c r="A80" s="511">
        <v>42856</v>
      </c>
      <c r="B80" s="496">
        <v>31145.8</v>
      </c>
      <c r="C80" s="506">
        <v>30021.49</v>
      </c>
      <c r="D80" s="506">
        <v>31255.279999999999</v>
      </c>
      <c r="E80" s="506">
        <v>29804.12</v>
      </c>
      <c r="F80" s="506" t="s">
        <v>599</v>
      </c>
      <c r="G80" s="507">
        <v>4.1000000000000002E-2</v>
      </c>
    </row>
    <row r="81" spans="1:7" ht="16.5" x14ac:dyDescent="0.35">
      <c r="A81" s="511">
        <v>42826</v>
      </c>
      <c r="B81" s="496">
        <v>29918.400000000001</v>
      </c>
      <c r="C81" s="506">
        <v>29737.73</v>
      </c>
      <c r="D81" s="506">
        <v>30184.22</v>
      </c>
      <c r="E81" s="506">
        <v>29241.48</v>
      </c>
      <c r="F81" s="506" t="s">
        <v>600</v>
      </c>
      <c r="G81" s="507">
        <v>1.01E-2</v>
      </c>
    </row>
    <row r="82" spans="1:7" ht="16.5" x14ac:dyDescent="0.35">
      <c r="A82" s="511">
        <v>42795</v>
      </c>
      <c r="B82" s="496">
        <v>29620.5</v>
      </c>
      <c r="C82" s="506">
        <v>28849.040000000001</v>
      </c>
      <c r="D82" s="506">
        <v>29824.62</v>
      </c>
      <c r="E82" s="506">
        <v>28716.21</v>
      </c>
      <c r="F82" s="506" t="s">
        <v>601</v>
      </c>
      <c r="G82" s="507">
        <v>3.0499999999999999E-2</v>
      </c>
    </row>
    <row r="83" spans="1:7" ht="16.5" x14ac:dyDescent="0.35">
      <c r="A83" s="511">
        <v>42767</v>
      </c>
      <c r="B83" s="496">
        <v>28743.32</v>
      </c>
      <c r="C83" s="506">
        <v>27669.08</v>
      </c>
      <c r="D83" s="506">
        <v>29065.31</v>
      </c>
      <c r="E83" s="506">
        <v>27590.1</v>
      </c>
      <c r="F83" s="506" t="s">
        <v>602</v>
      </c>
      <c r="G83" s="507">
        <v>3.9300000000000002E-2</v>
      </c>
    </row>
    <row r="84" spans="1:7" ht="16.5" x14ac:dyDescent="0.35">
      <c r="A84" s="511">
        <v>42736</v>
      </c>
      <c r="B84" s="496">
        <v>27655.96</v>
      </c>
      <c r="C84" s="506">
        <v>26711.15</v>
      </c>
      <c r="D84" s="506">
        <v>27980.39</v>
      </c>
      <c r="E84" s="506">
        <v>26447.06</v>
      </c>
      <c r="F84" s="506" t="s">
        <v>603</v>
      </c>
      <c r="G84" s="507">
        <v>3.8699999999999998E-2</v>
      </c>
    </row>
    <row r="85" spans="1:7" ht="16.5" x14ac:dyDescent="0.35">
      <c r="A85" s="511">
        <v>42705</v>
      </c>
      <c r="B85" s="496">
        <v>26626.46</v>
      </c>
      <c r="C85" s="506">
        <v>26756.66</v>
      </c>
      <c r="D85" s="506">
        <v>26803.759999999998</v>
      </c>
      <c r="E85" s="506">
        <v>25753.74</v>
      </c>
      <c r="F85" s="506" t="s">
        <v>604</v>
      </c>
      <c r="G85" s="507">
        <v>-1E-3</v>
      </c>
    </row>
    <row r="86" spans="1:7" ht="16.5" x14ac:dyDescent="0.35">
      <c r="A86" s="511">
        <v>42675</v>
      </c>
      <c r="B86" s="496">
        <v>26652.81</v>
      </c>
      <c r="C86" s="506">
        <v>27966.18</v>
      </c>
      <c r="D86" s="506">
        <v>28029.8</v>
      </c>
      <c r="E86" s="506">
        <v>25717.93</v>
      </c>
      <c r="F86" s="506" t="s">
        <v>605</v>
      </c>
      <c r="G86" s="507">
        <v>-4.5699999999999998E-2</v>
      </c>
    </row>
    <row r="87" spans="1:7" ht="16.5" x14ac:dyDescent="0.35">
      <c r="A87" s="511">
        <v>42644</v>
      </c>
      <c r="B87" s="496">
        <v>27930.21</v>
      </c>
      <c r="C87" s="506">
        <v>27997.29</v>
      </c>
      <c r="D87" s="506">
        <v>28477.65</v>
      </c>
      <c r="E87" s="506">
        <v>27488.3</v>
      </c>
      <c r="F87" s="506" t="s">
        <v>606</v>
      </c>
      <c r="G87" s="507">
        <v>2.3E-3</v>
      </c>
    </row>
    <row r="88" spans="1:7" ht="16.5" x14ac:dyDescent="0.35">
      <c r="A88" s="511">
        <v>42614</v>
      </c>
      <c r="B88" s="496">
        <v>27865.96</v>
      </c>
      <c r="C88" s="506">
        <v>28459.09</v>
      </c>
      <c r="D88" s="506">
        <v>29077.279999999999</v>
      </c>
      <c r="E88" s="506">
        <v>27716.78</v>
      </c>
      <c r="F88" s="506" t="s">
        <v>607</v>
      </c>
      <c r="G88" s="507">
        <v>-2.06E-2</v>
      </c>
    </row>
    <row r="89" spans="1:7" ht="16.5" x14ac:dyDescent="0.35">
      <c r="A89" s="511">
        <v>42583</v>
      </c>
      <c r="B89" s="496">
        <v>28452.17</v>
      </c>
      <c r="C89" s="506">
        <v>28083.08</v>
      </c>
      <c r="D89" s="506">
        <v>28532.25</v>
      </c>
      <c r="E89" s="506">
        <v>27627.97</v>
      </c>
      <c r="F89" s="506" t="s">
        <v>608</v>
      </c>
      <c r="G89" s="507">
        <v>1.43E-2</v>
      </c>
    </row>
    <row r="90" spans="1:7" ht="16.5" x14ac:dyDescent="0.35">
      <c r="A90" s="511">
        <v>42552</v>
      </c>
      <c r="B90" s="496">
        <v>28051.86</v>
      </c>
      <c r="C90" s="506">
        <v>27064.33</v>
      </c>
      <c r="D90" s="506">
        <v>28240.2</v>
      </c>
      <c r="E90" s="506">
        <v>27034.14</v>
      </c>
      <c r="F90" s="506" t="s">
        <v>609</v>
      </c>
      <c r="G90" s="507">
        <v>3.9E-2</v>
      </c>
    </row>
    <row r="91" spans="1:7" ht="16.5" x14ac:dyDescent="0.35">
      <c r="A91" s="511">
        <v>42522</v>
      </c>
      <c r="B91" s="496">
        <v>26999.72</v>
      </c>
      <c r="C91" s="506">
        <v>26684.46</v>
      </c>
      <c r="D91" s="506">
        <v>27105.41</v>
      </c>
      <c r="E91" s="506">
        <v>25911.33</v>
      </c>
      <c r="F91" s="506" t="s">
        <v>610</v>
      </c>
      <c r="G91" s="507">
        <v>1.24E-2</v>
      </c>
    </row>
    <row r="92" spans="1:7" ht="16.5" x14ac:dyDescent="0.35">
      <c r="A92" s="511">
        <v>42491</v>
      </c>
      <c r="B92" s="496">
        <v>26667.96</v>
      </c>
      <c r="C92" s="506">
        <v>25565.439999999999</v>
      </c>
      <c r="D92" s="506">
        <v>26837.200000000001</v>
      </c>
      <c r="E92" s="506">
        <v>25057.93</v>
      </c>
      <c r="F92" s="506" t="s">
        <v>611</v>
      </c>
      <c r="G92" s="507">
        <v>4.1399999999999999E-2</v>
      </c>
    </row>
    <row r="93" spans="1:7" ht="16.5" x14ac:dyDescent="0.35">
      <c r="A93" s="511">
        <v>42461</v>
      </c>
      <c r="B93" s="496">
        <v>25606.62</v>
      </c>
      <c r="C93" s="506">
        <v>25301.7</v>
      </c>
      <c r="D93" s="506">
        <v>26100.54</v>
      </c>
      <c r="E93" s="506">
        <v>24523.200000000001</v>
      </c>
      <c r="F93" s="506" t="s">
        <v>612</v>
      </c>
      <c r="G93" s="507">
        <v>1.04E-2</v>
      </c>
    </row>
    <row r="94" spans="1:7" ht="16.5" x14ac:dyDescent="0.35">
      <c r="A94" s="511">
        <v>42430</v>
      </c>
      <c r="B94" s="496">
        <v>25341.86</v>
      </c>
      <c r="C94" s="506">
        <v>23153.32</v>
      </c>
      <c r="D94" s="506">
        <v>25479.62</v>
      </c>
      <c r="E94" s="506">
        <v>23133.18</v>
      </c>
      <c r="F94" s="506" t="s">
        <v>613</v>
      </c>
      <c r="G94" s="507">
        <v>0.1017</v>
      </c>
    </row>
    <row r="95" spans="1:7" ht="16.5" x14ac:dyDescent="0.35">
      <c r="A95" s="511">
        <v>42401</v>
      </c>
      <c r="B95" s="496">
        <v>23002</v>
      </c>
      <c r="C95" s="506">
        <v>24982.22</v>
      </c>
      <c r="D95" s="506">
        <v>25002.32</v>
      </c>
      <c r="E95" s="506">
        <v>22494.61</v>
      </c>
      <c r="F95" s="506" t="s">
        <v>614</v>
      </c>
      <c r="G95" s="507">
        <v>-7.51E-2</v>
      </c>
    </row>
    <row r="96" spans="1:7" ht="16.5" x14ac:dyDescent="0.35">
      <c r="A96" s="511">
        <v>42370</v>
      </c>
      <c r="B96" s="496">
        <v>24870.69</v>
      </c>
      <c r="C96" s="506">
        <v>26101.5</v>
      </c>
      <c r="D96" s="506">
        <v>26197.27</v>
      </c>
      <c r="E96" s="506">
        <v>23839.759999999998</v>
      </c>
      <c r="F96" s="506" t="s">
        <v>615</v>
      </c>
      <c r="G96" s="507">
        <v>-4.7699999999999999E-2</v>
      </c>
    </row>
    <row r="97" spans="1:7" ht="16.5" x14ac:dyDescent="0.35">
      <c r="A97" s="511">
        <v>42339</v>
      </c>
      <c r="B97" s="496">
        <v>26117.54</v>
      </c>
      <c r="C97" s="506">
        <v>26201.27</v>
      </c>
      <c r="D97" s="506">
        <v>26256.42</v>
      </c>
      <c r="E97" s="506">
        <v>24867.73</v>
      </c>
      <c r="F97" s="506" t="s">
        <v>616</v>
      </c>
      <c r="G97" s="507">
        <v>-1.1000000000000001E-3</v>
      </c>
    </row>
    <row r="98" spans="1:7" ht="16.5" x14ac:dyDescent="0.35">
      <c r="A98" s="511">
        <v>42309</v>
      </c>
      <c r="B98" s="496">
        <v>26145.67</v>
      </c>
      <c r="C98" s="506">
        <v>26641.69</v>
      </c>
      <c r="D98" s="506">
        <v>26824.3</v>
      </c>
      <c r="E98" s="506">
        <v>25451.42</v>
      </c>
      <c r="F98" s="506" t="s">
        <v>617</v>
      </c>
      <c r="G98" s="507">
        <v>-1.9199999999999998E-2</v>
      </c>
    </row>
    <row r="99" spans="1:7" ht="16.5" x14ac:dyDescent="0.35">
      <c r="A99" s="511">
        <v>42278</v>
      </c>
      <c r="B99" s="496">
        <v>26656.83</v>
      </c>
      <c r="C99" s="506">
        <v>26344.19</v>
      </c>
      <c r="D99" s="506">
        <v>27618.14</v>
      </c>
      <c r="E99" s="506">
        <v>26168.71</v>
      </c>
      <c r="F99" s="506" t="s">
        <v>618</v>
      </c>
      <c r="G99" s="507">
        <v>1.9199999999999998E-2</v>
      </c>
    </row>
    <row r="100" spans="1:7" ht="16.5" x14ac:dyDescent="0.35">
      <c r="A100" s="511">
        <v>42248</v>
      </c>
      <c r="B100" s="496">
        <v>26154.83</v>
      </c>
      <c r="C100" s="506">
        <v>26127.040000000001</v>
      </c>
      <c r="D100" s="506">
        <v>26471.82</v>
      </c>
      <c r="E100" s="506">
        <v>24833.54</v>
      </c>
      <c r="F100" s="506" t="s">
        <v>619</v>
      </c>
      <c r="G100" s="507">
        <v>-4.8999999999999998E-3</v>
      </c>
    </row>
    <row r="101" spans="1:7" ht="16.5" x14ac:dyDescent="0.35">
      <c r="A101" s="511">
        <v>42217</v>
      </c>
      <c r="B101" s="496">
        <v>26283.09</v>
      </c>
      <c r="C101" s="506">
        <v>28089.09</v>
      </c>
      <c r="D101" s="506">
        <v>28417.59</v>
      </c>
      <c r="E101" s="506">
        <v>25298.42</v>
      </c>
      <c r="F101" s="506" t="s">
        <v>620</v>
      </c>
      <c r="G101" s="507">
        <v>-6.5100000000000005E-2</v>
      </c>
    </row>
    <row r="102" spans="1:7" ht="16.5" x14ac:dyDescent="0.35">
      <c r="A102" s="511">
        <v>42186</v>
      </c>
      <c r="B102" s="496">
        <v>28114.560000000001</v>
      </c>
      <c r="C102" s="506">
        <v>27823.65</v>
      </c>
      <c r="D102" s="506">
        <v>28578.33</v>
      </c>
      <c r="E102" s="506">
        <v>27416.39</v>
      </c>
      <c r="F102" s="506" t="s">
        <v>621</v>
      </c>
      <c r="G102" s="507">
        <v>1.2E-2</v>
      </c>
    </row>
    <row r="103" spans="1:7" ht="16.5" x14ac:dyDescent="0.35">
      <c r="A103" s="511">
        <v>42156</v>
      </c>
      <c r="B103" s="496">
        <v>27780.83</v>
      </c>
      <c r="C103" s="506">
        <v>27770.79</v>
      </c>
      <c r="D103" s="506">
        <v>27968.75</v>
      </c>
      <c r="E103" s="506">
        <v>26307.07</v>
      </c>
      <c r="F103" s="506" t="s">
        <v>622</v>
      </c>
      <c r="G103" s="507">
        <v>-1.6999999999999999E-3</v>
      </c>
    </row>
    <row r="104" spans="1:7" ht="16.5" x14ac:dyDescent="0.35">
      <c r="A104" s="511">
        <v>42125</v>
      </c>
      <c r="B104" s="496">
        <v>27828.44</v>
      </c>
      <c r="C104" s="506">
        <v>27204.63</v>
      </c>
      <c r="D104" s="506">
        <v>28071.16</v>
      </c>
      <c r="E104" s="506">
        <v>26423.99</v>
      </c>
      <c r="F104" s="506" t="s">
        <v>623</v>
      </c>
      <c r="G104" s="507">
        <v>3.0300000000000001E-2</v>
      </c>
    </row>
    <row r="105" spans="1:7" ht="16.5" x14ac:dyDescent="0.35">
      <c r="A105" s="511">
        <v>42095</v>
      </c>
      <c r="B105" s="496">
        <v>27011.31</v>
      </c>
      <c r="C105" s="506">
        <v>27954.86</v>
      </c>
      <c r="D105" s="506">
        <v>29094.61</v>
      </c>
      <c r="E105" s="506">
        <v>26897.54</v>
      </c>
      <c r="F105" s="506" t="s">
        <v>624</v>
      </c>
      <c r="G105" s="507">
        <v>-3.3799999999999997E-2</v>
      </c>
    </row>
    <row r="106" spans="1:7" ht="16.5" x14ac:dyDescent="0.35">
      <c r="A106" s="511">
        <v>42064</v>
      </c>
      <c r="B106" s="496">
        <v>27957.49</v>
      </c>
      <c r="C106" s="506">
        <v>29533.42</v>
      </c>
      <c r="D106" s="506">
        <v>30024.74</v>
      </c>
      <c r="E106" s="506">
        <v>27248.45</v>
      </c>
      <c r="F106" s="506" t="s">
        <v>625</v>
      </c>
      <c r="G106" s="507">
        <v>-4.7800000000000002E-2</v>
      </c>
    </row>
    <row r="107" spans="1:7" ht="16.5" x14ac:dyDescent="0.35">
      <c r="A107" s="511">
        <v>42036</v>
      </c>
      <c r="B107" s="496">
        <v>29361.5</v>
      </c>
      <c r="C107" s="506">
        <v>29143.63</v>
      </c>
      <c r="D107" s="506">
        <v>29560.32</v>
      </c>
      <c r="E107" s="506">
        <v>28044.49</v>
      </c>
      <c r="F107" s="506" t="s">
        <v>626</v>
      </c>
      <c r="G107" s="507">
        <v>6.1000000000000004E-3</v>
      </c>
    </row>
    <row r="108" spans="1:7" ht="16.5" x14ac:dyDescent="0.35">
      <c r="A108" s="511">
        <v>42005</v>
      </c>
      <c r="B108" s="496">
        <v>29182.95</v>
      </c>
      <c r="C108" s="506">
        <v>27485.77</v>
      </c>
      <c r="D108" s="506">
        <v>29844.16</v>
      </c>
      <c r="E108" s="506">
        <v>26776.12</v>
      </c>
      <c r="F108" s="506" t="s">
        <v>627</v>
      </c>
      <c r="G108" s="507">
        <v>6.1199999999999997E-2</v>
      </c>
    </row>
    <row r="109" spans="1:7" ht="16.5" x14ac:dyDescent="0.35">
      <c r="A109" s="511">
        <v>41974</v>
      </c>
      <c r="B109" s="496">
        <v>27499.42</v>
      </c>
      <c r="C109" s="506">
        <v>28748.22</v>
      </c>
      <c r="D109" s="506">
        <v>28809.64</v>
      </c>
      <c r="E109" s="506">
        <v>26469.42</v>
      </c>
      <c r="F109" s="506" t="s">
        <v>628</v>
      </c>
      <c r="G109" s="507">
        <v>-4.1599999999999998E-2</v>
      </c>
    </row>
    <row r="110" spans="1:7" ht="16.5" x14ac:dyDescent="0.35">
      <c r="A110" s="511">
        <v>41944</v>
      </c>
      <c r="B110" s="496">
        <v>28693.99</v>
      </c>
      <c r="C110" s="506">
        <v>27943.040000000001</v>
      </c>
      <c r="D110" s="506">
        <v>28822.37</v>
      </c>
      <c r="E110" s="506">
        <v>27739.56</v>
      </c>
      <c r="F110" s="506" t="s">
        <v>629</v>
      </c>
      <c r="G110" s="507">
        <v>2.9700000000000001E-2</v>
      </c>
    </row>
    <row r="111" spans="1:7" ht="16.5" x14ac:dyDescent="0.35">
      <c r="A111" s="511">
        <v>41913</v>
      </c>
      <c r="B111" s="496">
        <v>27865.83</v>
      </c>
      <c r="C111" s="506">
        <v>26681.47</v>
      </c>
      <c r="D111" s="506">
        <v>27894.32</v>
      </c>
      <c r="E111" s="506">
        <v>25910.77</v>
      </c>
      <c r="F111" s="506" t="s">
        <v>630</v>
      </c>
      <c r="G111" s="507">
        <v>4.6399999999999997E-2</v>
      </c>
    </row>
    <row r="112" spans="1:7" ht="16.5" x14ac:dyDescent="0.35">
      <c r="A112" s="511">
        <v>41883</v>
      </c>
      <c r="B112" s="496">
        <v>26630.51</v>
      </c>
      <c r="C112" s="506">
        <v>26733.18</v>
      </c>
      <c r="D112" s="506">
        <v>27354.99</v>
      </c>
      <c r="E112" s="506">
        <v>26220.49</v>
      </c>
      <c r="F112" s="506" t="s">
        <v>631</v>
      </c>
      <c r="G112" s="507">
        <v>-2.9999999999999997E-4</v>
      </c>
    </row>
    <row r="113" spans="1:7" ht="16.5" x14ac:dyDescent="0.35">
      <c r="A113" s="511">
        <v>41852</v>
      </c>
      <c r="B113" s="496">
        <v>26638.11</v>
      </c>
      <c r="C113" s="506">
        <v>25753.919999999998</v>
      </c>
      <c r="D113" s="506">
        <v>26674.38</v>
      </c>
      <c r="E113" s="506">
        <v>25232.82</v>
      </c>
      <c r="F113" s="506" t="s">
        <v>632</v>
      </c>
      <c r="G113" s="507">
        <v>2.87E-2</v>
      </c>
    </row>
    <row r="114" spans="1:7" ht="16.5" x14ac:dyDescent="0.35">
      <c r="A114" s="511">
        <v>41821</v>
      </c>
      <c r="B114" s="496">
        <v>25894.97</v>
      </c>
      <c r="C114" s="506">
        <v>25469.94</v>
      </c>
      <c r="D114" s="506">
        <v>26300.17</v>
      </c>
      <c r="E114" s="506">
        <v>24892</v>
      </c>
      <c r="F114" s="506" t="s">
        <v>633</v>
      </c>
      <c r="G114" s="507">
        <v>1.89E-2</v>
      </c>
    </row>
    <row r="115" spans="1:7" ht="16.5" x14ac:dyDescent="0.35">
      <c r="A115" s="511">
        <v>41791</v>
      </c>
      <c r="B115" s="496">
        <v>25413.78</v>
      </c>
      <c r="C115" s="506">
        <v>24368.959999999999</v>
      </c>
      <c r="D115" s="506">
        <v>25725.119999999999</v>
      </c>
      <c r="E115" s="506">
        <v>24270.2</v>
      </c>
      <c r="F115" s="506" t="s">
        <v>634</v>
      </c>
      <c r="G115" s="507">
        <v>4.9399999999999999E-2</v>
      </c>
    </row>
    <row r="116" spans="1:7" ht="16.5" x14ac:dyDescent="0.35">
      <c r="A116" s="511">
        <v>41760</v>
      </c>
      <c r="B116" s="496">
        <v>24217.34</v>
      </c>
      <c r="C116" s="506">
        <v>22493.59</v>
      </c>
      <c r="D116" s="506">
        <v>25375.63</v>
      </c>
      <c r="E116" s="506">
        <v>22277.040000000001</v>
      </c>
      <c r="F116" s="506" t="s">
        <v>635</v>
      </c>
      <c r="G116" s="507">
        <v>8.0299999999999996E-2</v>
      </c>
    </row>
    <row r="117" spans="1:7" ht="16.5" x14ac:dyDescent="0.35">
      <c r="A117" s="511">
        <v>41730</v>
      </c>
      <c r="B117" s="496">
        <v>22417.8</v>
      </c>
      <c r="C117" s="506">
        <v>22455.23</v>
      </c>
      <c r="D117" s="506">
        <v>22939.31</v>
      </c>
      <c r="E117" s="506">
        <v>22197.51</v>
      </c>
      <c r="F117" s="506" t="s">
        <v>636</v>
      </c>
      <c r="G117" s="507">
        <v>1.4E-3</v>
      </c>
    </row>
    <row r="118" spans="1:7" ht="16.5" x14ac:dyDescent="0.35">
      <c r="A118" s="511">
        <v>41699</v>
      </c>
      <c r="B118" s="496">
        <v>22386.27</v>
      </c>
      <c r="C118" s="506">
        <v>21079.27</v>
      </c>
      <c r="D118" s="506">
        <v>22467.21</v>
      </c>
      <c r="E118" s="506">
        <v>20920.98</v>
      </c>
      <c r="F118" s="506" t="s">
        <v>637</v>
      </c>
      <c r="G118" s="507">
        <v>5.9900000000000002E-2</v>
      </c>
    </row>
    <row r="119" spans="1:7" ht="16.5" x14ac:dyDescent="0.35">
      <c r="A119" s="511">
        <v>41671</v>
      </c>
      <c r="B119" s="496">
        <v>21120.12</v>
      </c>
      <c r="C119" s="506">
        <v>20479.03</v>
      </c>
      <c r="D119" s="506">
        <v>21140.51</v>
      </c>
      <c r="E119" s="506">
        <v>19963.12</v>
      </c>
      <c r="F119" s="506" t="s">
        <v>638</v>
      </c>
      <c r="G119" s="507">
        <v>2.9600000000000001E-2</v>
      </c>
    </row>
    <row r="120" spans="1:7" ht="16.5" x14ac:dyDescent="0.35">
      <c r="A120" s="511">
        <v>41640</v>
      </c>
      <c r="B120" s="496">
        <v>20513.849999999999</v>
      </c>
      <c r="C120" s="506">
        <v>21222.19</v>
      </c>
      <c r="D120" s="506">
        <v>21409.66</v>
      </c>
      <c r="E120" s="506">
        <v>20343.78</v>
      </c>
      <c r="F120" s="506" t="s">
        <v>639</v>
      </c>
      <c r="G120" s="507">
        <v>-3.1E-2</v>
      </c>
    </row>
    <row r="121" spans="1:7" ht="16.5" x14ac:dyDescent="0.35">
      <c r="A121" s="511">
        <v>41609</v>
      </c>
      <c r="B121" s="496">
        <v>21170.68</v>
      </c>
      <c r="C121" s="506">
        <v>20771.27</v>
      </c>
      <c r="D121" s="506">
        <v>21483.74</v>
      </c>
      <c r="E121" s="506">
        <v>20568.7</v>
      </c>
      <c r="F121" s="506" t="s">
        <v>640</v>
      </c>
      <c r="G121" s="507">
        <v>1.8200000000000001E-2</v>
      </c>
    </row>
    <row r="122" spans="1:7" ht="16.5" x14ac:dyDescent="0.35">
      <c r="A122" s="511">
        <v>41579</v>
      </c>
      <c r="B122" s="496">
        <v>20791.93</v>
      </c>
      <c r="C122" s="506">
        <v>21158.81</v>
      </c>
      <c r="D122" s="506">
        <v>21321.53</v>
      </c>
      <c r="E122" s="506">
        <v>20137.669999999998</v>
      </c>
      <c r="F122" s="506" t="s">
        <v>641</v>
      </c>
      <c r="G122" s="507">
        <v>-1.7600000000000001E-2</v>
      </c>
    </row>
    <row r="123" spans="1:7" ht="16.5" x14ac:dyDescent="0.35">
      <c r="A123" s="511">
        <v>41548</v>
      </c>
      <c r="B123" s="496">
        <v>21164.52</v>
      </c>
      <c r="C123" s="506">
        <v>19452.05</v>
      </c>
      <c r="D123" s="506">
        <v>21205.439999999999</v>
      </c>
      <c r="E123" s="506">
        <v>19264.72</v>
      </c>
      <c r="F123" s="506" t="s">
        <v>642</v>
      </c>
      <c r="G123" s="507">
        <v>9.2100000000000001E-2</v>
      </c>
    </row>
    <row r="124" spans="1:7" x14ac:dyDescent="0.35">
      <c r="A124" s="508"/>
      <c r="B124" s="12"/>
      <c r="C124" s="12"/>
      <c r="D124" s="12"/>
      <c r="E124" s="12"/>
      <c r="F124" s="12"/>
    </row>
    <row r="125" spans="1:7" x14ac:dyDescent="0.35">
      <c r="A125" s="509"/>
      <c r="B125" s="12"/>
      <c r="C125" s="12"/>
      <c r="D125" s="12"/>
      <c r="E125" s="12"/>
      <c r="F125" s="12"/>
    </row>
    <row r="126" spans="1:7" x14ac:dyDescent="0.35">
      <c r="A126" s="508"/>
      <c r="B126" s="12"/>
      <c r="C126" s="12"/>
      <c r="D126" s="12"/>
      <c r="E126" s="12"/>
      <c r="F126" s="12"/>
    </row>
    <row r="127" spans="1:7" x14ac:dyDescent="0.35">
      <c r="A127" s="510"/>
      <c r="B127" s="12"/>
      <c r="C127" s="12"/>
      <c r="D127" s="12"/>
      <c r="E127" s="12"/>
      <c r="F127" s="12"/>
    </row>
    <row r="128" spans="1:7" x14ac:dyDescent="0.35">
      <c r="A128" s="508"/>
      <c r="B128" s="12"/>
      <c r="C128" s="12"/>
      <c r="D128" s="12"/>
      <c r="E128" s="12"/>
      <c r="F128" s="12"/>
    </row>
    <row r="129" spans="1:6" x14ac:dyDescent="0.35">
      <c r="A129" s="509"/>
      <c r="B129" s="12"/>
      <c r="C129" s="12"/>
      <c r="D129" s="12"/>
      <c r="E129" s="12"/>
      <c r="F129" s="12"/>
    </row>
    <row r="130" spans="1:6" x14ac:dyDescent="0.35">
      <c r="A130" s="508"/>
      <c r="B130" s="12"/>
      <c r="C130" s="12"/>
      <c r="D130" s="12"/>
      <c r="E130" s="12"/>
      <c r="F130" s="12"/>
    </row>
    <row r="131" spans="1:6" x14ac:dyDescent="0.35">
      <c r="A131" s="509"/>
      <c r="B131" s="12"/>
      <c r="C131" s="12"/>
      <c r="D131" s="12"/>
      <c r="E131" s="12"/>
      <c r="F131" s="12"/>
    </row>
    <row r="132" spans="1:6" x14ac:dyDescent="0.35">
      <c r="A132" s="508"/>
      <c r="B132" s="12"/>
      <c r="C132" s="12"/>
      <c r="D132" s="12"/>
      <c r="E132" s="12"/>
      <c r="F132" s="12"/>
    </row>
    <row r="133" spans="1:6" x14ac:dyDescent="0.35">
      <c r="A133" s="509"/>
      <c r="B133" s="12"/>
      <c r="C133" s="12"/>
      <c r="D133" s="12"/>
      <c r="E133" s="12"/>
      <c r="F133" s="12"/>
    </row>
    <row r="134" spans="1:6" x14ac:dyDescent="0.35">
      <c r="B134" s="12"/>
      <c r="C134" s="12"/>
      <c r="D134" s="12"/>
      <c r="E134" s="12"/>
      <c r="F134" s="12"/>
    </row>
    <row r="135" spans="1:6" x14ac:dyDescent="0.35">
      <c r="B135" s="12"/>
      <c r="C135" s="12"/>
      <c r="D135" s="12"/>
      <c r="E135" s="12"/>
      <c r="F135" s="12"/>
    </row>
    <row r="136" spans="1:6" x14ac:dyDescent="0.35">
      <c r="B136" s="12"/>
      <c r="C136" s="12"/>
      <c r="D136" s="12"/>
      <c r="E136" s="12"/>
      <c r="F136" s="12"/>
    </row>
    <row r="137" spans="1:6" x14ac:dyDescent="0.35">
      <c r="B137" s="12"/>
      <c r="C137" s="12"/>
      <c r="D137" s="12"/>
      <c r="E137" s="12"/>
      <c r="F137" s="12"/>
    </row>
    <row r="138" spans="1:6" x14ac:dyDescent="0.35">
      <c r="B138" s="12"/>
      <c r="C138" s="12"/>
      <c r="D138" s="12"/>
      <c r="E138" s="12"/>
      <c r="F138" s="12"/>
    </row>
    <row r="139" spans="1:6" x14ac:dyDescent="0.35">
      <c r="B139" s="12"/>
      <c r="C139" s="12"/>
      <c r="D139" s="12"/>
      <c r="E139" s="12"/>
      <c r="F139" s="12"/>
    </row>
    <row r="140" spans="1:6" x14ac:dyDescent="0.35">
      <c r="B140" s="12"/>
      <c r="C140" s="12"/>
      <c r="D140" s="12"/>
      <c r="E140" s="12"/>
      <c r="F140" s="12"/>
    </row>
    <row r="141" spans="1:6" x14ac:dyDescent="0.35">
      <c r="B141" s="12"/>
      <c r="C141" s="12"/>
      <c r="D141" s="12"/>
      <c r="E141" s="12"/>
      <c r="F141" s="12"/>
    </row>
    <row r="142" spans="1:6" x14ac:dyDescent="0.35">
      <c r="B142" s="12"/>
      <c r="C142" s="12"/>
      <c r="D142" s="12"/>
      <c r="E142" s="12"/>
      <c r="F142" s="12"/>
    </row>
    <row r="143" spans="1:6" x14ac:dyDescent="0.35">
      <c r="B143" s="12"/>
      <c r="C143" s="12"/>
      <c r="D143" s="12"/>
      <c r="E143" s="12"/>
      <c r="F143" s="12"/>
    </row>
    <row r="144" spans="1:6" x14ac:dyDescent="0.35">
      <c r="B144" s="12"/>
      <c r="C144" s="12"/>
      <c r="D144" s="12"/>
      <c r="E144" s="12"/>
      <c r="F144" s="12"/>
    </row>
    <row r="145" spans="2:6" x14ac:dyDescent="0.35">
      <c r="B145" s="12"/>
      <c r="C145" s="12"/>
      <c r="D145" s="12"/>
      <c r="E145" s="12"/>
      <c r="F145" s="12"/>
    </row>
    <row r="146" spans="2:6" x14ac:dyDescent="0.35">
      <c r="B146" s="12"/>
      <c r="C146" s="12"/>
      <c r="D146" s="12"/>
      <c r="E146" s="12"/>
      <c r="F146" s="12"/>
    </row>
    <row r="147" spans="2:6" x14ac:dyDescent="0.35">
      <c r="B147" s="12"/>
      <c r="C147" s="12"/>
      <c r="D147" s="12"/>
      <c r="E147" s="12"/>
      <c r="F147" s="12"/>
    </row>
    <row r="148" spans="2:6" x14ac:dyDescent="0.35">
      <c r="B148" s="12"/>
      <c r="C148" s="12"/>
      <c r="D148" s="12"/>
      <c r="E148" s="12"/>
      <c r="F148" s="12"/>
    </row>
    <row r="149" spans="2:6" x14ac:dyDescent="0.35">
      <c r="B149" s="12"/>
      <c r="C149" s="12"/>
      <c r="D149" s="12"/>
      <c r="E149" s="12"/>
      <c r="F149" s="12"/>
    </row>
    <row r="150" spans="2:6" x14ac:dyDescent="0.35">
      <c r="B150" s="12"/>
      <c r="C150" s="12"/>
      <c r="D150" s="12"/>
      <c r="E150" s="12"/>
      <c r="F150" s="12"/>
    </row>
    <row r="151" spans="2:6" x14ac:dyDescent="0.35">
      <c r="B151" s="12"/>
      <c r="C151" s="12"/>
      <c r="D151" s="12"/>
      <c r="E151" s="12"/>
      <c r="F151" s="12"/>
    </row>
    <row r="152" spans="2:6" x14ac:dyDescent="0.35">
      <c r="B152" s="12"/>
      <c r="C152" s="12"/>
      <c r="D152" s="12"/>
      <c r="E152" s="12"/>
      <c r="F152" s="12"/>
    </row>
    <row r="153" spans="2:6" x14ac:dyDescent="0.35">
      <c r="B153" s="12"/>
      <c r="C153" s="12"/>
      <c r="D153" s="12"/>
      <c r="E153" s="12"/>
      <c r="F153" s="12"/>
    </row>
    <row r="154" spans="2:6" x14ac:dyDescent="0.35">
      <c r="B154" s="12"/>
      <c r="C154" s="12"/>
      <c r="D154" s="12"/>
      <c r="E154" s="12"/>
      <c r="F154" s="12"/>
    </row>
    <row r="155" spans="2:6" x14ac:dyDescent="0.35">
      <c r="B155" s="12"/>
      <c r="C155" s="12"/>
      <c r="D155" s="12"/>
      <c r="E155" s="12"/>
      <c r="F155" s="12"/>
    </row>
    <row r="156" spans="2:6" x14ac:dyDescent="0.35">
      <c r="B156" s="12"/>
      <c r="C156" s="12"/>
      <c r="D156" s="12"/>
      <c r="E156" s="12"/>
      <c r="F156" s="12"/>
    </row>
    <row r="157" spans="2:6" x14ac:dyDescent="0.35">
      <c r="B157" s="12"/>
      <c r="C157" s="12"/>
      <c r="D157" s="12"/>
      <c r="E157" s="12"/>
      <c r="F157" s="12"/>
    </row>
    <row r="158" spans="2:6" x14ac:dyDescent="0.35">
      <c r="B158" s="12"/>
      <c r="C158" s="12"/>
      <c r="D158" s="12"/>
      <c r="E158" s="12"/>
      <c r="F158" s="12"/>
    </row>
    <row r="159" spans="2:6" x14ac:dyDescent="0.35">
      <c r="B159" s="12"/>
      <c r="C159" s="12"/>
      <c r="D159" s="12"/>
      <c r="E159" s="12"/>
      <c r="F159" s="12"/>
    </row>
    <row r="160" spans="2:6" x14ac:dyDescent="0.35">
      <c r="B160" s="12"/>
      <c r="C160" s="12"/>
      <c r="D160" s="12"/>
      <c r="E160" s="12"/>
      <c r="F160" s="12"/>
    </row>
    <row r="161" spans="2:6" x14ac:dyDescent="0.35">
      <c r="B161" s="12"/>
      <c r="C161" s="12"/>
      <c r="D161" s="12"/>
      <c r="E161" s="12"/>
      <c r="F161" s="12"/>
    </row>
    <row r="162" spans="2:6" x14ac:dyDescent="0.35">
      <c r="B162" s="12"/>
      <c r="C162" s="12"/>
      <c r="D162" s="12"/>
      <c r="E162" s="12"/>
      <c r="F162" s="12"/>
    </row>
    <row r="163" spans="2:6" x14ac:dyDescent="0.35">
      <c r="B163" s="12"/>
      <c r="C163" s="12"/>
      <c r="D163" s="12"/>
      <c r="E163" s="12"/>
      <c r="F163" s="12"/>
    </row>
    <row r="164" spans="2:6" x14ac:dyDescent="0.35">
      <c r="B164" s="12"/>
      <c r="C164" s="12"/>
      <c r="D164" s="12"/>
      <c r="E164" s="12"/>
      <c r="F164" s="12"/>
    </row>
    <row r="165" spans="2:6" x14ac:dyDescent="0.35">
      <c r="B165" s="12"/>
      <c r="C165" s="12"/>
      <c r="D165" s="12"/>
      <c r="E165" s="12"/>
      <c r="F165" s="12"/>
    </row>
    <row r="166" spans="2:6" x14ac:dyDescent="0.35">
      <c r="B166" s="12"/>
      <c r="C166" s="12"/>
      <c r="D166" s="12"/>
      <c r="E166" s="12"/>
      <c r="F166" s="12"/>
    </row>
    <row r="167" spans="2:6" x14ac:dyDescent="0.35">
      <c r="B167" s="12"/>
      <c r="C167" s="12"/>
      <c r="D167" s="12"/>
      <c r="E167" s="12"/>
      <c r="F167" s="12"/>
    </row>
    <row r="168" spans="2:6" x14ac:dyDescent="0.35">
      <c r="B168" s="12"/>
      <c r="C168" s="12"/>
      <c r="D168" s="12"/>
      <c r="E168" s="12"/>
      <c r="F168" s="12"/>
    </row>
    <row r="169" spans="2:6" x14ac:dyDescent="0.35">
      <c r="B169" s="12"/>
      <c r="C169" s="12"/>
      <c r="D169" s="12"/>
      <c r="E169" s="12"/>
      <c r="F169" s="12"/>
    </row>
    <row r="170" spans="2:6" x14ac:dyDescent="0.35">
      <c r="B170" s="12"/>
      <c r="C170" s="12"/>
      <c r="D170" s="12"/>
      <c r="E170" s="12"/>
      <c r="F170" s="12"/>
    </row>
    <row r="171" spans="2:6" x14ac:dyDescent="0.35">
      <c r="B171" s="12"/>
      <c r="C171" s="12"/>
      <c r="D171" s="12"/>
      <c r="E171" s="12"/>
      <c r="F171" s="12"/>
    </row>
    <row r="172" spans="2:6" x14ac:dyDescent="0.35">
      <c r="B172" s="12"/>
      <c r="C172" s="12"/>
      <c r="D172" s="12"/>
      <c r="E172" s="12"/>
      <c r="F172" s="12"/>
    </row>
    <row r="173" spans="2:6" x14ac:dyDescent="0.35">
      <c r="B173" s="12"/>
      <c r="C173" s="12"/>
      <c r="D173" s="12"/>
      <c r="E173" s="12"/>
      <c r="F173" s="12"/>
    </row>
    <row r="174" spans="2:6" x14ac:dyDescent="0.35">
      <c r="B174" s="12"/>
      <c r="C174" s="12"/>
      <c r="D174" s="12"/>
      <c r="E174" s="12"/>
      <c r="F174" s="12"/>
    </row>
    <row r="175" spans="2:6" x14ac:dyDescent="0.35">
      <c r="B175" s="12"/>
      <c r="C175" s="12"/>
      <c r="D175" s="12"/>
      <c r="E175" s="12"/>
      <c r="F175" s="12"/>
    </row>
    <row r="176" spans="2:6" x14ac:dyDescent="0.35">
      <c r="B176" s="12"/>
      <c r="C176" s="12"/>
      <c r="D176" s="12"/>
      <c r="E176" s="12"/>
      <c r="F176" s="12"/>
    </row>
    <row r="177" spans="2:6" x14ac:dyDescent="0.35">
      <c r="B177" s="12"/>
      <c r="C177" s="12"/>
      <c r="D177" s="12"/>
      <c r="E177" s="12"/>
      <c r="F177" s="12"/>
    </row>
    <row r="178" spans="2:6" x14ac:dyDescent="0.35">
      <c r="B178" s="12"/>
      <c r="C178" s="12"/>
      <c r="D178" s="12"/>
      <c r="E178" s="12"/>
      <c r="F178" s="12"/>
    </row>
    <row r="179" spans="2:6" x14ac:dyDescent="0.35">
      <c r="B179" s="12"/>
      <c r="C179" s="12"/>
      <c r="D179" s="12"/>
      <c r="E179" s="12"/>
      <c r="F179" s="12"/>
    </row>
    <row r="180" spans="2:6" x14ac:dyDescent="0.35">
      <c r="B180" s="12"/>
      <c r="C180" s="12"/>
      <c r="D180" s="12"/>
      <c r="E180" s="12"/>
      <c r="F180" s="12"/>
    </row>
    <row r="181" spans="2:6" x14ac:dyDescent="0.35">
      <c r="B181" s="12"/>
      <c r="C181" s="12"/>
      <c r="D181" s="12"/>
      <c r="E181" s="12"/>
      <c r="F181" s="12"/>
    </row>
    <row r="182" spans="2:6" x14ac:dyDescent="0.35">
      <c r="B182" s="12"/>
      <c r="C182" s="12"/>
      <c r="D182" s="12"/>
      <c r="E182" s="12"/>
      <c r="F182" s="12"/>
    </row>
    <row r="183" spans="2:6" x14ac:dyDescent="0.35">
      <c r="B183" s="12"/>
      <c r="C183" s="12"/>
      <c r="D183" s="12"/>
      <c r="E183" s="12"/>
      <c r="F183" s="12"/>
    </row>
    <row r="184" spans="2:6" x14ac:dyDescent="0.35">
      <c r="B184" s="12"/>
      <c r="C184" s="12"/>
      <c r="D184" s="12"/>
      <c r="E184" s="12"/>
      <c r="F184" s="12"/>
    </row>
    <row r="185" spans="2:6" x14ac:dyDescent="0.35">
      <c r="B185" s="12"/>
      <c r="C185" s="12"/>
      <c r="D185" s="12"/>
      <c r="E185" s="12"/>
      <c r="F185" s="12"/>
    </row>
    <row r="186" spans="2:6" x14ac:dyDescent="0.35">
      <c r="B186" s="12"/>
      <c r="C186" s="12"/>
      <c r="D186" s="12"/>
      <c r="E186" s="12"/>
      <c r="F186" s="12"/>
    </row>
    <row r="187" spans="2:6" x14ac:dyDescent="0.35">
      <c r="B187" s="12"/>
      <c r="C187" s="12"/>
      <c r="D187" s="12"/>
      <c r="E187" s="12"/>
      <c r="F187" s="12"/>
    </row>
    <row r="188" spans="2:6" x14ac:dyDescent="0.35">
      <c r="B188" s="12"/>
      <c r="C188" s="12"/>
      <c r="D188" s="12"/>
      <c r="E188" s="12"/>
      <c r="F188" s="12"/>
    </row>
    <row r="189" spans="2:6" x14ac:dyDescent="0.35">
      <c r="B189" s="12"/>
      <c r="C189" s="12"/>
      <c r="D189" s="12"/>
      <c r="E189" s="12"/>
      <c r="F189" s="12"/>
    </row>
    <row r="190" spans="2:6" x14ac:dyDescent="0.35">
      <c r="B190" s="12"/>
      <c r="C190" s="12"/>
      <c r="D190" s="12"/>
      <c r="E190" s="12"/>
      <c r="F190" s="12"/>
    </row>
    <row r="191" spans="2:6" x14ac:dyDescent="0.35">
      <c r="B191" s="12"/>
      <c r="C191" s="12"/>
      <c r="D191" s="12"/>
      <c r="E191" s="12"/>
      <c r="F191" s="12"/>
    </row>
    <row r="192" spans="2:6" x14ac:dyDescent="0.35">
      <c r="B192" s="12"/>
      <c r="C192" s="12"/>
      <c r="D192" s="12"/>
      <c r="E192" s="12"/>
      <c r="F192" s="12"/>
    </row>
    <row r="193" spans="2:6" x14ac:dyDescent="0.35">
      <c r="B193" s="12"/>
      <c r="C193" s="12"/>
      <c r="D193" s="12"/>
      <c r="E193" s="12"/>
      <c r="F193" s="12"/>
    </row>
    <row r="194" spans="2:6" x14ac:dyDescent="0.35">
      <c r="B194" s="12"/>
      <c r="C194" s="12"/>
      <c r="D194" s="12"/>
      <c r="E194" s="12"/>
      <c r="F194" s="12"/>
    </row>
    <row r="195" spans="2:6" x14ac:dyDescent="0.35">
      <c r="B195" s="12"/>
      <c r="C195" s="12"/>
      <c r="D195" s="12"/>
      <c r="E195" s="12"/>
      <c r="F195" s="12"/>
    </row>
    <row r="196" spans="2:6" x14ac:dyDescent="0.35">
      <c r="B196" s="12"/>
      <c r="C196" s="12"/>
      <c r="D196" s="12"/>
      <c r="E196" s="12"/>
      <c r="F196" s="12"/>
    </row>
    <row r="197" spans="2:6" x14ac:dyDescent="0.35">
      <c r="B197" s="12"/>
      <c r="C197" s="12"/>
      <c r="D197" s="12"/>
      <c r="E197" s="12"/>
      <c r="F197" s="12"/>
    </row>
    <row r="198" spans="2:6" x14ac:dyDescent="0.35">
      <c r="B198" s="12"/>
      <c r="C198" s="12"/>
      <c r="D198" s="12"/>
      <c r="E198" s="12"/>
      <c r="F198" s="12"/>
    </row>
    <row r="199" spans="2:6" x14ac:dyDescent="0.35">
      <c r="B199" s="12"/>
      <c r="C199" s="12"/>
      <c r="D199" s="12"/>
      <c r="E199" s="12"/>
      <c r="F199" s="12"/>
    </row>
    <row r="200" spans="2:6" x14ac:dyDescent="0.35">
      <c r="B200" s="12"/>
      <c r="C200" s="12"/>
      <c r="D200" s="12"/>
      <c r="E200" s="12"/>
      <c r="F200" s="12"/>
    </row>
    <row r="201" spans="2:6" x14ac:dyDescent="0.35">
      <c r="B201" s="12"/>
      <c r="C201" s="12"/>
      <c r="D201" s="12"/>
      <c r="E201" s="12"/>
      <c r="F201" s="12"/>
    </row>
    <row r="202" spans="2:6" x14ac:dyDescent="0.35">
      <c r="B202" s="12"/>
      <c r="C202" s="12"/>
      <c r="D202" s="12"/>
      <c r="E202" s="12"/>
      <c r="F202" s="12"/>
    </row>
    <row r="203" spans="2:6" x14ac:dyDescent="0.35">
      <c r="B203" s="12"/>
      <c r="C203" s="12"/>
      <c r="D203" s="12"/>
      <c r="E203" s="12"/>
      <c r="F203" s="12"/>
    </row>
    <row r="204" spans="2:6" x14ac:dyDescent="0.35">
      <c r="B204" s="12"/>
      <c r="C204" s="12"/>
      <c r="D204" s="12"/>
      <c r="E204" s="12"/>
      <c r="F204" s="12"/>
    </row>
    <row r="205" spans="2:6" x14ac:dyDescent="0.35">
      <c r="B205" s="12"/>
      <c r="C205" s="12"/>
      <c r="D205" s="12"/>
      <c r="E205" s="12"/>
      <c r="F205" s="12"/>
    </row>
    <row r="206" spans="2:6" x14ac:dyDescent="0.35">
      <c r="B206" s="12"/>
      <c r="C206" s="12"/>
      <c r="D206" s="12"/>
      <c r="E206" s="12"/>
      <c r="F206" s="12"/>
    </row>
    <row r="207" spans="2:6" x14ac:dyDescent="0.35">
      <c r="B207" s="12"/>
      <c r="C207" s="12"/>
      <c r="D207" s="12"/>
      <c r="E207" s="12"/>
      <c r="F207" s="12"/>
    </row>
    <row r="208" spans="2:6" x14ac:dyDescent="0.35">
      <c r="B208" s="12"/>
      <c r="C208" s="12"/>
      <c r="D208" s="12"/>
      <c r="E208" s="12"/>
      <c r="F208" s="12"/>
    </row>
    <row r="209" spans="2:6" x14ac:dyDescent="0.35">
      <c r="B209" s="12"/>
      <c r="C209" s="12"/>
      <c r="D209" s="12"/>
      <c r="E209" s="12"/>
      <c r="F209" s="12"/>
    </row>
    <row r="210" spans="2:6" x14ac:dyDescent="0.35">
      <c r="B210" s="12"/>
      <c r="C210" s="12"/>
      <c r="D210" s="12"/>
      <c r="E210" s="12"/>
      <c r="F210" s="12"/>
    </row>
    <row r="211" spans="2:6" x14ac:dyDescent="0.35">
      <c r="B211" s="12"/>
      <c r="C211" s="12"/>
      <c r="D211" s="12"/>
      <c r="E211" s="12"/>
      <c r="F211" s="12"/>
    </row>
    <row r="212" spans="2:6" x14ac:dyDescent="0.35">
      <c r="B212" s="12"/>
      <c r="C212" s="12"/>
      <c r="D212" s="12"/>
      <c r="E212" s="12"/>
      <c r="F212" s="12"/>
    </row>
    <row r="213" spans="2:6" x14ac:dyDescent="0.35">
      <c r="B213" s="12"/>
      <c r="C213" s="12"/>
      <c r="D213" s="12"/>
      <c r="E213" s="12"/>
      <c r="F213" s="12"/>
    </row>
    <row r="214" spans="2:6" x14ac:dyDescent="0.35">
      <c r="B214" s="12"/>
      <c r="C214" s="12"/>
      <c r="D214" s="12"/>
      <c r="E214" s="12"/>
      <c r="F214" s="12"/>
    </row>
    <row r="215" spans="2:6" x14ac:dyDescent="0.35">
      <c r="B215" s="12"/>
      <c r="C215" s="12"/>
      <c r="D215" s="12"/>
      <c r="E215" s="12"/>
      <c r="F215" s="12"/>
    </row>
    <row r="216" spans="2:6" x14ac:dyDescent="0.35">
      <c r="B216" s="12"/>
      <c r="C216" s="12"/>
      <c r="D216" s="12"/>
      <c r="E216" s="12"/>
      <c r="F216" s="12"/>
    </row>
    <row r="217" spans="2:6" x14ac:dyDescent="0.35">
      <c r="B217" s="12"/>
      <c r="C217" s="12"/>
      <c r="D217" s="12"/>
      <c r="E217" s="12"/>
      <c r="F217" s="12"/>
    </row>
    <row r="218" spans="2:6" x14ac:dyDescent="0.35">
      <c r="B218" s="12"/>
      <c r="C218" s="12"/>
      <c r="D218" s="12"/>
      <c r="E218" s="12"/>
      <c r="F218" s="12"/>
    </row>
    <row r="219" spans="2:6" x14ac:dyDescent="0.35">
      <c r="B219" s="12"/>
      <c r="C219" s="12"/>
      <c r="D219" s="12"/>
      <c r="E219" s="12"/>
      <c r="F219" s="12"/>
    </row>
    <row r="220" spans="2:6" x14ac:dyDescent="0.35">
      <c r="B220" s="12"/>
      <c r="C220" s="12"/>
      <c r="D220" s="12"/>
      <c r="E220" s="12"/>
      <c r="F220" s="12"/>
    </row>
    <row r="221" spans="2:6" x14ac:dyDescent="0.35">
      <c r="B221" s="12"/>
      <c r="C221" s="12"/>
      <c r="D221" s="12"/>
      <c r="E221" s="12"/>
      <c r="F221" s="12"/>
    </row>
    <row r="222" spans="2:6" x14ac:dyDescent="0.35">
      <c r="B222" s="12"/>
      <c r="C222" s="12"/>
      <c r="D222" s="12"/>
      <c r="E222" s="12"/>
      <c r="F222" s="12"/>
    </row>
    <row r="223" spans="2:6" x14ac:dyDescent="0.35">
      <c r="B223" s="12"/>
      <c r="C223" s="12"/>
      <c r="D223" s="12"/>
      <c r="E223" s="12"/>
      <c r="F223" s="12"/>
    </row>
    <row r="224" spans="2:6" x14ac:dyDescent="0.35">
      <c r="B224" s="12"/>
      <c r="C224" s="12"/>
      <c r="D224" s="12"/>
      <c r="E224" s="12"/>
      <c r="F224" s="12"/>
    </row>
    <row r="225" spans="2:6" x14ac:dyDescent="0.35">
      <c r="B225" s="12"/>
      <c r="C225" s="12"/>
      <c r="D225" s="12"/>
      <c r="E225" s="12"/>
      <c r="F225" s="12"/>
    </row>
    <row r="226" spans="2:6" x14ac:dyDescent="0.35">
      <c r="B226" s="12"/>
      <c r="C226" s="12"/>
      <c r="D226" s="12"/>
      <c r="E226" s="12"/>
      <c r="F226" s="12"/>
    </row>
    <row r="227" spans="2:6" x14ac:dyDescent="0.35">
      <c r="B227" s="12"/>
      <c r="C227" s="12"/>
      <c r="D227" s="12"/>
      <c r="E227" s="12"/>
      <c r="F227" s="12"/>
    </row>
    <row r="228" spans="2:6" x14ac:dyDescent="0.35">
      <c r="B228" s="12"/>
      <c r="C228" s="12"/>
      <c r="D228" s="12"/>
      <c r="E228" s="12"/>
      <c r="F228" s="12"/>
    </row>
    <row r="229" spans="2:6" x14ac:dyDescent="0.35">
      <c r="B229" s="12"/>
      <c r="C229" s="12"/>
      <c r="D229" s="12"/>
      <c r="E229" s="12"/>
      <c r="F229" s="12"/>
    </row>
    <row r="230" spans="2:6" x14ac:dyDescent="0.35">
      <c r="B230" s="12"/>
      <c r="C230" s="12"/>
      <c r="D230" s="12"/>
      <c r="E230" s="12"/>
      <c r="F230" s="12"/>
    </row>
    <row r="231" spans="2:6" x14ac:dyDescent="0.35">
      <c r="B231" s="12"/>
      <c r="C231" s="12"/>
      <c r="D231" s="12"/>
      <c r="E231" s="12"/>
      <c r="F231" s="12"/>
    </row>
    <row r="232" spans="2:6" x14ac:dyDescent="0.35">
      <c r="B232" s="12"/>
      <c r="C232" s="12"/>
      <c r="D232" s="12"/>
      <c r="E232" s="12"/>
      <c r="F232" s="12"/>
    </row>
    <row r="233" spans="2:6" x14ac:dyDescent="0.35">
      <c r="B233" s="12"/>
      <c r="C233" s="12"/>
      <c r="D233" s="12"/>
      <c r="E233" s="12"/>
      <c r="F233" s="12"/>
    </row>
    <row r="234" spans="2:6" x14ac:dyDescent="0.35">
      <c r="B234" s="12"/>
      <c r="C234" s="12"/>
      <c r="D234" s="12"/>
      <c r="E234" s="12"/>
      <c r="F234" s="12"/>
    </row>
    <row r="235" spans="2:6" x14ac:dyDescent="0.35">
      <c r="B235" s="12"/>
      <c r="C235" s="12"/>
      <c r="D235" s="12"/>
      <c r="E235" s="12"/>
      <c r="F235" s="12"/>
    </row>
    <row r="236" spans="2:6" x14ac:dyDescent="0.35">
      <c r="B236" s="12"/>
      <c r="C236" s="12"/>
      <c r="D236" s="12"/>
      <c r="E236" s="12"/>
      <c r="F236" s="12"/>
    </row>
    <row r="237" spans="2:6" x14ac:dyDescent="0.35">
      <c r="B237" s="12"/>
      <c r="C237" s="12"/>
      <c r="D237" s="12"/>
      <c r="E237" s="12"/>
      <c r="F237" s="12"/>
    </row>
    <row r="238" spans="2:6" x14ac:dyDescent="0.35">
      <c r="B238" s="12"/>
      <c r="C238" s="12"/>
      <c r="D238" s="12"/>
      <c r="E238" s="12"/>
      <c r="F238" s="12"/>
    </row>
    <row r="239" spans="2:6" x14ac:dyDescent="0.35">
      <c r="B239" s="12"/>
      <c r="C239" s="12"/>
      <c r="D239" s="12"/>
      <c r="E239" s="12"/>
      <c r="F239" s="12"/>
    </row>
    <row r="240" spans="2:6" x14ac:dyDescent="0.35">
      <c r="B240" s="12"/>
      <c r="C240" s="12"/>
      <c r="D240" s="12"/>
      <c r="E240" s="12"/>
      <c r="F240" s="12"/>
    </row>
    <row r="241" spans="2:6" x14ac:dyDescent="0.35">
      <c r="B241" s="12"/>
      <c r="C241" s="12"/>
      <c r="D241" s="12"/>
      <c r="E241" s="12"/>
      <c r="F241" s="12"/>
    </row>
    <row r="242" spans="2:6" x14ac:dyDescent="0.35">
      <c r="B242" s="12"/>
      <c r="C242" s="12"/>
      <c r="D242" s="12"/>
      <c r="E242" s="12"/>
      <c r="F242" s="12"/>
    </row>
    <row r="243" spans="2:6" x14ac:dyDescent="0.35">
      <c r="B243" s="12"/>
      <c r="C243" s="12"/>
      <c r="D243" s="12"/>
      <c r="E243" s="12"/>
      <c r="F243" s="12"/>
    </row>
    <row r="244" spans="2:6" x14ac:dyDescent="0.35">
      <c r="B244" s="12"/>
      <c r="C244" s="12"/>
      <c r="D244" s="12"/>
      <c r="E244" s="12"/>
      <c r="F244" s="12"/>
    </row>
    <row r="245" spans="2:6" x14ac:dyDescent="0.35">
      <c r="B245" s="12"/>
      <c r="C245" s="12"/>
      <c r="D245" s="12"/>
      <c r="E245" s="12"/>
      <c r="F245" s="12"/>
    </row>
    <row r="246" spans="2:6" x14ac:dyDescent="0.35">
      <c r="B246" s="12"/>
      <c r="C246" s="12"/>
      <c r="D246" s="12"/>
      <c r="E246" s="12"/>
      <c r="F246" s="12"/>
    </row>
    <row r="247" spans="2:6" x14ac:dyDescent="0.35">
      <c r="B247" s="12"/>
      <c r="C247" s="12"/>
      <c r="D247" s="12"/>
      <c r="E247" s="12"/>
      <c r="F247" s="12"/>
    </row>
    <row r="248" spans="2:6" x14ac:dyDescent="0.35">
      <c r="B248" s="12"/>
      <c r="C248" s="12"/>
      <c r="D248" s="12"/>
      <c r="E248" s="12"/>
      <c r="F248" s="12"/>
    </row>
    <row r="249" spans="2:6" x14ac:dyDescent="0.35">
      <c r="B249" s="12"/>
      <c r="C249" s="12"/>
      <c r="D249" s="12"/>
      <c r="E249" s="12"/>
      <c r="F249" s="12"/>
    </row>
    <row r="250" spans="2:6" x14ac:dyDescent="0.35">
      <c r="B250" s="12"/>
      <c r="C250" s="12"/>
      <c r="D250" s="12"/>
      <c r="E250" s="12"/>
      <c r="F250" s="12"/>
    </row>
    <row r="251" spans="2:6" x14ac:dyDescent="0.35">
      <c r="B251" s="12"/>
      <c r="C251" s="12"/>
      <c r="D251" s="12"/>
      <c r="E251" s="12"/>
      <c r="F251" s="12"/>
    </row>
    <row r="252" spans="2:6" x14ac:dyDescent="0.35">
      <c r="B252" s="12"/>
      <c r="C252" s="12"/>
      <c r="D252" s="12"/>
      <c r="E252" s="12"/>
      <c r="F252" s="12"/>
    </row>
    <row r="253" spans="2:6" x14ac:dyDescent="0.35">
      <c r="B253" s="12"/>
      <c r="C253" s="12"/>
      <c r="D253" s="12"/>
      <c r="E253" s="12"/>
      <c r="F253" s="12"/>
    </row>
    <row r="254" spans="2:6" x14ac:dyDescent="0.35">
      <c r="B254" s="12"/>
      <c r="C254" s="12"/>
      <c r="D254" s="12"/>
      <c r="E254" s="12"/>
      <c r="F254" s="12"/>
    </row>
  </sheetData>
  <hyperlinks>
    <hyperlink ref="E1" r:id="rId1" xr:uid="{22AB3ECF-D2C4-4A2E-84D8-EB14336B26F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2E71-0D9B-4B9C-9E15-8A5C433650CA}">
  <dimension ref="A2:I252"/>
  <sheetViews>
    <sheetView workbookViewId="0">
      <selection activeCell="N249" sqref="N249"/>
    </sheetView>
  </sheetViews>
  <sheetFormatPr defaultRowHeight="14.5" x14ac:dyDescent="0.35"/>
  <cols>
    <col min="1" max="2" width="16.08984375" customWidth="1"/>
    <col min="3" max="3" width="13.81640625" customWidth="1"/>
    <col min="4" max="4" width="15.81640625" bestFit="1" customWidth="1"/>
    <col min="5" max="5" width="14.81640625" bestFit="1" customWidth="1"/>
    <col min="8" max="8" width="9.54296875" bestFit="1" customWidth="1"/>
  </cols>
  <sheetData>
    <row r="2" spans="1:9" x14ac:dyDescent="0.35">
      <c r="G2" t="s">
        <v>304</v>
      </c>
    </row>
    <row r="3" spans="1:9" x14ac:dyDescent="0.35">
      <c r="A3" t="s">
        <v>297</v>
      </c>
      <c r="B3" t="s">
        <v>305</v>
      </c>
      <c r="C3" t="s">
        <v>308</v>
      </c>
      <c r="D3" t="s">
        <v>306</v>
      </c>
      <c r="E3" t="s">
        <v>309</v>
      </c>
      <c r="G3" t="s">
        <v>304</v>
      </c>
    </row>
    <row r="4" spans="1:9" x14ac:dyDescent="0.35">
      <c r="A4" s="301">
        <v>45183</v>
      </c>
      <c r="B4" s="2">
        <v>67519</v>
      </c>
      <c r="C4" s="411">
        <v>1566.05</v>
      </c>
      <c r="D4" s="517">
        <f>B4/B5-1</f>
        <v>7.7089551497699915E-4</v>
      </c>
      <c r="E4" s="517">
        <f t="shared" ref="E4" si="0">C4/C5-1</f>
        <v>1.9033055700156121E-2</v>
      </c>
    </row>
    <row r="5" spans="1:9" x14ac:dyDescent="0.35">
      <c r="A5" s="301">
        <v>45182</v>
      </c>
      <c r="B5" s="2">
        <v>67466.990000000005</v>
      </c>
      <c r="C5" s="411">
        <v>1536.8</v>
      </c>
      <c r="D5" s="517">
        <f t="shared" ref="D5:D68" si="1">B5/B6-1</f>
        <v>3.6574809141114439E-3</v>
      </c>
      <c r="E5" s="517">
        <f t="shared" ref="E5:E68" si="2">C5/C6-1</f>
        <v>-1.335387776065744E-2</v>
      </c>
    </row>
    <row r="6" spans="1:9" x14ac:dyDescent="0.35">
      <c r="A6" s="301">
        <v>45181</v>
      </c>
      <c r="B6" s="2">
        <v>67221.13</v>
      </c>
      <c r="C6" s="411">
        <v>1557.6</v>
      </c>
      <c r="D6" s="517">
        <f t="shared" si="1"/>
        <v>1.4010739034082675E-3</v>
      </c>
      <c r="E6" s="517">
        <f t="shared" si="2"/>
        <v>-1.5485746792238131E-2</v>
      </c>
      <c r="I6" t="s">
        <v>307</v>
      </c>
    </row>
    <row r="7" spans="1:9" x14ac:dyDescent="0.35">
      <c r="A7" s="301">
        <v>45180</v>
      </c>
      <c r="B7" s="2">
        <v>67127.08</v>
      </c>
      <c r="C7" s="411">
        <v>1582.1</v>
      </c>
      <c r="D7" s="517">
        <f t="shared" si="1"/>
        <v>7.9306102757537023E-3</v>
      </c>
      <c r="E7" s="517">
        <f t="shared" si="2"/>
        <v>9.1854308860113143E-3</v>
      </c>
    </row>
    <row r="8" spans="1:9" x14ac:dyDescent="0.35">
      <c r="A8" s="301">
        <v>45177</v>
      </c>
      <c r="B8" s="2">
        <v>66598.91</v>
      </c>
      <c r="C8" s="411">
        <v>1567.7</v>
      </c>
      <c r="D8" s="517">
        <f t="shared" si="1"/>
        <v>5.0305166062130091E-3</v>
      </c>
      <c r="E8" s="517">
        <f t="shared" si="2"/>
        <v>1.0536062066983654E-3</v>
      </c>
    </row>
    <row r="9" spans="1:9" x14ac:dyDescent="0.35">
      <c r="A9" s="301">
        <v>45176</v>
      </c>
      <c r="B9" s="2">
        <v>66265.56</v>
      </c>
      <c r="C9" s="411">
        <v>1566.05</v>
      </c>
      <c r="D9" s="517">
        <f t="shared" si="1"/>
        <v>5.8445197457457354E-3</v>
      </c>
      <c r="E9" s="517">
        <f t="shared" si="2"/>
        <v>-7.4156235144985372E-3</v>
      </c>
      <c r="G9" s="9" t="s">
        <v>255</v>
      </c>
      <c r="H9" s="518">
        <f>SLOPE(E4:E250,D4:D250)</f>
        <v>0.94985558120427627</v>
      </c>
    </row>
    <row r="10" spans="1:9" x14ac:dyDescent="0.35">
      <c r="A10" s="301">
        <v>45175</v>
      </c>
      <c r="B10" s="2">
        <v>65880.52</v>
      </c>
      <c r="C10" s="411">
        <v>1577.75</v>
      </c>
      <c r="D10" s="517">
        <f t="shared" si="1"/>
        <v>1.5241654563240559E-3</v>
      </c>
      <c r="E10" s="517">
        <f t="shared" si="2"/>
        <v>4.6163642152181605E-3</v>
      </c>
    </row>
    <row r="11" spans="1:9" x14ac:dyDescent="0.35">
      <c r="A11" s="301">
        <v>45174</v>
      </c>
      <c r="B11" s="2">
        <v>65780.259999999995</v>
      </c>
      <c r="C11" s="411">
        <v>1570.5</v>
      </c>
      <c r="D11" s="517">
        <f t="shared" si="1"/>
        <v>2.317908141233227E-3</v>
      </c>
      <c r="E11" s="517">
        <f t="shared" si="2"/>
        <v>-3.5214618825544219E-3</v>
      </c>
    </row>
    <row r="12" spans="1:9" x14ac:dyDescent="0.35">
      <c r="A12" s="301">
        <v>45173</v>
      </c>
      <c r="B12" s="2">
        <v>65628.14</v>
      </c>
      <c r="C12" s="411">
        <v>1576.05</v>
      </c>
      <c r="D12" s="517">
        <f t="shared" si="1"/>
        <v>3.6854330422058101E-3</v>
      </c>
      <c r="E12" s="517">
        <f t="shared" si="2"/>
        <v>-9.7078228086711071E-3</v>
      </c>
    </row>
    <row r="13" spans="1:9" x14ac:dyDescent="0.35">
      <c r="A13" s="301">
        <v>45170</v>
      </c>
      <c r="B13" s="2">
        <v>65387.16</v>
      </c>
      <c r="C13" s="411">
        <v>1591.5</v>
      </c>
      <c r="D13" s="517">
        <f t="shared" si="1"/>
        <v>8.5722337367026835E-3</v>
      </c>
      <c r="E13" s="517">
        <f t="shared" si="2"/>
        <v>9.770953619694156E-3</v>
      </c>
    </row>
    <row r="14" spans="1:9" x14ac:dyDescent="0.35">
      <c r="A14" s="301">
        <v>45169</v>
      </c>
      <c r="B14" s="2">
        <v>64831.41</v>
      </c>
      <c r="C14" s="411">
        <v>1576.1</v>
      </c>
      <c r="D14" s="517">
        <f t="shared" si="1"/>
        <v>-3.9307237592615119E-3</v>
      </c>
      <c r="E14" s="517">
        <f t="shared" si="2"/>
        <v>-4.6103321965391686E-3</v>
      </c>
    </row>
    <row r="15" spans="1:9" x14ac:dyDescent="0.35">
      <c r="A15" s="301">
        <v>45168</v>
      </c>
      <c r="B15" s="2">
        <v>65087.25</v>
      </c>
      <c r="C15" s="411">
        <v>1583.4</v>
      </c>
      <c r="D15" s="517">
        <f t="shared" si="1"/>
        <v>1.7564127505420579E-4</v>
      </c>
      <c r="E15" s="517">
        <f t="shared" si="2"/>
        <v>1.5325424815646027E-2</v>
      </c>
    </row>
    <row r="16" spans="1:9" x14ac:dyDescent="0.35">
      <c r="A16" s="301">
        <v>45167</v>
      </c>
      <c r="B16" s="2">
        <v>65075.82</v>
      </c>
      <c r="C16" s="411">
        <v>1559.5</v>
      </c>
      <c r="D16" s="517">
        <f t="shared" si="1"/>
        <v>1.2188329851099411E-3</v>
      </c>
      <c r="E16" s="517">
        <f t="shared" si="2"/>
        <v>6.3562739973541671E-3</v>
      </c>
    </row>
    <row r="17" spans="1:5" x14ac:dyDescent="0.35">
      <c r="A17" s="301">
        <v>45166</v>
      </c>
      <c r="B17" s="2">
        <v>64996.6</v>
      </c>
      <c r="C17" s="411">
        <v>1549.65</v>
      </c>
      <c r="D17" s="517">
        <f t="shared" si="1"/>
        <v>1.6966546667402937E-3</v>
      </c>
      <c r="E17" s="517">
        <f t="shared" si="2"/>
        <v>1.9473043649880006E-2</v>
      </c>
    </row>
    <row r="18" spans="1:5" x14ac:dyDescent="0.35">
      <c r="A18" s="301">
        <v>45163</v>
      </c>
      <c r="B18" s="2">
        <v>64886.51</v>
      </c>
      <c r="C18" s="411">
        <v>1520.05</v>
      </c>
      <c r="D18" s="517">
        <f t="shared" si="1"/>
        <v>-5.6063889816058143E-3</v>
      </c>
      <c r="E18" s="517">
        <f t="shared" si="2"/>
        <v>-1.4618177103591257E-2</v>
      </c>
    </row>
    <row r="19" spans="1:5" x14ac:dyDescent="0.35">
      <c r="A19" s="301">
        <v>45162</v>
      </c>
      <c r="B19" s="2">
        <v>65252.34</v>
      </c>
      <c r="C19" s="411">
        <v>1542.6</v>
      </c>
      <c r="D19" s="517">
        <f t="shared" si="1"/>
        <v>-2.7655643227532112E-3</v>
      </c>
      <c r="E19" s="517">
        <f t="shared" si="2"/>
        <v>2.2694115739985143E-4</v>
      </c>
    </row>
    <row r="20" spans="1:5" x14ac:dyDescent="0.35">
      <c r="A20" s="301">
        <v>45161</v>
      </c>
      <c r="B20" s="2">
        <v>65433.3</v>
      </c>
      <c r="C20" s="411">
        <v>1542.25</v>
      </c>
      <c r="D20" s="517">
        <f t="shared" si="1"/>
        <v>3.2700076954887969E-3</v>
      </c>
      <c r="E20" s="517">
        <f t="shared" si="2"/>
        <v>-5.1925433787008979E-3</v>
      </c>
    </row>
    <row r="21" spans="1:5" x14ac:dyDescent="0.35">
      <c r="A21" s="301">
        <v>45160</v>
      </c>
      <c r="B21" s="2">
        <v>65220.03</v>
      </c>
      <c r="C21" s="411">
        <v>1550.3</v>
      </c>
      <c r="D21" s="517">
        <f t="shared" si="1"/>
        <v>6.0414538804787199E-5</v>
      </c>
      <c r="E21" s="517">
        <f t="shared" si="2"/>
        <v>7.5388314811204449E-3</v>
      </c>
    </row>
    <row r="22" spans="1:5" x14ac:dyDescent="0.35">
      <c r="A22" s="301">
        <v>45159</v>
      </c>
      <c r="B22" s="2">
        <v>65216.09</v>
      </c>
      <c r="C22" s="411">
        <v>1538.7</v>
      </c>
      <c r="D22" s="517">
        <f t="shared" si="1"/>
        <v>4.1175599311824573E-3</v>
      </c>
      <c r="E22" s="517">
        <f t="shared" si="2"/>
        <v>-8.7292639716539666E-3</v>
      </c>
    </row>
    <row r="23" spans="1:5" x14ac:dyDescent="0.35">
      <c r="A23" s="301">
        <v>45156</v>
      </c>
      <c r="B23" s="2">
        <v>64948.66</v>
      </c>
      <c r="C23" s="411">
        <v>1552.25</v>
      </c>
      <c r="D23" s="517">
        <f t="shared" si="1"/>
        <v>-3.1060143033829757E-3</v>
      </c>
      <c r="E23" s="517">
        <f t="shared" si="2"/>
        <v>-1.3065869786368256E-2</v>
      </c>
    </row>
    <row r="24" spans="1:5" x14ac:dyDescent="0.35">
      <c r="A24" s="301">
        <v>45155</v>
      </c>
      <c r="B24" s="2">
        <v>65151.02</v>
      </c>
      <c r="C24" s="411">
        <v>1572.8</v>
      </c>
      <c r="D24" s="517">
        <f t="shared" si="1"/>
        <v>-5.9262044125505398E-3</v>
      </c>
      <c r="E24" s="517">
        <f t="shared" si="2"/>
        <v>1.5601617473812723E-3</v>
      </c>
    </row>
    <row r="25" spans="1:5" x14ac:dyDescent="0.35">
      <c r="A25" s="301">
        <v>45154</v>
      </c>
      <c r="B25" s="2">
        <v>65539.42</v>
      </c>
      <c r="C25" s="411">
        <v>1570.35</v>
      </c>
      <c r="D25" s="517">
        <f t="shared" si="1"/>
        <v>2.1023847617929192E-3</v>
      </c>
      <c r="E25" s="517">
        <f t="shared" si="2"/>
        <v>1.5454751204371231E-2</v>
      </c>
    </row>
    <row r="26" spans="1:5" x14ac:dyDescent="0.35">
      <c r="A26" s="301">
        <v>45152</v>
      </c>
      <c r="B26" s="2">
        <v>65401.919999999998</v>
      </c>
      <c r="C26" s="411">
        <v>1546.45</v>
      </c>
      <c r="D26" s="517">
        <f t="shared" si="1"/>
        <v>1.2135147609595442E-3</v>
      </c>
      <c r="E26" s="517">
        <f t="shared" si="2"/>
        <v>1.9403033340870124E-4</v>
      </c>
    </row>
    <row r="27" spans="1:5" x14ac:dyDescent="0.35">
      <c r="A27" s="301">
        <v>45149</v>
      </c>
      <c r="B27" s="2">
        <v>65322.65</v>
      </c>
      <c r="C27" s="411">
        <v>1546.15</v>
      </c>
      <c r="D27" s="517">
        <f t="shared" si="1"/>
        <v>-5.5646236507084224E-3</v>
      </c>
      <c r="E27" s="517">
        <f t="shared" si="2"/>
        <v>3.5584886128381399E-4</v>
      </c>
    </row>
    <row r="28" spans="1:5" x14ac:dyDescent="0.35">
      <c r="A28" s="301">
        <v>45148</v>
      </c>
      <c r="B28" s="2">
        <v>65688.179999999993</v>
      </c>
      <c r="C28" s="411">
        <v>1545.6</v>
      </c>
      <c r="D28" s="517">
        <f t="shared" si="1"/>
        <v>-4.6613565315738459E-3</v>
      </c>
      <c r="E28" s="517">
        <f t="shared" si="2"/>
        <v>7.0039417532656856E-3</v>
      </c>
    </row>
    <row r="29" spans="1:5" x14ac:dyDescent="0.35">
      <c r="A29" s="301">
        <v>45147</v>
      </c>
      <c r="B29" s="2">
        <v>65995.81</v>
      </c>
      <c r="C29" s="411">
        <v>1534.85</v>
      </c>
      <c r="D29" s="517">
        <f t="shared" si="1"/>
        <v>2.2675464907018217E-3</v>
      </c>
      <c r="E29" s="517">
        <f t="shared" si="2"/>
        <v>2.3540395451968843E-2</v>
      </c>
    </row>
    <row r="30" spans="1:5" x14ac:dyDescent="0.35">
      <c r="A30" s="301">
        <v>45146</v>
      </c>
      <c r="B30" s="2">
        <v>65846.5</v>
      </c>
      <c r="C30" s="411">
        <v>1499.55</v>
      </c>
      <c r="D30" s="517">
        <f t="shared" si="1"/>
        <v>1.9057762900127617E-3</v>
      </c>
      <c r="E30" s="517">
        <f t="shared" si="2"/>
        <v>-1.7815621418044936E-2</v>
      </c>
    </row>
    <row r="31" spans="1:5" x14ac:dyDescent="0.35">
      <c r="A31" s="301">
        <v>45145</v>
      </c>
      <c r="B31" s="2">
        <v>65721.25</v>
      </c>
      <c r="C31" s="411">
        <v>1526.75</v>
      </c>
      <c r="D31" s="517">
        <f t="shared" si="1"/>
        <v>0</v>
      </c>
      <c r="E31" s="517">
        <f t="shared" si="2"/>
        <v>4.2114603597146916E-2</v>
      </c>
    </row>
    <row r="32" spans="1:5" x14ac:dyDescent="0.35">
      <c r="A32" s="301">
        <v>45142</v>
      </c>
      <c r="B32" s="2">
        <v>65721.25</v>
      </c>
      <c r="C32" s="411">
        <v>1465.05</v>
      </c>
      <c r="D32" s="517">
        <f t="shared" si="1"/>
        <v>7.3661096113650792E-3</v>
      </c>
      <c r="E32" s="517">
        <f t="shared" si="2"/>
        <v>-2.2474205741137565E-3</v>
      </c>
    </row>
    <row r="33" spans="1:5" x14ac:dyDescent="0.35">
      <c r="A33" s="301">
        <v>45141</v>
      </c>
      <c r="B33" s="2">
        <v>65240.68</v>
      </c>
      <c r="C33" s="411">
        <v>1468.35</v>
      </c>
      <c r="D33" s="517">
        <f t="shared" si="1"/>
        <v>-8.2407584477275364E-3</v>
      </c>
      <c r="E33" s="517">
        <f t="shared" si="2"/>
        <v>-1.1744514739534306E-2</v>
      </c>
    </row>
    <row r="34" spans="1:5" x14ac:dyDescent="0.35">
      <c r="A34" s="301">
        <v>45140</v>
      </c>
      <c r="B34" s="2">
        <v>65782.78</v>
      </c>
      <c r="C34" s="411">
        <v>1485.8</v>
      </c>
      <c r="D34" s="517">
        <f t="shared" si="1"/>
        <v>-1.0179612156671514E-2</v>
      </c>
      <c r="E34" s="517">
        <f t="shared" si="2"/>
        <v>-4.9891176963000605E-3</v>
      </c>
    </row>
    <row r="35" spans="1:5" x14ac:dyDescent="0.35">
      <c r="A35" s="301">
        <v>45139</v>
      </c>
      <c r="B35" s="2">
        <v>66459.31</v>
      </c>
      <c r="C35" s="411">
        <v>1493.25</v>
      </c>
      <c r="D35" s="517">
        <f t="shared" si="1"/>
        <v>-1.0275423744736667E-3</v>
      </c>
      <c r="E35" s="517">
        <f t="shared" si="2"/>
        <v>1.1721264270469822E-2</v>
      </c>
    </row>
    <row r="36" spans="1:5" x14ac:dyDescent="0.35">
      <c r="A36" s="301">
        <v>45138</v>
      </c>
      <c r="B36" s="2">
        <v>66527.67</v>
      </c>
      <c r="C36" s="411">
        <v>1475.95</v>
      </c>
      <c r="D36" s="517">
        <f t="shared" si="1"/>
        <v>5.5542456038524257E-3</v>
      </c>
      <c r="E36" s="517">
        <f t="shared" si="2"/>
        <v>5.6895611883347463E-3</v>
      </c>
    </row>
    <row r="37" spans="1:5" x14ac:dyDescent="0.35">
      <c r="A37" s="301">
        <v>45135</v>
      </c>
      <c r="B37" s="2">
        <v>66160.2</v>
      </c>
      <c r="C37" s="411">
        <v>1467.6</v>
      </c>
      <c r="D37" s="517">
        <f t="shared" si="1"/>
        <v>-1.6089499994116352E-3</v>
      </c>
      <c r="E37" s="517">
        <f t="shared" si="2"/>
        <v>1.4341500501088511E-2</v>
      </c>
    </row>
    <row r="38" spans="1:5" x14ac:dyDescent="0.35">
      <c r="A38" s="301">
        <v>45134</v>
      </c>
      <c r="B38" s="2">
        <v>66266.820000000007</v>
      </c>
      <c r="C38" s="411">
        <v>1446.85</v>
      </c>
      <c r="D38" s="517">
        <f t="shared" si="1"/>
        <v>-6.6016861748056099E-3</v>
      </c>
      <c r="E38" s="517">
        <f t="shared" si="2"/>
        <v>-6.3860761541198907E-2</v>
      </c>
    </row>
    <row r="39" spans="1:5" x14ac:dyDescent="0.35">
      <c r="A39" s="301">
        <v>45133</v>
      </c>
      <c r="B39" s="2">
        <v>66707.199999999997</v>
      </c>
      <c r="C39" s="411">
        <v>1545.55</v>
      </c>
      <c r="D39" s="517">
        <f t="shared" si="1"/>
        <v>5.2970573293540379E-3</v>
      </c>
      <c r="E39" s="517">
        <f t="shared" si="2"/>
        <v>-1.3216280925778201E-2</v>
      </c>
    </row>
    <row r="40" spans="1:5" x14ac:dyDescent="0.35">
      <c r="A40" s="301">
        <v>45132</v>
      </c>
      <c r="B40" s="2">
        <v>66355.710000000006</v>
      </c>
      <c r="C40" s="411">
        <v>1566.25</v>
      </c>
      <c r="D40" s="517">
        <f t="shared" si="1"/>
        <v>-4.3790157924739059E-4</v>
      </c>
      <c r="E40" s="517">
        <f t="shared" si="2"/>
        <v>1.2443438914027105E-2</v>
      </c>
    </row>
    <row r="41" spans="1:5" x14ac:dyDescent="0.35">
      <c r="A41" s="301">
        <v>45131</v>
      </c>
      <c r="B41" s="2">
        <v>66384.78</v>
      </c>
      <c r="C41" s="411">
        <v>1547</v>
      </c>
      <c r="D41" s="517">
        <f t="shared" si="1"/>
        <v>-4.4910148211886325E-3</v>
      </c>
      <c r="E41" s="517">
        <f t="shared" si="2"/>
        <v>1.6058585924928703E-2</v>
      </c>
    </row>
    <row r="42" spans="1:5" x14ac:dyDescent="0.35">
      <c r="A42" s="301">
        <v>45128</v>
      </c>
      <c r="B42" s="2">
        <v>66684.259999999995</v>
      </c>
      <c r="C42" s="411">
        <v>1522.55</v>
      </c>
      <c r="D42" s="517">
        <f t="shared" si="1"/>
        <v>-1.3136229704951319E-2</v>
      </c>
      <c r="E42" s="517">
        <f t="shared" si="2"/>
        <v>-1.433935391985508E-2</v>
      </c>
    </row>
    <row r="43" spans="1:5" x14ac:dyDescent="0.35">
      <c r="A43" s="301">
        <v>45127</v>
      </c>
      <c r="B43" s="2">
        <v>67571.899999999994</v>
      </c>
      <c r="C43" s="411">
        <v>1544.7</v>
      </c>
      <c r="D43" s="517">
        <f t="shared" si="1"/>
        <v>7.0712086780060357E-3</v>
      </c>
      <c r="E43" s="517">
        <f t="shared" si="2"/>
        <v>6.4779426054295541E-4</v>
      </c>
    </row>
    <row r="44" spans="1:5" x14ac:dyDescent="0.35">
      <c r="A44" s="301">
        <v>45126</v>
      </c>
      <c r="B44" s="2">
        <v>67097.440000000002</v>
      </c>
      <c r="C44" s="411">
        <v>1543.7</v>
      </c>
      <c r="D44" s="517">
        <f t="shared" si="1"/>
        <v>4.5257783724983458E-3</v>
      </c>
      <c r="E44" s="517">
        <f t="shared" si="2"/>
        <v>5.3075445280192923E-3</v>
      </c>
    </row>
    <row r="45" spans="1:5" x14ac:dyDescent="0.35">
      <c r="A45" s="301">
        <v>45125</v>
      </c>
      <c r="B45" s="2">
        <v>66795.14</v>
      </c>
      <c r="C45" s="411">
        <v>1535.55</v>
      </c>
      <c r="D45" s="517">
        <f t="shared" si="1"/>
        <v>3.081697187547805E-3</v>
      </c>
      <c r="E45" s="517">
        <f t="shared" si="2"/>
        <v>-4.5565500406841153E-4</v>
      </c>
    </row>
    <row r="46" spans="1:5" x14ac:dyDescent="0.35">
      <c r="A46" s="301">
        <v>45124</v>
      </c>
      <c r="B46" s="2">
        <v>66589.929999999993</v>
      </c>
      <c r="C46" s="411">
        <v>1536.25</v>
      </c>
      <c r="D46" s="517">
        <f t="shared" si="1"/>
        <v>8.0082166606874061E-3</v>
      </c>
      <c r="E46" s="517">
        <f t="shared" si="2"/>
        <v>-6.6278693824766144E-3</v>
      </c>
    </row>
    <row r="47" spans="1:5" x14ac:dyDescent="0.35">
      <c r="A47" s="301">
        <v>45121</v>
      </c>
      <c r="B47" s="2">
        <v>66060.899999999994</v>
      </c>
      <c r="C47" s="411">
        <v>1546.5</v>
      </c>
      <c r="D47" s="517">
        <f t="shared" si="1"/>
        <v>7.657390172408185E-3</v>
      </c>
      <c r="E47" s="517">
        <f t="shared" si="2"/>
        <v>-1.2830333205668287E-2</v>
      </c>
    </row>
    <row r="48" spans="1:5" x14ac:dyDescent="0.35">
      <c r="A48" s="301">
        <v>45120</v>
      </c>
      <c r="B48" s="2">
        <v>65558.89</v>
      </c>
      <c r="C48" s="411">
        <v>1566.6</v>
      </c>
      <c r="D48" s="517">
        <f t="shared" si="1"/>
        <v>2.523018202003513E-3</v>
      </c>
      <c r="E48" s="517">
        <f t="shared" si="2"/>
        <v>-1.784121320249854E-3</v>
      </c>
    </row>
    <row r="49" spans="1:5" x14ac:dyDescent="0.35">
      <c r="A49" s="301">
        <v>45119</v>
      </c>
      <c r="B49" s="2">
        <v>65393.9</v>
      </c>
      <c r="C49" s="411">
        <v>1569.4</v>
      </c>
      <c r="D49" s="517">
        <f t="shared" si="1"/>
        <v>-3.4127913994120851E-3</v>
      </c>
      <c r="E49" s="517">
        <f t="shared" si="2"/>
        <v>0</v>
      </c>
    </row>
    <row r="50" spans="1:5" x14ac:dyDescent="0.35">
      <c r="A50" s="301">
        <v>45118</v>
      </c>
      <c r="B50" s="2">
        <v>65617.84</v>
      </c>
      <c r="C50" s="411">
        <v>1569.4</v>
      </c>
      <c r="D50" s="517">
        <f t="shared" si="1"/>
        <v>4.1881318562926317E-3</v>
      </c>
      <c r="E50" s="517">
        <f t="shared" si="2"/>
        <v>1.2059070097375502E-2</v>
      </c>
    </row>
    <row r="51" spans="1:5" x14ac:dyDescent="0.35">
      <c r="A51" s="301">
        <v>45117</v>
      </c>
      <c r="B51" s="2">
        <v>65344.17</v>
      </c>
      <c r="C51" s="411">
        <v>1550.7</v>
      </c>
      <c r="D51" s="517">
        <f t="shared" si="1"/>
        <v>9.7609621257199741E-4</v>
      </c>
      <c r="E51" s="517">
        <f t="shared" si="2"/>
        <v>-8.3770303107814081E-3</v>
      </c>
    </row>
    <row r="52" spans="1:5" x14ac:dyDescent="0.35">
      <c r="A52" s="301">
        <v>45114</v>
      </c>
      <c r="B52" s="2">
        <v>65280.45</v>
      </c>
      <c r="C52" s="411">
        <v>1563.8</v>
      </c>
      <c r="D52" s="517">
        <f t="shared" si="1"/>
        <v>-7.6793354902376931E-3</v>
      </c>
      <c r="E52" s="517">
        <f t="shared" si="2"/>
        <v>9.7501129979982171E-3</v>
      </c>
    </row>
    <row r="53" spans="1:5" x14ac:dyDescent="0.35">
      <c r="A53" s="301">
        <v>45113</v>
      </c>
      <c r="B53" s="2">
        <v>65785.64</v>
      </c>
      <c r="C53" s="411">
        <v>1548.7</v>
      </c>
      <c r="D53" s="517">
        <f t="shared" si="1"/>
        <v>5.1890076160452381E-3</v>
      </c>
      <c r="E53" s="517">
        <f t="shared" si="2"/>
        <v>4.9717016301216832E-2</v>
      </c>
    </row>
    <row r="54" spans="1:5" x14ac:dyDescent="0.35">
      <c r="A54" s="301">
        <v>45112</v>
      </c>
      <c r="B54" s="2">
        <v>65446.04</v>
      </c>
      <c r="C54" s="411">
        <v>1475.35</v>
      </c>
      <c r="D54" s="517">
        <f t="shared" si="1"/>
        <v>-5.0413071050969815E-4</v>
      </c>
      <c r="E54" s="517">
        <f t="shared" si="2"/>
        <v>7.7527322404371546E-3</v>
      </c>
    </row>
    <row r="55" spans="1:5" x14ac:dyDescent="0.35">
      <c r="A55" s="301">
        <v>45111</v>
      </c>
      <c r="B55" s="2">
        <v>65479.05</v>
      </c>
      <c r="C55" s="411">
        <v>1464</v>
      </c>
      <c r="D55" s="517">
        <f t="shared" si="1"/>
        <v>4.2021285161195632E-3</v>
      </c>
      <c r="E55" s="517">
        <f t="shared" si="2"/>
        <v>-2.9625089386045023E-3</v>
      </c>
    </row>
    <row r="56" spans="1:5" x14ac:dyDescent="0.35">
      <c r="A56" s="301">
        <v>45110</v>
      </c>
      <c r="B56" s="2">
        <v>65205.05</v>
      </c>
      <c r="C56" s="411">
        <v>1468.35</v>
      </c>
      <c r="D56" s="517">
        <f t="shared" si="1"/>
        <v>7.5170090311034166E-3</v>
      </c>
      <c r="E56" s="517">
        <f t="shared" si="2"/>
        <v>1.0042992261392936E-2</v>
      </c>
    </row>
    <row r="57" spans="1:5" x14ac:dyDescent="0.35">
      <c r="A57" s="301">
        <v>45107</v>
      </c>
      <c r="B57" s="2">
        <v>64718.559999999998</v>
      </c>
      <c r="C57" s="411">
        <v>1453.75</v>
      </c>
      <c r="D57" s="517">
        <f t="shared" si="1"/>
        <v>1.2565668816695519E-2</v>
      </c>
      <c r="E57" s="517">
        <f t="shared" si="2"/>
        <v>4.1368194842406947E-2</v>
      </c>
    </row>
    <row r="58" spans="1:5" x14ac:dyDescent="0.35">
      <c r="A58" s="301">
        <v>45105</v>
      </c>
      <c r="B58" s="2">
        <v>63915.42</v>
      </c>
      <c r="C58" s="411">
        <v>1396</v>
      </c>
      <c r="D58" s="517">
        <f t="shared" si="1"/>
        <v>7.8748228168807888E-3</v>
      </c>
      <c r="E58" s="517">
        <f t="shared" si="2"/>
        <v>-3.1775500731907602E-3</v>
      </c>
    </row>
    <row r="59" spans="1:5" x14ac:dyDescent="0.35">
      <c r="A59" s="301">
        <v>45104</v>
      </c>
      <c r="B59" s="2">
        <v>63416.03</v>
      </c>
      <c r="C59" s="411">
        <v>1400.45</v>
      </c>
      <c r="D59" s="517">
        <f t="shared" si="1"/>
        <v>7.083214228997825E-3</v>
      </c>
      <c r="E59" s="517">
        <f t="shared" si="2"/>
        <v>2.2902129182322817E-3</v>
      </c>
    </row>
    <row r="60" spans="1:5" x14ac:dyDescent="0.35">
      <c r="A60" s="301">
        <v>45103</v>
      </c>
      <c r="B60" s="2">
        <v>62970</v>
      </c>
      <c r="C60" s="411">
        <v>1397.25</v>
      </c>
      <c r="D60" s="517">
        <f t="shared" si="1"/>
        <v>-1.4877887790876176E-4</v>
      </c>
      <c r="E60" s="517">
        <f t="shared" si="2"/>
        <v>1.7624995448090042E-2</v>
      </c>
    </row>
    <row r="61" spans="1:5" x14ac:dyDescent="0.35">
      <c r="A61" s="301">
        <v>45100</v>
      </c>
      <c r="B61" s="2">
        <v>62979.37</v>
      </c>
      <c r="C61" s="411">
        <v>1373.05</v>
      </c>
      <c r="D61" s="517">
        <f t="shared" si="1"/>
        <v>-4.1038038460193826E-3</v>
      </c>
      <c r="E61" s="517">
        <f t="shared" si="2"/>
        <v>-4.6395302475624733E-3</v>
      </c>
    </row>
    <row r="62" spans="1:5" x14ac:dyDescent="0.35">
      <c r="A62" s="301">
        <v>45099</v>
      </c>
      <c r="B62" s="2">
        <v>63238.89</v>
      </c>
      <c r="C62" s="411">
        <v>1379.45</v>
      </c>
      <c r="D62" s="517">
        <f t="shared" si="1"/>
        <v>-4.4749040310501087E-3</v>
      </c>
      <c r="E62" s="517">
        <f t="shared" si="2"/>
        <v>4.0030568797990718E-3</v>
      </c>
    </row>
    <row r="63" spans="1:5" x14ac:dyDescent="0.35">
      <c r="A63" s="301">
        <v>45098</v>
      </c>
      <c r="B63" s="2">
        <v>63523.15</v>
      </c>
      <c r="C63" s="411">
        <v>1373.95</v>
      </c>
      <c r="D63" s="517">
        <f t="shared" si="1"/>
        <v>3.0863271522572067E-3</v>
      </c>
      <c r="E63" s="517">
        <f t="shared" si="2"/>
        <v>-1.5865625671513395E-2</v>
      </c>
    </row>
    <row r="64" spans="1:5" x14ac:dyDescent="0.35">
      <c r="A64" s="301">
        <v>45097</v>
      </c>
      <c r="B64" s="2">
        <v>63327.7</v>
      </c>
      <c r="C64" s="411">
        <v>1396.1</v>
      </c>
      <c r="D64" s="517">
        <f t="shared" si="1"/>
        <v>2.5234176002835174E-3</v>
      </c>
      <c r="E64" s="517">
        <f t="shared" si="2"/>
        <v>-5.1307632010262338E-3</v>
      </c>
    </row>
    <row r="65" spans="1:5" x14ac:dyDescent="0.35">
      <c r="A65" s="301">
        <v>45096</v>
      </c>
      <c r="B65" s="2">
        <v>63168.3</v>
      </c>
      <c r="C65" s="411">
        <v>1403.3</v>
      </c>
      <c r="D65" s="517">
        <f t="shared" si="1"/>
        <v>-3.4121863708806988E-3</v>
      </c>
      <c r="E65" s="517">
        <f t="shared" si="2"/>
        <v>-1.7811976773185467E-4</v>
      </c>
    </row>
    <row r="66" spans="1:5" x14ac:dyDescent="0.35">
      <c r="A66" s="301">
        <v>45093</v>
      </c>
      <c r="B66" s="2">
        <v>63384.58</v>
      </c>
      <c r="C66" s="411">
        <v>1403.55</v>
      </c>
      <c r="D66" s="517">
        <f t="shared" si="1"/>
        <v>7.4216082201443712E-3</v>
      </c>
      <c r="E66" s="517">
        <f t="shared" si="2"/>
        <v>7.7544426494344787E-3</v>
      </c>
    </row>
    <row r="67" spans="1:5" x14ac:dyDescent="0.35">
      <c r="A67" s="301">
        <v>45092</v>
      </c>
      <c r="B67" s="2">
        <v>62917.63</v>
      </c>
      <c r="C67" s="411">
        <v>1392.75</v>
      </c>
      <c r="D67" s="517">
        <f t="shared" si="1"/>
        <v>-4.916769349776029E-3</v>
      </c>
      <c r="E67" s="517">
        <f t="shared" si="2"/>
        <v>1.0080864488523078E-2</v>
      </c>
    </row>
    <row r="68" spans="1:5" x14ac:dyDescent="0.35">
      <c r="A68" s="301">
        <v>45091</v>
      </c>
      <c r="B68" s="2">
        <v>63228.51</v>
      </c>
      <c r="C68" s="411">
        <v>1378.85</v>
      </c>
      <c r="D68" s="517">
        <f t="shared" si="1"/>
        <v>1.3516903493584476E-3</v>
      </c>
      <c r="E68" s="517">
        <f t="shared" si="2"/>
        <v>4.8462323276490249E-3</v>
      </c>
    </row>
    <row r="69" spans="1:5" x14ac:dyDescent="0.35">
      <c r="A69" s="301">
        <v>45090</v>
      </c>
      <c r="B69" s="2">
        <v>63143.16</v>
      </c>
      <c r="C69" s="411">
        <v>1372.2</v>
      </c>
      <c r="D69" s="517">
        <f t="shared" ref="D69:D132" si="3">B69/B70-1</f>
        <v>6.6712145819407542E-3</v>
      </c>
      <c r="E69" s="517">
        <f t="shared" ref="E69:E132" si="4">C69/C70-1</f>
        <v>-6.4081676984901748E-3</v>
      </c>
    </row>
    <row r="70" spans="1:5" x14ac:dyDescent="0.35">
      <c r="A70" s="301">
        <v>45089</v>
      </c>
      <c r="B70" s="2">
        <v>62724.71</v>
      </c>
      <c r="C70" s="411">
        <v>1381.05</v>
      </c>
      <c r="D70" s="517">
        <f t="shared" si="3"/>
        <v>1.5820998527280583E-3</v>
      </c>
      <c r="E70" s="517">
        <f t="shared" si="4"/>
        <v>8.6546888694127855E-3</v>
      </c>
    </row>
    <row r="71" spans="1:5" x14ac:dyDescent="0.35">
      <c r="A71" s="301">
        <v>45086</v>
      </c>
      <c r="B71" s="2">
        <v>62625.63</v>
      </c>
      <c r="C71" s="411">
        <v>1369.2</v>
      </c>
      <c r="D71" s="517">
        <f t="shared" si="3"/>
        <v>-3.5483663608313343E-3</v>
      </c>
      <c r="E71" s="517">
        <f t="shared" si="4"/>
        <v>-8.2213610517546387E-3</v>
      </c>
    </row>
    <row r="72" spans="1:5" x14ac:dyDescent="0.35">
      <c r="A72" s="301">
        <v>45085</v>
      </c>
      <c r="B72" s="2">
        <v>62848.639999999999</v>
      </c>
      <c r="C72" s="411">
        <v>1380.55</v>
      </c>
      <c r="D72" s="517">
        <f t="shared" si="3"/>
        <v>-4.6611688777339344E-3</v>
      </c>
      <c r="E72" s="517">
        <f t="shared" si="4"/>
        <v>-1.7926373821803288E-2</v>
      </c>
    </row>
    <row r="73" spans="1:5" x14ac:dyDescent="0.35">
      <c r="A73" s="301">
        <v>45084</v>
      </c>
      <c r="B73" s="2">
        <v>63142.96</v>
      </c>
      <c r="C73" s="411">
        <v>1405.75</v>
      </c>
      <c r="D73" s="517">
        <f t="shared" si="3"/>
        <v>5.5751543805604431E-3</v>
      </c>
      <c r="E73" s="517">
        <f t="shared" si="4"/>
        <v>-3.5088962926207445E-3</v>
      </c>
    </row>
    <row r="74" spans="1:5" x14ac:dyDescent="0.35">
      <c r="A74" s="301">
        <v>45083</v>
      </c>
      <c r="B74" s="2">
        <v>62792.88</v>
      </c>
      <c r="C74" s="411">
        <v>1410.7</v>
      </c>
      <c r="D74" s="517">
        <f t="shared" si="3"/>
        <v>8.6163688391982518E-5</v>
      </c>
      <c r="E74" s="517">
        <f t="shared" si="4"/>
        <v>1.1399483796960208E-2</v>
      </c>
    </row>
    <row r="75" spans="1:5" x14ac:dyDescent="0.35">
      <c r="A75" s="301">
        <v>45082</v>
      </c>
      <c r="B75" s="2">
        <v>62787.47</v>
      </c>
      <c r="C75" s="411">
        <v>1394.8</v>
      </c>
      <c r="D75" s="517">
        <f t="shared" si="3"/>
        <v>3.8428634032812159E-3</v>
      </c>
      <c r="E75" s="517">
        <f t="shared" si="4"/>
        <v>4.0080533909995886E-2</v>
      </c>
    </row>
    <row r="76" spans="1:5" x14ac:dyDescent="0.35">
      <c r="A76" s="301">
        <v>45079</v>
      </c>
      <c r="B76" s="2">
        <v>62547.11</v>
      </c>
      <c r="C76" s="411">
        <v>1341.05</v>
      </c>
      <c r="D76" s="517">
        <f t="shared" si="3"/>
        <v>1.8992915740141392E-3</v>
      </c>
      <c r="E76" s="517">
        <f t="shared" si="4"/>
        <v>1.6832846798347179E-2</v>
      </c>
    </row>
    <row r="77" spans="1:5" x14ac:dyDescent="0.35">
      <c r="A77" s="301">
        <v>45078</v>
      </c>
      <c r="B77" s="2">
        <v>62428.54</v>
      </c>
      <c r="C77" s="411">
        <v>1318.85</v>
      </c>
      <c r="D77" s="517">
        <f t="shared" si="3"/>
        <v>-3.0931502929310017E-3</v>
      </c>
      <c r="E77" s="517">
        <f t="shared" si="4"/>
        <v>3.4132281553378441E-4</v>
      </c>
    </row>
    <row r="78" spans="1:5" x14ac:dyDescent="0.35">
      <c r="A78" s="301">
        <v>45077</v>
      </c>
      <c r="B78" s="2">
        <v>62622.239999999998</v>
      </c>
      <c r="C78" s="411">
        <v>1318.4</v>
      </c>
      <c r="D78" s="517">
        <f t="shared" si="3"/>
        <v>-5.508889832208208E-3</v>
      </c>
      <c r="E78" s="517">
        <f t="shared" si="4"/>
        <v>-7.3784068664357605E-3</v>
      </c>
    </row>
    <row r="79" spans="1:5" x14ac:dyDescent="0.35">
      <c r="A79" s="301">
        <v>45076</v>
      </c>
      <c r="B79" s="2">
        <v>62969.13</v>
      </c>
      <c r="C79" s="411">
        <v>1328.2</v>
      </c>
      <c r="D79" s="517">
        <f t="shared" si="3"/>
        <v>1.9531753459784973E-3</v>
      </c>
      <c r="E79" s="517">
        <f t="shared" si="4"/>
        <v>-9.402384444695544E-4</v>
      </c>
    </row>
    <row r="80" spans="1:5" x14ac:dyDescent="0.35">
      <c r="A80" s="301">
        <v>45075</v>
      </c>
      <c r="B80" s="2">
        <v>62846.38</v>
      </c>
      <c r="C80" s="411">
        <v>1329.45</v>
      </c>
      <c r="D80" s="517">
        <f t="shared" si="3"/>
        <v>5.5148908773505756E-3</v>
      </c>
      <c r="E80" s="517">
        <f t="shared" si="4"/>
        <v>3.7133830011311986E-2</v>
      </c>
    </row>
    <row r="81" spans="1:5" x14ac:dyDescent="0.35">
      <c r="A81" s="301">
        <v>45072</v>
      </c>
      <c r="B81" s="2">
        <v>62501.69</v>
      </c>
      <c r="C81" s="411">
        <v>1281.8499999999999</v>
      </c>
      <c r="D81" s="517">
        <f t="shared" si="3"/>
        <v>1.0167178955732048E-2</v>
      </c>
      <c r="E81" s="517">
        <f t="shared" si="4"/>
        <v>3.365817384838099E-3</v>
      </c>
    </row>
    <row r="82" spans="1:5" x14ac:dyDescent="0.35">
      <c r="A82" s="301">
        <v>45071</v>
      </c>
      <c r="B82" s="2">
        <v>61872.62</v>
      </c>
      <c r="C82" s="411">
        <v>1277.55</v>
      </c>
      <c r="D82" s="517">
        <f t="shared" si="3"/>
        <v>1.6000315991671066E-3</v>
      </c>
      <c r="E82" s="517">
        <f t="shared" si="4"/>
        <v>1.0970497198603546E-3</v>
      </c>
    </row>
    <row r="83" spans="1:5" x14ac:dyDescent="0.35">
      <c r="A83" s="301">
        <v>45070</v>
      </c>
      <c r="B83" s="2">
        <v>61773.78</v>
      </c>
      <c r="C83" s="411">
        <v>1276.1500000000001</v>
      </c>
      <c r="D83" s="517">
        <f t="shared" si="3"/>
        <v>-3.3559856854731285E-3</v>
      </c>
      <c r="E83" s="517">
        <f t="shared" si="4"/>
        <v>6.1893873689191636E-3</v>
      </c>
    </row>
    <row r="84" spans="1:5" x14ac:dyDescent="0.35">
      <c r="A84" s="301">
        <v>45069</v>
      </c>
      <c r="B84" s="2">
        <v>61981.79</v>
      </c>
      <c r="C84" s="411">
        <v>1268.3</v>
      </c>
      <c r="D84" s="517">
        <f t="shared" si="3"/>
        <v>2.922679866657063E-4</v>
      </c>
      <c r="E84" s="517">
        <f t="shared" si="4"/>
        <v>2.2917654496601436E-3</v>
      </c>
    </row>
    <row r="85" spans="1:5" x14ac:dyDescent="0.35">
      <c r="A85" s="301">
        <v>45068</v>
      </c>
      <c r="B85" s="2">
        <v>61963.68</v>
      </c>
      <c r="C85" s="411">
        <v>1265.4000000000001</v>
      </c>
      <c r="D85" s="517">
        <f t="shared" si="3"/>
        <v>3.7907210923497914E-3</v>
      </c>
      <c r="E85" s="517">
        <f t="shared" si="4"/>
        <v>4.1263291541024927E-3</v>
      </c>
    </row>
    <row r="86" spans="1:5" x14ac:dyDescent="0.35">
      <c r="A86" s="301">
        <v>45065</v>
      </c>
      <c r="B86" s="2">
        <v>61729.68</v>
      </c>
      <c r="C86" s="411">
        <v>1260.2</v>
      </c>
      <c r="D86" s="517">
        <f t="shared" si="3"/>
        <v>4.8499358800515591E-3</v>
      </c>
      <c r="E86" s="517">
        <f t="shared" si="4"/>
        <v>1.1964988356219397E-2</v>
      </c>
    </row>
    <row r="87" spans="1:5" x14ac:dyDescent="0.35">
      <c r="A87" s="301">
        <v>45064</v>
      </c>
      <c r="B87" s="2">
        <v>61431.74</v>
      </c>
      <c r="C87" s="411">
        <v>1245.3</v>
      </c>
      <c r="D87" s="517">
        <f t="shared" si="3"/>
        <v>-2.0938703691190108E-3</v>
      </c>
      <c r="E87" s="517">
        <f t="shared" si="4"/>
        <v>-1.4248397055331319E-2</v>
      </c>
    </row>
    <row r="88" spans="1:5" x14ac:dyDescent="0.35">
      <c r="A88" s="301">
        <v>45063</v>
      </c>
      <c r="B88" s="2">
        <v>61560.639999999999</v>
      </c>
      <c r="C88" s="411">
        <v>1263.3</v>
      </c>
      <c r="D88" s="517">
        <f t="shared" si="3"/>
        <v>-6.0037973618685125E-3</v>
      </c>
      <c r="E88" s="517">
        <f t="shared" si="4"/>
        <v>6.3366336633663423E-4</v>
      </c>
    </row>
    <row r="89" spans="1:5" x14ac:dyDescent="0.35">
      <c r="A89" s="301">
        <v>45062</v>
      </c>
      <c r="B89" s="2">
        <v>61932.47</v>
      </c>
      <c r="C89" s="411">
        <v>1262.5</v>
      </c>
      <c r="D89" s="517">
        <f t="shared" si="3"/>
        <v>-6.6282026461804699E-3</v>
      </c>
      <c r="E89" s="517">
        <f t="shared" si="4"/>
        <v>-1.8159194307267534E-2</v>
      </c>
    </row>
    <row r="90" spans="1:5" x14ac:dyDescent="0.35">
      <c r="A90" s="301">
        <v>45061</v>
      </c>
      <c r="B90" s="2">
        <v>62345.71</v>
      </c>
      <c r="C90" s="411">
        <v>1285.8499999999999</v>
      </c>
      <c r="D90" s="517">
        <f t="shared" si="3"/>
        <v>5.1236620939931754E-3</v>
      </c>
      <c r="E90" s="517">
        <f t="shared" si="4"/>
        <v>7.8379119802485242E-3</v>
      </c>
    </row>
    <row r="91" spans="1:5" x14ac:dyDescent="0.35">
      <c r="A91" s="301">
        <v>45058</v>
      </c>
      <c r="B91" s="2">
        <v>62027.9</v>
      </c>
      <c r="C91" s="411">
        <v>1275.8499999999999</v>
      </c>
      <c r="D91" s="517">
        <f t="shared" si="3"/>
        <v>1.9930693267633526E-3</v>
      </c>
      <c r="E91" s="517">
        <f t="shared" si="4"/>
        <v>1.9090219257957397E-2</v>
      </c>
    </row>
    <row r="92" spans="1:5" x14ac:dyDescent="0.35">
      <c r="A92" s="301">
        <v>45057</v>
      </c>
      <c r="B92" s="2">
        <v>61904.52</v>
      </c>
      <c r="C92" s="411">
        <v>1251.95</v>
      </c>
      <c r="D92" s="517">
        <f t="shared" si="3"/>
        <v>-5.7603947032780489E-4</v>
      </c>
      <c r="E92" s="517">
        <f t="shared" si="4"/>
        <v>2.3618895116093164E-3</v>
      </c>
    </row>
    <row r="93" spans="1:5" x14ac:dyDescent="0.35">
      <c r="A93" s="301">
        <v>45056</v>
      </c>
      <c r="B93" s="2">
        <v>61940.2</v>
      </c>
      <c r="C93" s="411">
        <v>1249</v>
      </c>
      <c r="D93" s="517">
        <f t="shared" si="3"/>
        <v>2.8961487714074252E-3</v>
      </c>
      <c r="E93" s="517">
        <f t="shared" si="4"/>
        <v>3.0114434852439587E-3</v>
      </c>
    </row>
    <row r="94" spans="1:5" x14ac:dyDescent="0.35">
      <c r="A94" s="301">
        <v>45055</v>
      </c>
      <c r="B94" s="2">
        <v>61761.33</v>
      </c>
      <c r="C94" s="411">
        <v>1245.25</v>
      </c>
      <c r="D94" s="517">
        <f t="shared" si="3"/>
        <v>-4.727653942204757E-5</v>
      </c>
      <c r="E94" s="517">
        <f t="shared" si="4"/>
        <v>9.6075887789848213E-3</v>
      </c>
    </row>
    <row r="95" spans="1:5" x14ac:dyDescent="0.35">
      <c r="A95" s="301">
        <v>45054</v>
      </c>
      <c r="B95" s="2">
        <v>61764.25</v>
      </c>
      <c r="C95" s="411">
        <v>1233.4000000000001</v>
      </c>
      <c r="D95" s="517">
        <f t="shared" si="3"/>
        <v>1.1628339302610868E-2</v>
      </c>
      <c r="E95" s="517">
        <f t="shared" si="4"/>
        <v>1.723711340206191E-2</v>
      </c>
    </row>
    <row r="96" spans="1:5" x14ac:dyDescent="0.35">
      <c r="A96" s="301">
        <v>45051</v>
      </c>
      <c r="B96" s="2">
        <v>61054.29</v>
      </c>
      <c r="C96" s="411">
        <v>1212.5</v>
      </c>
      <c r="D96" s="517">
        <f t="shared" si="3"/>
        <v>-1.1254549650400625E-2</v>
      </c>
      <c r="E96" s="517">
        <f t="shared" si="4"/>
        <v>-1.5468312289391384E-2</v>
      </c>
    </row>
    <row r="97" spans="1:5" x14ac:dyDescent="0.35">
      <c r="A97" s="301">
        <v>45050</v>
      </c>
      <c r="B97" s="2">
        <v>61749.25</v>
      </c>
      <c r="C97" s="411">
        <v>1231.55</v>
      </c>
      <c r="D97" s="517">
        <f t="shared" si="3"/>
        <v>9.0851449423383634E-3</v>
      </c>
      <c r="E97" s="517">
        <f t="shared" si="4"/>
        <v>-3.1567445060505239E-3</v>
      </c>
    </row>
    <row r="98" spans="1:5" x14ac:dyDescent="0.35">
      <c r="A98" s="301">
        <v>45049</v>
      </c>
      <c r="B98" s="2">
        <v>61193.3</v>
      </c>
      <c r="C98" s="411">
        <v>1235.45</v>
      </c>
      <c r="D98" s="517">
        <f t="shared" si="3"/>
        <v>-2.6307678742185647E-3</v>
      </c>
      <c r="E98" s="517">
        <f t="shared" si="4"/>
        <v>-1.2933996200638065E-3</v>
      </c>
    </row>
    <row r="99" spans="1:5" x14ac:dyDescent="0.35">
      <c r="A99" s="301">
        <v>45048</v>
      </c>
      <c r="B99" s="2">
        <v>61354.71</v>
      </c>
      <c r="C99" s="411">
        <v>1237.05</v>
      </c>
      <c r="D99" s="517">
        <f t="shared" si="3"/>
        <v>3.9643319756172968E-3</v>
      </c>
      <c r="E99" s="517">
        <f t="shared" si="4"/>
        <v>8.5194847546061769E-3</v>
      </c>
    </row>
    <row r="100" spans="1:5" x14ac:dyDescent="0.35">
      <c r="A100" s="301">
        <v>45044</v>
      </c>
      <c r="B100" s="2">
        <v>61112.44</v>
      </c>
      <c r="C100" s="411">
        <v>1226.5999999999999</v>
      </c>
      <c r="D100" s="517">
        <f t="shared" si="3"/>
        <v>7.6350327076715185E-3</v>
      </c>
      <c r="E100" s="517">
        <f t="shared" si="4"/>
        <v>2.0832482333237312E-3</v>
      </c>
    </row>
    <row r="101" spans="1:5" x14ac:dyDescent="0.35">
      <c r="A101" s="301">
        <v>45043</v>
      </c>
      <c r="B101" s="2">
        <v>60649.38</v>
      </c>
      <c r="C101" s="411">
        <v>1224.05</v>
      </c>
      <c r="D101" s="517">
        <f t="shared" si="3"/>
        <v>5.7843556396970364E-3</v>
      </c>
      <c r="E101" s="517">
        <f t="shared" si="4"/>
        <v>8.2368930439438159E-3</v>
      </c>
    </row>
    <row r="102" spans="1:5" x14ac:dyDescent="0.35">
      <c r="A102" s="301">
        <v>45042</v>
      </c>
      <c r="B102" s="2">
        <v>60300.58</v>
      </c>
      <c r="C102" s="411">
        <v>1214.05</v>
      </c>
      <c r="D102" s="517">
        <f t="shared" si="3"/>
        <v>2.8250123772028957E-3</v>
      </c>
      <c r="E102" s="517">
        <f t="shared" si="4"/>
        <v>3.7203918812782621E-3</v>
      </c>
    </row>
    <row r="103" spans="1:5" x14ac:dyDescent="0.35">
      <c r="A103" s="301">
        <v>45041</v>
      </c>
      <c r="B103" s="2">
        <v>60130.71</v>
      </c>
      <c r="C103" s="411">
        <v>1209.55</v>
      </c>
      <c r="D103" s="517">
        <f t="shared" si="3"/>
        <v>1.2423384135833437E-3</v>
      </c>
      <c r="E103" s="517">
        <f t="shared" si="4"/>
        <v>1.490374663630778E-3</v>
      </c>
    </row>
    <row r="104" spans="1:5" x14ac:dyDescent="0.35">
      <c r="A104" s="301">
        <v>45040</v>
      </c>
      <c r="B104" s="2">
        <v>60056.1</v>
      </c>
      <c r="C104" s="411">
        <v>1207.75</v>
      </c>
      <c r="D104" s="517">
        <f t="shared" si="3"/>
        <v>6.7226485062625851E-3</v>
      </c>
      <c r="E104" s="517">
        <f t="shared" si="4"/>
        <v>-4.1639182058047508E-3</v>
      </c>
    </row>
    <row r="105" spans="1:5" x14ac:dyDescent="0.35">
      <c r="A105" s="301">
        <v>45037</v>
      </c>
      <c r="B105" s="2">
        <v>59655.06</v>
      </c>
      <c r="C105" s="411">
        <v>1212.8</v>
      </c>
      <c r="D105" s="517">
        <f t="shared" si="3"/>
        <v>3.8083355762430493E-4</v>
      </c>
      <c r="E105" s="517">
        <f t="shared" si="4"/>
        <v>-4.7595601509928809E-3</v>
      </c>
    </row>
    <row r="106" spans="1:5" x14ac:dyDescent="0.35">
      <c r="A106" s="301">
        <v>45036</v>
      </c>
      <c r="B106" s="2">
        <v>59632.35</v>
      </c>
      <c r="C106" s="411">
        <v>1218.5999999999999</v>
      </c>
      <c r="D106" s="517">
        <f t="shared" si="3"/>
        <v>1.0836391473245666E-3</v>
      </c>
      <c r="E106" s="517">
        <f t="shared" si="4"/>
        <v>2.261792161862175E-3</v>
      </c>
    </row>
    <row r="107" spans="1:5" x14ac:dyDescent="0.35">
      <c r="A107" s="301">
        <v>45035</v>
      </c>
      <c r="B107" s="2">
        <v>59567.8</v>
      </c>
      <c r="C107" s="411">
        <v>1215.8499999999999</v>
      </c>
      <c r="D107" s="517">
        <f t="shared" si="3"/>
        <v>-2.6656281638742785E-3</v>
      </c>
      <c r="E107" s="517">
        <f t="shared" si="4"/>
        <v>9.0460185069918264E-3</v>
      </c>
    </row>
    <row r="108" spans="1:5" x14ac:dyDescent="0.35">
      <c r="A108" s="301">
        <v>45034</v>
      </c>
      <c r="B108" s="2">
        <v>59727.01</v>
      </c>
      <c r="C108" s="411">
        <v>1204.95</v>
      </c>
      <c r="D108" s="517">
        <f t="shared" si="3"/>
        <v>-3.0668953401518095E-3</v>
      </c>
      <c r="E108" s="517">
        <f t="shared" si="4"/>
        <v>-6.5954903334844994E-3</v>
      </c>
    </row>
    <row r="109" spans="1:5" x14ac:dyDescent="0.35">
      <c r="A109" s="301">
        <v>45033</v>
      </c>
      <c r="B109" s="2">
        <v>59910.75</v>
      </c>
      <c r="C109" s="411">
        <v>1212.95</v>
      </c>
      <c r="D109" s="517">
        <f t="shared" si="3"/>
        <v>-8.6089920736046599E-3</v>
      </c>
      <c r="E109" s="517">
        <f t="shared" si="4"/>
        <v>6.8899680405096753E-3</v>
      </c>
    </row>
    <row r="110" spans="1:5" x14ac:dyDescent="0.35">
      <c r="A110" s="301">
        <v>45029</v>
      </c>
      <c r="B110" s="2">
        <v>60431</v>
      </c>
      <c r="C110" s="411">
        <v>1204.6500000000001</v>
      </c>
      <c r="D110" s="517">
        <f t="shared" si="3"/>
        <v>6.3302279395371919E-4</v>
      </c>
      <c r="E110" s="517">
        <f t="shared" si="4"/>
        <v>-2.6080476900147698E-3</v>
      </c>
    </row>
    <row r="111" spans="1:5" x14ac:dyDescent="0.35">
      <c r="A111" s="301">
        <v>45028</v>
      </c>
      <c r="B111" s="2">
        <v>60392.77</v>
      </c>
      <c r="C111" s="411">
        <v>1207.8</v>
      </c>
      <c r="D111" s="517">
        <f t="shared" si="3"/>
        <v>3.9072291968511585E-3</v>
      </c>
      <c r="E111" s="517">
        <f t="shared" si="4"/>
        <v>4.9507010026210718E-3</v>
      </c>
    </row>
    <row r="112" spans="1:5" x14ac:dyDescent="0.35">
      <c r="A112" s="301">
        <v>45027</v>
      </c>
      <c r="B112" s="2">
        <v>60157.72</v>
      </c>
      <c r="C112" s="411">
        <v>1201.8499999999999</v>
      </c>
      <c r="D112" s="517">
        <f t="shared" si="3"/>
        <v>5.2001361482900688E-3</v>
      </c>
      <c r="E112" s="517">
        <f t="shared" si="4"/>
        <v>1.1360289477005958E-2</v>
      </c>
    </row>
    <row r="113" spans="1:5" x14ac:dyDescent="0.35">
      <c r="A113" s="301">
        <v>45026</v>
      </c>
      <c r="B113" s="2">
        <v>59846.51</v>
      </c>
      <c r="C113" s="411">
        <v>1188.3499999999999</v>
      </c>
      <c r="D113" s="517">
        <f t="shared" si="3"/>
        <v>2.2629663879292217E-4</v>
      </c>
      <c r="E113" s="517">
        <f t="shared" si="4"/>
        <v>1.4599786552828009E-2</v>
      </c>
    </row>
    <row r="114" spans="1:5" x14ac:dyDescent="0.35">
      <c r="A114" s="301">
        <v>45022</v>
      </c>
      <c r="B114" s="2">
        <v>59832.97</v>
      </c>
      <c r="C114" s="411">
        <v>1171.25</v>
      </c>
      <c r="D114" s="517">
        <f t="shared" si="3"/>
        <v>2.4067961248002145E-3</v>
      </c>
      <c r="E114" s="517">
        <f t="shared" si="4"/>
        <v>1.349889672478688E-2</v>
      </c>
    </row>
    <row r="115" spans="1:5" x14ac:dyDescent="0.35">
      <c r="A115" s="301">
        <v>45021</v>
      </c>
      <c r="B115" s="2">
        <v>59689.31</v>
      </c>
      <c r="C115" s="411">
        <v>1155.6500000000001</v>
      </c>
      <c r="D115" s="517">
        <f t="shared" si="3"/>
        <v>9.8613619767997651E-3</v>
      </c>
      <c r="E115" s="517">
        <f t="shared" si="4"/>
        <v>-1.2391573729863659E-2</v>
      </c>
    </row>
    <row r="116" spans="1:5" x14ac:dyDescent="0.35">
      <c r="A116" s="301">
        <v>45019</v>
      </c>
      <c r="B116" s="2">
        <v>59106.44</v>
      </c>
      <c r="C116" s="411">
        <v>1170.1500000000001</v>
      </c>
      <c r="D116" s="517">
        <f t="shared" si="3"/>
        <v>1.9480766049086995E-3</v>
      </c>
      <c r="E116" s="517">
        <f t="shared" si="4"/>
        <v>1.0012515644555853E-2</v>
      </c>
    </row>
    <row r="117" spans="1:5" x14ac:dyDescent="0.35">
      <c r="A117" s="301">
        <v>45016</v>
      </c>
      <c r="B117" s="2">
        <v>58991.519999999997</v>
      </c>
      <c r="C117" s="411">
        <v>1158.55</v>
      </c>
      <c r="D117" s="517">
        <f t="shared" si="3"/>
        <v>1.7795521021447769E-2</v>
      </c>
      <c r="E117" s="517">
        <f t="shared" si="4"/>
        <v>1.2055033850185692E-2</v>
      </c>
    </row>
    <row r="118" spans="1:5" x14ac:dyDescent="0.35">
      <c r="A118" s="301">
        <v>45014</v>
      </c>
      <c r="B118" s="2">
        <v>57960.09</v>
      </c>
      <c r="C118" s="411">
        <v>1144.75</v>
      </c>
      <c r="D118" s="517">
        <f t="shared" si="3"/>
        <v>6.0119360457890902E-3</v>
      </c>
      <c r="E118" s="517">
        <f t="shared" si="4"/>
        <v>1.4759329846644853E-2</v>
      </c>
    </row>
    <row r="119" spans="1:5" x14ac:dyDescent="0.35">
      <c r="A119" s="301">
        <v>45013</v>
      </c>
      <c r="B119" s="2">
        <v>57613.72</v>
      </c>
      <c r="C119" s="411">
        <v>1128.0999999999999</v>
      </c>
      <c r="D119" s="517">
        <f t="shared" si="3"/>
        <v>-6.9622398222768389E-4</v>
      </c>
      <c r="E119" s="517">
        <f t="shared" si="4"/>
        <v>-8.6994727592267784E-3</v>
      </c>
    </row>
    <row r="120" spans="1:5" x14ac:dyDescent="0.35">
      <c r="A120" s="301">
        <v>45012</v>
      </c>
      <c r="B120" s="2">
        <v>57653.86</v>
      </c>
      <c r="C120" s="411">
        <v>1138</v>
      </c>
      <c r="D120" s="517">
        <f t="shared" si="3"/>
        <v>2.2034832279047567E-3</v>
      </c>
      <c r="E120" s="517">
        <f t="shared" si="4"/>
        <v>-1.0606850982437854E-2</v>
      </c>
    </row>
    <row r="121" spans="1:5" x14ac:dyDescent="0.35">
      <c r="A121" s="301">
        <v>45009</v>
      </c>
      <c r="B121" s="2">
        <v>57527.1</v>
      </c>
      <c r="C121" s="411">
        <v>1150.2</v>
      </c>
      <c r="D121" s="517">
        <f t="shared" si="3"/>
        <v>-6.8740280582156865E-3</v>
      </c>
      <c r="E121" s="517">
        <f t="shared" si="4"/>
        <v>-1.2534340659340559E-2</v>
      </c>
    </row>
    <row r="122" spans="1:5" x14ac:dyDescent="0.35">
      <c r="A122" s="301">
        <v>45008</v>
      </c>
      <c r="B122" s="2">
        <v>57925.279999999999</v>
      </c>
      <c r="C122" s="411">
        <v>1164.8</v>
      </c>
      <c r="D122" s="517">
        <f t="shared" si="3"/>
        <v>-4.9697163546114087E-3</v>
      </c>
      <c r="E122" s="517">
        <f t="shared" si="4"/>
        <v>3.4352456200603676E-4</v>
      </c>
    </row>
    <row r="123" spans="1:5" x14ac:dyDescent="0.35">
      <c r="A123" s="301">
        <v>45007</v>
      </c>
      <c r="B123" s="2">
        <v>58214.59</v>
      </c>
      <c r="C123" s="411">
        <v>1164.4000000000001</v>
      </c>
      <c r="D123" s="517">
        <f t="shared" si="3"/>
        <v>2.4091394046423797E-3</v>
      </c>
      <c r="E123" s="517">
        <f t="shared" si="4"/>
        <v>3.6633193983537371E-3</v>
      </c>
    </row>
    <row r="124" spans="1:5" x14ac:dyDescent="0.35">
      <c r="A124" s="301">
        <v>45006</v>
      </c>
      <c r="B124" s="2">
        <v>58074.68</v>
      </c>
      <c r="C124" s="411">
        <v>1160.1500000000001</v>
      </c>
      <c r="D124" s="517">
        <f t="shared" si="3"/>
        <v>7.7344806733421478E-3</v>
      </c>
      <c r="E124" s="517">
        <f t="shared" si="4"/>
        <v>-6.3380583272664159E-3</v>
      </c>
    </row>
    <row r="125" spans="1:5" x14ac:dyDescent="0.35">
      <c r="A125" s="301">
        <v>45005</v>
      </c>
      <c r="B125" s="2">
        <v>57628.95</v>
      </c>
      <c r="C125" s="411">
        <v>1167.55</v>
      </c>
      <c r="D125" s="517">
        <f t="shared" si="3"/>
        <v>-6.2243597591995492E-3</v>
      </c>
      <c r="E125" s="517">
        <f t="shared" si="4"/>
        <v>-3.6268987881891146E-3</v>
      </c>
    </row>
    <row r="126" spans="1:5" x14ac:dyDescent="0.35">
      <c r="A126" s="301">
        <v>45002</v>
      </c>
      <c r="B126" s="2">
        <v>57989.9</v>
      </c>
      <c r="C126" s="411">
        <v>1171.8</v>
      </c>
      <c r="D126" s="517">
        <f t="shared" si="3"/>
        <v>6.160509858273322E-3</v>
      </c>
      <c r="E126" s="517">
        <f t="shared" si="4"/>
        <v>3.2963739886124888E-3</v>
      </c>
    </row>
    <row r="127" spans="1:5" x14ac:dyDescent="0.35">
      <c r="A127" s="301">
        <v>45001</v>
      </c>
      <c r="B127" s="2">
        <v>57634.84</v>
      </c>
      <c r="C127" s="411">
        <v>1167.95</v>
      </c>
      <c r="D127" s="517">
        <f t="shared" si="3"/>
        <v>1.3715361935091597E-3</v>
      </c>
      <c r="E127" s="517">
        <f t="shared" si="4"/>
        <v>6.896849002112182E-3</v>
      </c>
    </row>
    <row r="128" spans="1:5" x14ac:dyDescent="0.35">
      <c r="A128" s="301">
        <v>45000</v>
      </c>
      <c r="B128" s="2">
        <v>57555.9</v>
      </c>
      <c r="C128" s="411">
        <v>1159.95</v>
      </c>
      <c r="D128" s="517">
        <f t="shared" si="3"/>
        <v>-5.9462671884150664E-3</v>
      </c>
      <c r="E128" s="517">
        <f t="shared" si="4"/>
        <v>-2.5856496444731647E-4</v>
      </c>
    </row>
    <row r="129" spans="1:5" x14ac:dyDescent="0.35">
      <c r="A129" s="301">
        <v>44999</v>
      </c>
      <c r="B129" s="2">
        <v>57900.19</v>
      </c>
      <c r="C129" s="411">
        <v>1160.25</v>
      </c>
      <c r="D129" s="517">
        <f t="shared" si="3"/>
        <v>-5.7979475547259574E-3</v>
      </c>
      <c r="E129" s="517">
        <f t="shared" si="4"/>
        <v>-2.9201355478391866E-2</v>
      </c>
    </row>
    <row r="130" spans="1:5" x14ac:dyDescent="0.35">
      <c r="A130" s="301">
        <v>44998</v>
      </c>
      <c r="B130" s="2">
        <v>58237.85</v>
      </c>
      <c r="C130" s="411">
        <v>1195.1500000000001</v>
      </c>
      <c r="D130" s="517">
        <f t="shared" si="3"/>
        <v>-1.5173383401710594E-2</v>
      </c>
      <c r="E130" s="517">
        <f t="shared" si="4"/>
        <v>-2.5719409798646731E-2</v>
      </c>
    </row>
    <row r="131" spans="1:5" x14ac:dyDescent="0.35">
      <c r="A131" s="301">
        <v>44995</v>
      </c>
      <c r="B131" s="2">
        <v>59135.13</v>
      </c>
      <c r="C131" s="411">
        <v>1226.7</v>
      </c>
      <c r="D131" s="517">
        <f t="shared" si="3"/>
        <v>-1.122206564260475E-2</v>
      </c>
      <c r="E131" s="517">
        <f t="shared" si="4"/>
        <v>-1.6712757003727208E-2</v>
      </c>
    </row>
    <row r="132" spans="1:5" x14ac:dyDescent="0.35">
      <c r="A132" s="301">
        <v>44994</v>
      </c>
      <c r="B132" s="2">
        <v>59806.28</v>
      </c>
      <c r="C132" s="411">
        <v>1247.55</v>
      </c>
      <c r="D132" s="517">
        <f t="shared" si="3"/>
        <v>-8.9780803336111381E-3</v>
      </c>
      <c r="E132" s="517">
        <f t="shared" si="4"/>
        <v>-3.3056890404588479E-2</v>
      </c>
    </row>
    <row r="133" spans="1:5" x14ac:dyDescent="0.35">
      <c r="A133" s="301">
        <v>44993</v>
      </c>
      <c r="B133" s="2">
        <v>60348.09</v>
      </c>
      <c r="C133" s="411">
        <v>1290.2</v>
      </c>
      <c r="D133" s="517">
        <f t="shared" ref="D133:D196" si="5">B133/B134-1</f>
        <v>2.0528203988876559E-3</v>
      </c>
      <c r="E133" s="517">
        <f t="shared" ref="E133:E196" si="6">C133/C134-1</f>
        <v>1.6065522129469212E-2</v>
      </c>
    </row>
    <row r="134" spans="1:5" x14ac:dyDescent="0.35">
      <c r="A134" s="301">
        <v>44991</v>
      </c>
      <c r="B134" s="2">
        <v>60224.46</v>
      </c>
      <c r="C134" s="411">
        <v>1269.8</v>
      </c>
      <c r="D134" s="517">
        <f t="shared" si="5"/>
        <v>6.9469512683464352E-3</v>
      </c>
      <c r="E134" s="517">
        <f t="shared" si="6"/>
        <v>1.3011079131015624E-3</v>
      </c>
    </row>
    <row r="135" spans="1:5" x14ac:dyDescent="0.35">
      <c r="A135" s="301">
        <v>44988</v>
      </c>
      <c r="B135" s="2">
        <v>59808.97</v>
      </c>
      <c r="C135" s="411">
        <v>1268.1500000000001</v>
      </c>
      <c r="D135" s="517">
        <f t="shared" si="5"/>
        <v>1.5271259995230047E-2</v>
      </c>
      <c r="E135" s="517">
        <f t="shared" si="6"/>
        <v>1.2980269989615767E-2</v>
      </c>
    </row>
    <row r="136" spans="1:5" x14ac:dyDescent="0.35">
      <c r="A136" s="301">
        <v>44987</v>
      </c>
      <c r="B136" s="2">
        <v>58909.35</v>
      </c>
      <c r="C136" s="411">
        <v>1251.9000000000001</v>
      </c>
      <c r="D136" s="517">
        <f t="shared" si="5"/>
        <v>-8.4450577232395574E-3</v>
      </c>
      <c r="E136" s="517">
        <f t="shared" si="6"/>
        <v>-1.707690495819103E-2</v>
      </c>
    </row>
    <row r="137" spans="1:5" x14ac:dyDescent="0.35">
      <c r="A137" s="301">
        <v>44986</v>
      </c>
      <c r="B137" s="2">
        <v>59411.08</v>
      </c>
      <c r="C137" s="411">
        <v>1273.6500000000001</v>
      </c>
      <c r="D137" s="517">
        <f t="shared" si="5"/>
        <v>7.6143802156367624E-3</v>
      </c>
      <c r="E137" s="517">
        <f t="shared" si="6"/>
        <v>3.0319735391401981E-3</v>
      </c>
    </row>
    <row r="138" spans="1:5" x14ac:dyDescent="0.35">
      <c r="A138" s="301">
        <v>44985</v>
      </c>
      <c r="B138" s="2">
        <v>58962.12</v>
      </c>
      <c r="C138" s="411">
        <v>1269.8</v>
      </c>
      <c r="D138" s="517">
        <f t="shared" si="5"/>
        <v>-5.5024300726870257E-3</v>
      </c>
      <c r="E138" s="517">
        <f t="shared" si="6"/>
        <v>9.8616192142515491E-3</v>
      </c>
    </row>
    <row r="139" spans="1:5" x14ac:dyDescent="0.35">
      <c r="A139" s="301">
        <v>44984</v>
      </c>
      <c r="B139" s="2">
        <v>59288.35</v>
      </c>
      <c r="C139" s="411">
        <v>1257.4000000000001</v>
      </c>
      <c r="D139" s="517">
        <f t="shared" si="5"/>
        <v>-2.9527143597808392E-3</v>
      </c>
      <c r="E139" s="517">
        <f t="shared" si="6"/>
        <v>-1.8078169536527189E-2</v>
      </c>
    </row>
    <row r="140" spans="1:5" x14ac:dyDescent="0.35">
      <c r="A140" s="301">
        <v>44981</v>
      </c>
      <c r="B140" s="2">
        <v>59463.93</v>
      </c>
      <c r="C140" s="411">
        <v>1280.55</v>
      </c>
      <c r="D140" s="517">
        <f t="shared" si="5"/>
        <v>-2.3801375033973837E-3</v>
      </c>
      <c r="E140" s="517">
        <f t="shared" si="6"/>
        <v>-2.5048536297537116E-2</v>
      </c>
    </row>
    <row r="141" spans="1:5" x14ac:dyDescent="0.35">
      <c r="A141" s="301">
        <v>44980</v>
      </c>
      <c r="B141" s="2">
        <v>59605.8</v>
      </c>
      <c r="C141" s="411">
        <v>1313.45</v>
      </c>
      <c r="D141" s="517">
        <f t="shared" si="5"/>
        <v>-2.32956810764684E-3</v>
      </c>
      <c r="E141" s="517">
        <f t="shared" si="6"/>
        <v>-3.9434269897243857E-3</v>
      </c>
    </row>
    <row r="142" spans="1:5" x14ac:dyDescent="0.35">
      <c r="A142" s="301">
        <v>44979</v>
      </c>
      <c r="B142" s="2">
        <v>59744.98</v>
      </c>
      <c r="C142" s="411">
        <v>1318.65</v>
      </c>
      <c r="D142" s="517">
        <f t="shared" si="5"/>
        <v>-1.5290891853867783E-2</v>
      </c>
      <c r="E142" s="517">
        <f t="shared" si="6"/>
        <v>-2.4522858411007431E-2</v>
      </c>
    </row>
    <row r="143" spans="1:5" x14ac:dyDescent="0.35">
      <c r="A143" s="301">
        <v>44978</v>
      </c>
      <c r="B143" s="2">
        <v>60672.72</v>
      </c>
      <c r="C143" s="411">
        <v>1351.8</v>
      </c>
      <c r="D143" s="517">
        <f t="shared" si="5"/>
        <v>-3.1009264223647026E-4</v>
      </c>
      <c r="E143" s="517">
        <f t="shared" si="6"/>
        <v>4.3090638930163294E-3</v>
      </c>
    </row>
    <row r="144" spans="1:5" x14ac:dyDescent="0.35">
      <c r="A144" s="301">
        <v>44977</v>
      </c>
      <c r="B144" s="2">
        <v>60691.54</v>
      </c>
      <c r="C144" s="411">
        <v>1346</v>
      </c>
      <c r="D144" s="517">
        <f t="shared" si="5"/>
        <v>-5.0986376475613548E-3</v>
      </c>
      <c r="E144" s="517">
        <f t="shared" si="6"/>
        <v>3.4666567264323156E-3</v>
      </c>
    </row>
    <row r="145" spans="1:5" x14ac:dyDescent="0.35">
      <c r="A145" s="301">
        <v>44974</v>
      </c>
      <c r="B145" s="2">
        <v>61002.57</v>
      </c>
      <c r="C145" s="411">
        <v>1341.35</v>
      </c>
      <c r="D145" s="517">
        <f t="shared" si="5"/>
        <v>-5.1686649159460307E-3</v>
      </c>
      <c r="E145" s="517">
        <f t="shared" si="6"/>
        <v>-1.9373469313155645E-2</v>
      </c>
    </row>
    <row r="146" spans="1:5" x14ac:dyDescent="0.35">
      <c r="A146" s="301">
        <v>44973</v>
      </c>
      <c r="B146" s="2">
        <v>61319.51</v>
      </c>
      <c r="C146" s="411">
        <v>1367.85</v>
      </c>
      <c r="D146" s="517">
        <f t="shared" si="5"/>
        <v>7.2492753580633007E-4</v>
      </c>
      <c r="E146" s="517">
        <f t="shared" si="6"/>
        <v>-8.1934524888519489E-3</v>
      </c>
    </row>
    <row r="147" spans="1:5" x14ac:dyDescent="0.35">
      <c r="A147" s="301">
        <v>44972</v>
      </c>
      <c r="B147" s="2">
        <v>61275.09</v>
      </c>
      <c r="C147" s="411">
        <v>1379.15</v>
      </c>
      <c r="D147" s="517">
        <f t="shared" si="5"/>
        <v>3.9787155186452594E-3</v>
      </c>
      <c r="E147" s="517">
        <f t="shared" si="6"/>
        <v>1.1885982611247625E-2</v>
      </c>
    </row>
    <row r="148" spans="1:5" x14ac:dyDescent="0.35">
      <c r="A148" s="301">
        <v>44971</v>
      </c>
      <c r="B148" s="2">
        <v>61032.26</v>
      </c>
      <c r="C148" s="411">
        <v>1362.95</v>
      </c>
      <c r="D148" s="517">
        <f t="shared" si="5"/>
        <v>9.9354909597326735E-3</v>
      </c>
      <c r="E148" s="517">
        <f t="shared" si="6"/>
        <v>7.6519296170338702E-3</v>
      </c>
    </row>
    <row r="149" spans="1:5" x14ac:dyDescent="0.35">
      <c r="A149" s="301">
        <v>44970</v>
      </c>
      <c r="B149" s="2">
        <v>60431.839999999997</v>
      </c>
      <c r="C149" s="411">
        <v>1352.6</v>
      </c>
      <c r="D149" s="517">
        <f t="shared" si="5"/>
        <v>-4.1339623978497997E-3</v>
      </c>
      <c r="E149" s="517">
        <f t="shared" si="6"/>
        <v>-9.2294169352477029E-3</v>
      </c>
    </row>
    <row r="150" spans="1:5" x14ac:dyDescent="0.35">
      <c r="A150" s="301">
        <v>44967</v>
      </c>
      <c r="B150" s="2">
        <v>60682.7</v>
      </c>
      <c r="C150" s="411">
        <v>1365.2</v>
      </c>
      <c r="D150" s="517">
        <f t="shared" si="5"/>
        <v>-2.0313711327558659E-3</v>
      </c>
      <c r="E150" s="517">
        <f t="shared" si="6"/>
        <v>-5.3912283258049642E-3</v>
      </c>
    </row>
    <row r="151" spans="1:5" x14ac:dyDescent="0.35">
      <c r="A151" s="301">
        <v>44966</v>
      </c>
      <c r="B151" s="2">
        <v>60806.22</v>
      </c>
      <c r="C151" s="411">
        <v>1372.6</v>
      </c>
      <c r="D151" s="517">
        <f t="shared" si="5"/>
        <v>2.3478585825251752E-3</v>
      </c>
      <c r="E151" s="517">
        <f t="shared" si="6"/>
        <v>-4.3693562481805781E-4</v>
      </c>
    </row>
    <row r="152" spans="1:5" x14ac:dyDescent="0.35">
      <c r="A152" s="301">
        <v>44965</v>
      </c>
      <c r="B152" s="2">
        <v>60663.79</v>
      </c>
      <c r="C152" s="411">
        <v>1373.2</v>
      </c>
      <c r="D152" s="517">
        <f t="shared" si="5"/>
        <v>6.2659614066540303E-3</v>
      </c>
      <c r="E152" s="517">
        <f t="shared" si="6"/>
        <v>4.4619998537049899E-3</v>
      </c>
    </row>
    <row r="153" spans="1:5" x14ac:dyDescent="0.35">
      <c r="A153" s="301">
        <v>44964</v>
      </c>
      <c r="B153" s="2">
        <v>60286.04</v>
      </c>
      <c r="C153" s="411">
        <v>1367.1</v>
      </c>
      <c r="D153" s="517">
        <f t="shared" si="5"/>
        <v>-3.6501622129047062E-3</v>
      </c>
      <c r="E153" s="517">
        <f t="shared" si="6"/>
        <v>-6.0346081140033592E-3</v>
      </c>
    </row>
    <row r="154" spans="1:5" x14ac:dyDescent="0.35">
      <c r="A154" s="301">
        <v>44963</v>
      </c>
      <c r="B154" s="2">
        <v>60506.9</v>
      </c>
      <c r="C154" s="411">
        <v>1375.4</v>
      </c>
      <c r="D154" s="517">
        <f t="shared" si="5"/>
        <v>-5.5057470281982823E-3</v>
      </c>
      <c r="E154" s="517">
        <f t="shared" si="6"/>
        <v>-9.1135045567521944E-3</v>
      </c>
    </row>
    <row r="155" spans="1:5" x14ac:dyDescent="0.35">
      <c r="A155" s="301">
        <v>44960</v>
      </c>
      <c r="B155" s="2">
        <v>60841.88</v>
      </c>
      <c r="C155" s="411">
        <v>1388.05</v>
      </c>
      <c r="D155" s="517">
        <f t="shared" si="5"/>
        <v>1.5177807470570182E-2</v>
      </c>
      <c r="E155" s="517">
        <f t="shared" si="6"/>
        <v>2.6132919346492089E-2</v>
      </c>
    </row>
    <row r="156" spans="1:5" x14ac:dyDescent="0.35">
      <c r="A156" s="301">
        <v>44959</v>
      </c>
      <c r="B156" s="2">
        <v>59932.24</v>
      </c>
      <c r="C156" s="411">
        <v>1352.7</v>
      </c>
      <c r="D156" s="517">
        <f t="shared" si="5"/>
        <v>3.754265754316588E-3</v>
      </c>
      <c r="E156" s="517">
        <f t="shared" si="6"/>
        <v>3.697677858305326E-4</v>
      </c>
    </row>
    <row r="157" spans="1:5" x14ac:dyDescent="0.35">
      <c r="A157" s="301">
        <v>44958</v>
      </c>
      <c r="B157" s="2">
        <v>59708.08</v>
      </c>
      <c r="C157" s="411">
        <v>1352.2</v>
      </c>
      <c r="D157" s="517">
        <f t="shared" si="5"/>
        <v>2.6562597082446793E-3</v>
      </c>
      <c r="E157" s="517">
        <f t="shared" si="6"/>
        <v>-1.9149862179022148E-2</v>
      </c>
    </row>
    <row r="158" spans="1:5" x14ac:dyDescent="0.35">
      <c r="A158" s="301">
        <v>44957</v>
      </c>
      <c r="B158" s="2">
        <v>59549.9</v>
      </c>
      <c r="C158" s="411">
        <v>1378.6</v>
      </c>
      <c r="D158" s="517">
        <f t="shared" si="5"/>
        <v>8.3175897443399371E-4</v>
      </c>
      <c r="E158" s="517">
        <f t="shared" si="6"/>
        <v>3.5257011977621655E-2</v>
      </c>
    </row>
    <row r="159" spans="1:5" x14ac:dyDescent="0.35">
      <c r="A159" s="301">
        <v>44956</v>
      </c>
      <c r="B159" s="2">
        <v>59500.41</v>
      </c>
      <c r="C159" s="411">
        <v>1331.65</v>
      </c>
      <c r="D159" s="517">
        <f t="shared" si="5"/>
        <v>2.8570272825796383E-3</v>
      </c>
      <c r="E159" s="517">
        <f t="shared" si="6"/>
        <v>8.3674087535969832E-3</v>
      </c>
    </row>
    <row r="160" spans="1:5" x14ac:dyDescent="0.35">
      <c r="A160" s="301">
        <v>44953</v>
      </c>
      <c r="B160" s="2">
        <v>59330.9</v>
      </c>
      <c r="C160" s="411">
        <v>1320.6</v>
      </c>
      <c r="D160" s="517">
        <f t="shared" si="5"/>
        <v>-1.4519709805122627E-2</v>
      </c>
      <c r="E160" s="517">
        <f t="shared" si="6"/>
        <v>7.0921985815601829E-3</v>
      </c>
    </row>
    <row r="161" spans="1:5" x14ac:dyDescent="0.35">
      <c r="A161" s="301">
        <v>44951</v>
      </c>
      <c r="B161" s="2">
        <v>60205.06</v>
      </c>
      <c r="C161" s="411">
        <v>1311.3</v>
      </c>
      <c r="D161" s="517">
        <f t="shared" si="5"/>
        <v>-1.2687862575077369E-2</v>
      </c>
      <c r="E161" s="517">
        <f t="shared" si="6"/>
        <v>-9.1805508330500274E-3</v>
      </c>
    </row>
    <row r="162" spans="1:5" x14ac:dyDescent="0.35">
      <c r="A162" s="301">
        <v>44950</v>
      </c>
      <c r="B162" s="2">
        <v>60978.75</v>
      </c>
      <c r="C162" s="411">
        <v>1323.45</v>
      </c>
      <c r="D162" s="517">
        <f t="shared" si="5"/>
        <v>6.0845067094494887E-4</v>
      </c>
      <c r="E162" s="517">
        <f t="shared" si="6"/>
        <v>-3.2385614761815118E-3</v>
      </c>
    </row>
    <row r="163" spans="1:5" x14ac:dyDescent="0.35">
      <c r="A163" s="301">
        <v>44949</v>
      </c>
      <c r="B163" s="2">
        <v>60941.67</v>
      </c>
      <c r="C163" s="411">
        <v>1327.75</v>
      </c>
      <c r="D163" s="517">
        <f t="shared" si="5"/>
        <v>5.2769821798341887E-3</v>
      </c>
      <c r="E163" s="517">
        <f t="shared" si="6"/>
        <v>9.6574274742404764E-3</v>
      </c>
    </row>
    <row r="164" spans="1:5" x14ac:dyDescent="0.35">
      <c r="A164" s="301">
        <v>44946</v>
      </c>
      <c r="B164" s="2">
        <v>60621.77</v>
      </c>
      <c r="C164" s="411">
        <v>1315.05</v>
      </c>
      <c r="D164" s="517">
        <f t="shared" si="5"/>
        <v>-3.8886970958667E-3</v>
      </c>
      <c r="E164" s="517">
        <f t="shared" si="6"/>
        <v>-3.5235280745624653E-3</v>
      </c>
    </row>
    <row r="165" spans="1:5" x14ac:dyDescent="0.35">
      <c r="A165" s="301">
        <v>44945</v>
      </c>
      <c r="B165" s="2">
        <v>60858.43</v>
      </c>
      <c r="C165" s="411">
        <v>1319.7</v>
      </c>
      <c r="D165" s="517">
        <f t="shared" si="5"/>
        <v>-3.0683549744829897E-3</v>
      </c>
      <c r="E165" s="517">
        <f t="shared" si="6"/>
        <v>-1.6265083027573457E-3</v>
      </c>
    </row>
    <row r="166" spans="1:5" x14ac:dyDescent="0.35">
      <c r="A166" s="301">
        <v>44944</v>
      </c>
      <c r="B166" s="2">
        <v>61045.74</v>
      </c>
      <c r="C166" s="411">
        <v>1321.85</v>
      </c>
      <c r="D166" s="517">
        <f t="shared" si="5"/>
        <v>6.4300613363421633E-3</v>
      </c>
      <c r="E166" s="517">
        <f t="shared" si="6"/>
        <v>1.4015151515149871E-3</v>
      </c>
    </row>
    <row r="167" spans="1:5" x14ac:dyDescent="0.35">
      <c r="A167" s="301">
        <v>44943</v>
      </c>
      <c r="B167" s="2">
        <v>60655.72</v>
      </c>
      <c r="C167" s="411">
        <v>1320</v>
      </c>
      <c r="D167" s="517">
        <f t="shared" si="5"/>
        <v>9.3646561319902233E-3</v>
      </c>
      <c r="E167" s="517">
        <f t="shared" si="6"/>
        <v>2.9251984956122357E-3</v>
      </c>
    </row>
    <row r="168" spans="1:5" x14ac:dyDescent="0.35">
      <c r="A168" s="301">
        <v>44942</v>
      </c>
      <c r="B168" s="2">
        <v>60092.97</v>
      </c>
      <c r="C168" s="411">
        <v>1316.15</v>
      </c>
      <c r="D168" s="517">
        <f t="shared" si="5"/>
        <v>-2.7913492566856712E-3</v>
      </c>
      <c r="E168" s="517">
        <f t="shared" si="6"/>
        <v>-8.8485578733338288E-3</v>
      </c>
    </row>
    <row r="169" spans="1:5" x14ac:dyDescent="0.35">
      <c r="A169" s="301">
        <v>44939</v>
      </c>
      <c r="B169" s="2">
        <v>60261.18</v>
      </c>
      <c r="C169" s="411">
        <v>1327.9</v>
      </c>
      <c r="D169" s="517">
        <f t="shared" si="5"/>
        <v>5.0560366976699633E-3</v>
      </c>
      <c r="E169" s="517">
        <f t="shared" si="6"/>
        <v>6.1372935293226849E-3</v>
      </c>
    </row>
    <row r="170" spans="1:5" x14ac:dyDescent="0.35">
      <c r="A170" s="301">
        <v>44938</v>
      </c>
      <c r="B170" s="2">
        <v>59958.03</v>
      </c>
      <c r="C170" s="411">
        <v>1319.8</v>
      </c>
      <c r="D170" s="517">
        <f t="shared" si="5"/>
        <v>-2.4535192286895269E-3</v>
      </c>
      <c r="E170" s="517">
        <f t="shared" si="6"/>
        <v>5.4852963583726932E-3</v>
      </c>
    </row>
    <row r="171" spans="1:5" x14ac:dyDescent="0.35">
      <c r="A171" s="301">
        <v>44937</v>
      </c>
      <c r="B171" s="2">
        <v>60105.5</v>
      </c>
      <c r="C171" s="411">
        <v>1312.6</v>
      </c>
      <c r="D171" s="517">
        <f t="shared" si="5"/>
        <v>-1.6601381208303234E-4</v>
      </c>
      <c r="E171" s="517">
        <f t="shared" si="6"/>
        <v>-1.6732582902342363E-3</v>
      </c>
    </row>
    <row r="172" spans="1:5" x14ac:dyDescent="0.35">
      <c r="A172" s="301">
        <v>44936</v>
      </c>
      <c r="B172" s="2">
        <v>60115.48</v>
      </c>
      <c r="C172" s="411">
        <v>1314.8</v>
      </c>
      <c r="D172" s="517">
        <f t="shared" si="5"/>
        <v>-1.0400954379708227E-2</v>
      </c>
      <c r="E172" s="517">
        <f t="shared" si="6"/>
        <v>3.3577533577533458E-3</v>
      </c>
    </row>
    <row r="173" spans="1:5" x14ac:dyDescent="0.35">
      <c r="A173" s="301">
        <v>44935</v>
      </c>
      <c r="B173" s="2">
        <v>60747.31</v>
      </c>
      <c r="C173" s="411">
        <v>1310.4000000000001</v>
      </c>
      <c r="D173" s="517">
        <f t="shared" si="5"/>
        <v>1.4139144716468266E-2</v>
      </c>
      <c r="E173" s="517">
        <f t="shared" si="6"/>
        <v>3.5930273923870493E-2</v>
      </c>
    </row>
    <row r="174" spans="1:5" x14ac:dyDescent="0.35">
      <c r="A174" s="301">
        <v>44932</v>
      </c>
      <c r="B174" s="2">
        <v>59900.37</v>
      </c>
      <c r="C174" s="411">
        <v>1264.95</v>
      </c>
      <c r="D174" s="517">
        <f t="shared" si="5"/>
        <v>-7.5041501479538031E-3</v>
      </c>
      <c r="E174" s="517">
        <f t="shared" si="6"/>
        <v>1.0625973714696535E-2</v>
      </c>
    </row>
    <row r="175" spans="1:5" x14ac:dyDescent="0.35">
      <c r="A175" s="301">
        <v>44931</v>
      </c>
      <c r="B175" s="2">
        <v>60353.27</v>
      </c>
      <c r="C175" s="411">
        <v>1251.6500000000001</v>
      </c>
      <c r="D175" s="517">
        <f t="shared" si="5"/>
        <v>-5.0147178953285909E-3</v>
      </c>
      <c r="E175" s="517">
        <f t="shared" si="6"/>
        <v>1.2661812297734665E-2</v>
      </c>
    </row>
    <row r="176" spans="1:5" x14ac:dyDescent="0.35">
      <c r="A176" s="301">
        <v>44930</v>
      </c>
      <c r="B176" s="2">
        <v>60657.45</v>
      </c>
      <c r="C176" s="411">
        <v>1236</v>
      </c>
      <c r="D176" s="517">
        <f t="shared" si="5"/>
        <v>-1.0388421743003362E-2</v>
      </c>
      <c r="E176" s="517">
        <f t="shared" si="6"/>
        <v>-1.00913022585295E-2</v>
      </c>
    </row>
    <row r="177" spans="1:5" x14ac:dyDescent="0.35">
      <c r="A177" s="301">
        <v>44929</v>
      </c>
      <c r="B177" s="2">
        <v>61294.2</v>
      </c>
      <c r="C177" s="411">
        <v>1248.5999999999999</v>
      </c>
      <c r="D177" s="517">
        <f t="shared" si="5"/>
        <v>2.0666105478062136E-3</v>
      </c>
      <c r="E177" s="517">
        <f t="shared" si="6"/>
        <v>-1.1323145142133284E-2</v>
      </c>
    </row>
    <row r="178" spans="1:5" x14ac:dyDescent="0.35">
      <c r="A178" s="301">
        <v>44928</v>
      </c>
      <c r="B178" s="2">
        <v>61167.79</v>
      </c>
      <c r="C178" s="411">
        <v>1262.9000000000001</v>
      </c>
      <c r="D178" s="517">
        <f t="shared" si="5"/>
        <v>5.3755098968224502E-3</v>
      </c>
      <c r="E178" s="517">
        <f t="shared" si="6"/>
        <v>1.0886096213879926E-2</v>
      </c>
    </row>
    <row r="179" spans="1:5" x14ac:dyDescent="0.35">
      <c r="A179" s="301">
        <v>44925</v>
      </c>
      <c r="B179" s="2">
        <v>60840.74</v>
      </c>
      <c r="C179" s="411">
        <v>1249.3</v>
      </c>
      <c r="D179" s="517">
        <f t="shared" si="5"/>
        <v>-4.7950498152579124E-3</v>
      </c>
      <c r="E179" s="517">
        <f t="shared" si="6"/>
        <v>-9.9064828023458507E-3</v>
      </c>
    </row>
    <row r="180" spans="1:5" x14ac:dyDescent="0.35">
      <c r="A180" s="301">
        <v>44924</v>
      </c>
      <c r="B180" s="2">
        <v>61133.88</v>
      </c>
      <c r="C180" s="411">
        <v>1261.8</v>
      </c>
      <c r="D180" s="517">
        <f t="shared" si="5"/>
        <v>3.6709731099577869E-3</v>
      </c>
      <c r="E180" s="517">
        <f t="shared" si="6"/>
        <v>7.8677263468986958E-3</v>
      </c>
    </row>
    <row r="181" spans="1:5" x14ac:dyDescent="0.35">
      <c r="A181" s="301">
        <v>44923</v>
      </c>
      <c r="B181" s="2">
        <v>60910.28</v>
      </c>
      <c r="C181" s="411">
        <v>1251.95</v>
      </c>
      <c r="D181" s="517">
        <f t="shared" si="5"/>
        <v>-2.8148241276548802E-4</v>
      </c>
      <c r="E181" s="517">
        <f t="shared" si="6"/>
        <v>1.5698523446373569E-2</v>
      </c>
    </row>
    <row r="182" spans="1:5" x14ac:dyDescent="0.35">
      <c r="A182" s="301">
        <v>44922</v>
      </c>
      <c r="B182" s="2">
        <v>60927.43</v>
      </c>
      <c r="C182" s="411">
        <v>1232.5999999999999</v>
      </c>
      <c r="D182" s="517">
        <f t="shared" si="5"/>
        <v>5.9605636258508454E-3</v>
      </c>
      <c r="E182" s="517">
        <f t="shared" si="6"/>
        <v>-3.3152745209025225E-3</v>
      </c>
    </row>
    <row r="183" spans="1:5" x14ac:dyDescent="0.35">
      <c r="A183" s="301">
        <v>44921</v>
      </c>
      <c r="B183" s="2">
        <v>60566.42</v>
      </c>
      <c r="C183" s="411">
        <v>1236.7</v>
      </c>
      <c r="D183" s="517">
        <f t="shared" si="5"/>
        <v>1.2049904010825285E-2</v>
      </c>
      <c r="E183" s="517">
        <f t="shared" si="6"/>
        <v>8.7687099800155544E-3</v>
      </c>
    </row>
    <row r="184" spans="1:5" x14ac:dyDescent="0.35">
      <c r="A184" s="301">
        <v>44918</v>
      </c>
      <c r="B184" s="2">
        <v>59845.29</v>
      </c>
      <c r="C184" s="411">
        <v>1225.95</v>
      </c>
      <c r="D184" s="517">
        <f t="shared" si="5"/>
        <v>-1.6126762438961384E-2</v>
      </c>
      <c r="E184" s="517">
        <f t="shared" si="6"/>
        <v>-5.6371157433693364E-3</v>
      </c>
    </row>
    <row r="185" spans="1:5" x14ac:dyDescent="0.35">
      <c r="A185" s="301">
        <v>44917</v>
      </c>
      <c r="B185" s="2">
        <v>60826.22</v>
      </c>
      <c r="C185" s="411">
        <v>1232.9000000000001</v>
      </c>
      <c r="D185" s="517">
        <f t="shared" si="5"/>
        <v>-3.9467970060542701E-3</v>
      </c>
      <c r="E185" s="517">
        <f t="shared" si="6"/>
        <v>-2.6145339652448585E-2</v>
      </c>
    </row>
    <row r="186" spans="1:5" x14ac:dyDescent="0.35">
      <c r="A186" s="301">
        <v>44916</v>
      </c>
      <c r="B186" s="2">
        <v>61067.24</v>
      </c>
      <c r="C186" s="411">
        <v>1266</v>
      </c>
      <c r="D186" s="517">
        <f t="shared" si="5"/>
        <v>-1.0292162576137853E-2</v>
      </c>
      <c r="E186" s="517">
        <f t="shared" si="6"/>
        <v>-6.1234102684879499E-3</v>
      </c>
    </row>
    <row r="187" spans="1:5" x14ac:dyDescent="0.35">
      <c r="A187" s="301">
        <v>44915</v>
      </c>
      <c r="B187" s="2">
        <v>61702.29</v>
      </c>
      <c r="C187" s="411">
        <v>1273.8</v>
      </c>
      <c r="D187" s="517">
        <f t="shared" si="5"/>
        <v>-1.681061395306882E-3</v>
      </c>
      <c r="E187" s="517">
        <f t="shared" si="6"/>
        <v>-1.2864228146311274E-2</v>
      </c>
    </row>
    <row r="188" spans="1:5" x14ac:dyDescent="0.35">
      <c r="A188" s="301">
        <v>44914</v>
      </c>
      <c r="B188" s="2">
        <v>61806.19</v>
      </c>
      <c r="C188" s="411">
        <v>1290.4000000000001</v>
      </c>
      <c r="D188" s="517">
        <f t="shared" si="5"/>
        <v>7.6360730844482472E-3</v>
      </c>
      <c r="E188" s="517">
        <f t="shared" si="6"/>
        <v>3.1165095093495188E-2</v>
      </c>
    </row>
    <row r="189" spans="1:5" x14ac:dyDescent="0.35">
      <c r="A189" s="301">
        <v>44911</v>
      </c>
      <c r="B189" s="2">
        <v>61337.81</v>
      </c>
      <c r="C189" s="411">
        <v>1251.4000000000001</v>
      </c>
      <c r="D189" s="517">
        <f t="shared" si="5"/>
        <v>-7.463223937333674E-3</v>
      </c>
      <c r="E189" s="517">
        <f t="shared" si="6"/>
        <v>-2.754788825426413E-2</v>
      </c>
    </row>
    <row r="190" spans="1:5" x14ac:dyDescent="0.35">
      <c r="A190" s="301">
        <v>44910</v>
      </c>
      <c r="B190" s="2">
        <v>61799.03</v>
      </c>
      <c r="C190" s="411">
        <v>1286.8499999999999</v>
      </c>
      <c r="D190" s="517">
        <f t="shared" si="5"/>
        <v>-1.4022165065810333E-2</v>
      </c>
      <c r="E190" s="517">
        <f t="shared" si="6"/>
        <v>5.4426000077745229E-4</v>
      </c>
    </row>
    <row r="191" spans="1:5" x14ac:dyDescent="0.35">
      <c r="A191" s="301">
        <v>44909</v>
      </c>
      <c r="B191" s="2">
        <v>62677.91</v>
      </c>
      <c r="C191" s="411">
        <v>1286.1500000000001</v>
      </c>
      <c r="D191" s="517">
        <f t="shared" si="5"/>
        <v>2.3125278851428011E-3</v>
      </c>
      <c r="E191" s="517">
        <f t="shared" si="6"/>
        <v>1.908545610345147E-3</v>
      </c>
    </row>
    <row r="192" spans="1:5" x14ac:dyDescent="0.35">
      <c r="A192" s="301">
        <v>44908</v>
      </c>
      <c r="B192" s="2">
        <v>62533.3</v>
      </c>
      <c r="C192" s="411">
        <v>1283.7</v>
      </c>
      <c r="D192" s="517">
        <f t="shared" si="5"/>
        <v>6.481994290411297E-3</v>
      </c>
      <c r="E192" s="517">
        <f t="shared" si="6"/>
        <v>1.5866735251058417E-2</v>
      </c>
    </row>
    <row r="193" spans="1:5" x14ac:dyDescent="0.35">
      <c r="A193" s="301">
        <v>44907</v>
      </c>
      <c r="B193" s="2">
        <v>62130.57</v>
      </c>
      <c r="C193" s="411">
        <v>1263.6500000000001</v>
      </c>
      <c r="D193" s="517">
        <f t="shared" si="5"/>
        <v>-8.2178558407963731E-4</v>
      </c>
      <c r="E193" s="517">
        <f t="shared" si="6"/>
        <v>-1.4618727775581597E-3</v>
      </c>
    </row>
    <row r="194" spans="1:5" x14ac:dyDescent="0.35">
      <c r="A194" s="301">
        <v>44904</v>
      </c>
      <c r="B194" s="2">
        <v>62181.67</v>
      </c>
      <c r="C194" s="411">
        <v>1265.5</v>
      </c>
      <c r="D194" s="517">
        <f t="shared" si="5"/>
        <v>-6.2171291729609113E-3</v>
      </c>
      <c r="E194" s="517">
        <f t="shared" si="6"/>
        <v>-6.7498626481437007E-3</v>
      </c>
    </row>
    <row r="195" spans="1:5" x14ac:dyDescent="0.35">
      <c r="A195" s="301">
        <v>44903</v>
      </c>
      <c r="B195" s="2">
        <v>62570.68</v>
      </c>
      <c r="C195" s="411">
        <v>1274.0999999999999</v>
      </c>
      <c r="D195" s="517">
        <f t="shared" si="5"/>
        <v>2.5636637831858433E-3</v>
      </c>
      <c r="E195" s="517">
        <f t="shared" si="6"/>
        <v>6.1199510403917579E-3</v>
      </c>
    </row>
    <row r="196" spans="1:5" x14ac:dyDescent="0.35">
      <c r="A196" s="301">
        <v>44902</v>
      </c>
      <c r="B196" s="2">
        <v>62410.68</v>
      </c>
      <c r="C196" s="411">
        <v>1266.3499999999999</v>
      </c>
      <c r="D196" s="517">
        <f t="shared" si="5"/>
        <v>-3.4439172259093098E-3</v>
      </c>
      <c r="E196" s="517">
        <f t="shared" si="6"/>
        <v>2.5730345974190882E-3</v>
      </c>
    </row>
    <row r="197" spans="1:5" x14ac:dyDescent="0.35">
      <c r="A197" s="301">
        <v>44901</v>
      </c>
      <c r="B197" s="2">
        <v>62626.36</v>
      </c>
      <c r="C197" s="411">
        <v>1263.0999999999999</v>
      </c>
      <c r="D197" s="517">
        <f t="shared" ref="D197:D250" si="7">B197/B198-1</f>
        <v>-3.3140976468378769E-3</v>
      </c>
      <c r="E197" s="517">
        <f t="shared" ref="E197:E250" si="8">C197/C198-1</f>
        <v>3.6551450139052921E-3</v>
      </c>
    </row>
    <row r="198" spans="1:5" x14ac:dyDescent="0.35">
      <c r="A198" s="301">
        <v>44900</v>
      </c>
      <c r="B198" s="2">
        <v>62834.6</v>
      </c>
      <c r="C198" s="411">
        <v>1258.5</v>
      </c>
      <c r="D198" s="517">
        <f t="shared" si="7"/>
        <v>-5.3922075443191275E-4</v>
      </c>
      <c r="E198" s="517">
        <f t="shared" si="8"/>
        <v>-4.6662448592218464E-3</v>
      </c>
    </row>
    <row r="199" spans="1:5" x14ac:dyDescent="0.35">
      <c r="A199" s="301">
        <v>44897</v>
      </c>
      <c r="B199" s="2">
        <v>62868.5</v>
      </c>
      <c r="C199" s="411">
        <v>1264.4000000000001</v>
      </c>
      <c r="D199" s="517">
        <f t="shared" si="7"/>
        <v>-6.5686232216924934E-3</v>
      </c>
      <c r="E199" s="517">
        <f t="shared" si="8"/>
        <v>-2.2383732168399728E-2</v>
      </c>
    </row>
    <row r="200" spans="1:5" x14ac:dyDescent="0.35">
      <c r="A200" s="301">
        <v>44896</v>
      </c>
      <c r="B200" s="2">
        <v>63284.19</v>
      </c>
      <c r="C200" s="411">
        <v>1293.3499999999999</v>
      </c>
      <c r="D200" s="517">
        <f t="shared" si="7"/>
        <v>2.9245804057549396E-3</v>
      </c>
      <c r="E200" s="517">
        <f t="shared" si="8"/>
        <v>-1.0595165238678206E-2</v>
      </c>
    </row>
    <row r="201" spans="1:5" x14ac:dyDescent="0.35">
      <c r="A201" s="301">
        <v>44895</v>
      </c>
      <c r="B201" s="2">
        <v>63099.65</v>
      </c>
      <c r="C201" s="411">
        <v>1307.2</v>
      </c>
      <c r="D201" s="517">
        <f t="shared" si="7"/>
        <v>6.6655669329427347E-3</v>
      </c>
      <c r="E201" s="517">
        <f t="shared" si="8"/>
        <v>3.9977723855364244E-2</v>
      </c>
    </row>
    <row r="202" spans="1:5" x14ac:dyDescent="0.35">
      <c r="A202" s="301">
        <v>44894</v>
      </c>
      <c r="B202" s="2">
        <v>62681.84</v>
      </c>
      <c r="C202" s="411">
        <v>1256.95</v>
      </c>
      <c r="D202" s="517">
        <f t="shared" si="7"/>
        <v>2.8324224699542988E-3</v>
      </c>
      <c r="E202" s="517">
        <f t="shared" si="8"/>
        <v>4.9972015671224668E-3</v>
      </c>
    </row>
    <row r="203" spans="1:5" x14ac:dyDescent="0.35">
      <c r="A203" s="301">
        <v>44893</v>
      </c>
      <c r="B203" s="2">
        <v>62504.800000000003</v>
      </c>
      <c r="C203" s="411">
        <v>1250.7</v>
      </c>
      <c r="D203" s="517">
        <f t="shared" si="7"/>
        <v>3.3897521480523718E-3</v>
      </c>
      <c r="E203" s="517">
        <f t="shared" si="8"/>
        <v>-7.8534031413611816E-3</v>
      </c>
    </row>
    <row r="204" spans="1:5" x14ac:dyDescent="0.35">
      <c r="A204" s="301">
        <v>44890</v>
      </c>
      <c r="B204" s="2">
        <v>62293.64</v>
      </c>
      <c r="C204" s="411">
        <v>1260.5999999999999</v>
      </c>
      <c r="D204" s="517">
        <f t="shared" si="7"/>
        <v>3.3658419711501963E-4</v>
      </c>
      <c r="E204" s="517">
        <f t="shared" si="8"/>
        <v>5.2230772297754413E-3</v>
      </c>
    </row>
    <row r="205" spans="1:5" x14ac:dyDescent="0.35">
      <c r="A205" s="301">
        <v>44889</v>
      </c>
      <c r="B205" s="2">
        <v>62272.68</v>
      </c>
      <c r="C205" s="411">
        <v>1254.05</v>
      </c>
      <c r="D205" s="517">
        <f t="shared" si="7"/>
        <v>1.238973848076208E-2</v>
      </c>
      <c r="E205" s="517">
        <f t="shared" si="8"/>
        <v>1.5342887215610057E-2</v>
      </c>
    </row>
    <row r="206" spans="1:5" x14ac:dyDescent="0.35">
      <c r="A206" s="301">
        <v>44888</v>
      </c>
      <c r="B206" s="2">
        <v>61510.58</v>
      </c>
      <c r="C206" s="411">
        <v>1235.0999999999999</v>
      </c>
      <c r="D206" s="517">
        <f t="shared" si="7"/>
        <v>1.4917217745140654E-3</v>
      </c>
      <c r="E206" s="517">
        <f t="shared" si="8"/>
        <v>5.2087572230812285E-3</v>
      </c>
    </row>
    <row r="207" spans="1:5" x14ac:dyDescent="0.35">
      <c r="A207" s="301">
        <v>44887</v>
      </c>
      <c r="B207" s="2">
        <v>61418.96</v>
      </c>
      <c r="C207" s="411">
        <v>1228.7</v>
      </c>
      <c r="D207" s="517">
        <f t="shared" si="7"/>
        <v>4.4831256406918651E-3</v>
      </c>
      <c r="E207" s="517">
        <f t="shared" si="8"/>
        <v>8.784893267651972E-3</v>
      </c>
    </row>
    <row r="208" spans="1:5" x14ac:dyDescent="0.35">
      <c r="A208" s="301">
        <v>44886</v>
      </c>
      <c r="B208" s="2">
        <v>61144.84</v>
      </c>
      <c r="C208" s="411">
        <v>1218</v>
      </c>
      <c r="D208" s="517">
        <f t="shared" si="7"/>
        <v>-8.4108130128238701E-3</v>
      </c>
      <c r="E208" s="517">
        <f t="shared" si="8"/>
        <v>-7.537176614381802E-3</v>
      </c>
    </row>
    <row r="209" spans="1:5" x14ac:dyDescent="0.35">
      <c r="A209" s="301">
        <v>44883</v>
      </c>
      <c r="B209" s="2">
        <v>61663.48</v>
      </c>
      <c r="C209" s="411">
        <v>1227.25</v>
      </c>
      <c r="D209" s="517">
        <f t="shared" si="7"/>
        <v>-1.4108364938963946E-3</v>
      </c>
      <c r="E209" s="517">
        <f t="shared" si="8"/>
        <v>-2.4637393204848035E-2</v>
      </c>
    </row>
    <row r="210" spans="1:5" x14ac:dyDescent="0.35">
      <c r="A210" s="301">
        <v>44882</v>
      </c>
      <c r="B210" s="2">
        <v>61750.6</v>
      </c>
      <c r="C210" s="411">
        <v>1258.25</v>
      </c>
      <c r="D210" s="517">
        <f t="shared" si="7"/>
        <v>-3.7127674541374001E-3</v>
      </c>
      <c r="E210" s="517">
        <f t="shared" si="8"/>
        <v>-2.1616577893549982E-2</v>
      </c>
    </row>
    <row r="211" spans="1:5" x14ac:dyDescent="0.35">
      <c r="A211" s="301">
        <v>44881</v>
      </c>
      <c r="B211" s="2">
        <v>61980.72</v>
      </c>
      <c r="C211" s="411">
        <v>1286.05</v>
      </c>
      <c r="D211" s="517">
        <f t="shared" si="7"/>
        <v>1.7411474700026464E-3</v>
      </c>
      <c r="E211" s="517">
        <f t="shared" si="8"/>
        <v>-4.5282142580695961E-3</v>
      </c>
    </row>
    <row r="212" spans="1:5" x14ac:dyDescent="0.35">
      <c r="A212" s="301">
        <v>44880</v>
      </c>
      <c r="B212" s="2">
        <v>61872.99</v>
      </c>
      <c r="C212" s="411">
        <v>1291.9000000000001</v>
      </c>
      <c r="D212" s="517">
        <f t="shared" si="7"/>
        <v>4.0380272993623123E-3</v>
      </c>
      <c r="E212" s="517">
        <f t="shared" si="8"/>
        <v>1.0915920028170101E-2</v>
      </c>
    </row>
    <row r="213" spans="1:5" x14ac:dyDescent="0.35">
      <c r="A213" s="301">
        <v>44879</v>
      </c>
      <c r="B213" s="2">
        <v>61624.15</v>
      </c>
      <c r="C213" s="411">
        <v>1277.95</v>
      </c>
      <c r="D213" s="517">
        <f t="shared" si="7"/>
        <v>-2.7654323065411379E-3</v>
      </c>
      <c r="E213" s="517">
        <f t="shared" si="8"/>
        <v>-7.1475740978130808E-3</v>
      </c>
    </row>
    <row r="214" spans="1:5" x14ac:dyDescent="0.35">
      <c r="A214" s="301">
        <v>44876</v>
      </c>
      <c r="B214" s="2">
        <v>61795.040000000001</v>
      </c>
      <c r="C214" s="411">
        <v>1287.1500000000001</v>
      </c>
      <c r="D214" s="517">
        <f t="shared" si="7"/>
        <v>1.9489653329197942E-2</v>
      </c>
      <c r="E214" s="517">
        <f t="shared" si="8"/>
        <v>-8.3208135906621683E-3</v>
      </c>
    </row>
    <row r="215" spans="1:5" x14ac:dyDescent="0.35">
      <c r="A215" s="301">
        <v>44875</v>
      </c>
      <c r="B215" s="2">
        <v>60613.7</v>
      </c>
      <c r="C215" s="411">
        <v>1297.95</v>
      </c>
      <c r="D215" s="517">
        <f t="shared" si="7"/>
        <v>-6.8790034333576777E-3</v>
      </c>
      <c r="E215" s="517">
        <f t="shared" si="8"/>
        <v>-2.9352378103499888E-2</v>
      </c>
    </row>
    <row r="216" spans="1:5" x14ac:dyDescent="0.35">
      <c r="A216" s="301">
        <v>44874</v>
      </c>
      <c r="B216" s="2">
        <v>61033.55</v>
      </c>
      <c r="C216" s="411">
        <v>1337.2</v>
      </c>
      <c r="D216" s="517">
        <f t="shared" si="7"/>
        <v>-2.4777253957863898E-3</v>
      </c>
      <c r="E216" s="517">
        <f t="shared" si="8"/>
        <v>-1.0324538356215163E-2</v>
      </c>
    </row>
    <row r="217" spans="1:5" x14ac:dyDescent="0.35">
      <c r="A217" s="301">
        <v>44872</v>
      </c>
      <c r="B217" s="2">
        <v>61185.15</v>
      </c>
      <c r="C217" s="411">
        <v>1351.15</v>
      </c>
      <c r="D217" s="517">
        <f t="shared" si="7"/>
        <v>3.8521511603868408E-3</v>
      </c>
      <c r="E217" s="517">
        <f t="shared" si="8"/>
        <v>9.7149049060269999E-3</v>
      </c>
    </row>
    <row r="218" spans="1:5" x14ac:dyDescent="0.35">
      <c r="A218" s="301">
        <v>44869</v>
      </c>
      <c r="B218" s="2">
        <v>60950.36</v>
      </c>
      <c r="C218" s="411">
        <v>1338.15</v>
      </c>
      <c r="D218" s="517">
        <f t="shared" si="7"/>
        <v>1.8730559544850589E-3</v>
      </c>
      <c r="E218" s="517">
        <f t="shared" si="8"/>
        <v>1.8342442165157902E-3</v>
      </c>
    </row>
    <row r="219" spans="1:5" x14ac:dyDescent="0.35">
      <c r="A219" s="301">
        <v>44868</v>
      </c>
      <c r="B219" s="2">
        <v>60836.41</v>
      </c>
      <c r="C219" s="411">
        <v>1335.7</v>
      </c>
      <c r="D219" s="517">
        <f t="shared" si="7"/>
        <v>-1.1440563661202496E-3</v>
      </c>
      <c r="E219" s="517">
        <f t="shared" si="8"/>
        <v>-1.2421441774491671E-2</v>
      </c>
    </row>
    <row r="220" spans="1:5" x14ac:dyDescent="0.35">
      <c r="A220" s="301">
        <v>44867</v>
      </c>
      <c r="B220" s="2">
        <v>60906.09</v>
      </c>
      <c r="C220" s="411">
        <v>1352.5</v>
      </c>
      <c r="D220" s="517">
        <f t="shared" si="7"/>
        <v>-3.5218462942981921E-3</v>
      </c>
      <c r="E220" s="517">
        <f t="shared" si="8"/>
        <v>-9.6026000886395568E-4</v>
      </c>
    </row>
    <row r="221" spans="1:5" x14ac:dyDescent="0.35">
      <c r="A221" s="301">
        <v>44866</v>
      </c>
      <c r="B221" s="2">
        <v>61121.35</v>
      </c>
      <c r="C221" s="411">
        <v>1353.8</v>
      </c>
      <c r="D221" s="517">
        <f t="shared" si="7"/>
        <v>6.1692351784685684E-3</v>
      </c>
      <c r="E221" s="517">
        <f t="shared" si="8"/>
        <v>5.2348245776869806E-3</v>
      </c>
    </row>
    <row r="222" spans="1:5" x14ac:dyDescent="0.35">
      <c r="A222" s="301">
        <v>44865</v>
      </c>
      <c r="B222" s="2">
        <v>60746.59</v>
      </c>
      <c r="C222" s="411">
        <v>1346.75</v>
      </c>
      <c r="D222" s="517">
        <f t="shared" si="7"/>
        <v>1.3121113545147223E-2</v>
      </c>
      <c r="E222" s="517">
        <f t="shared" si="8"/>
        <v>2.7034240829711065E-2</v>
      </c>
    </row>
    <row r="223" spans="1:5" x14ac:dyDescent="0.35">
      <c r="A223" s="301">
        <v>44862</v>
      </c>
      <c r="B223" s="2">
        <v>59959.85</v>
      </c>
      <c r="C223" s="411">
        <v>1311.3</v>
      </c>
      <c r="D223" s="517">
        <f t="shared" si="7"/>
        <v>3.3972679947600337E-3</v>
      </c>
      <c r="E223" s="517">
        <f t="shared" si="8"/>
        <v>1.4035494722189901E-2</v>
      </c>
    </row>
    <row r="224" spans="1:5" x14ac:dyDescent="0.35">
      <c r="A224" s="301">
        <v>44861</v>
      </c>
      <c r="B224" s="2">
        <v>59756.84</v>
      </c>
      <c r="C224" s="411">
        <v>1293.1500000000001</v>
      </c>
      <c r="D224" s="517">
        <f t="shared" si="7"/>
        <v>3.5751737035965014E-3</v>
      </c>
      <c r="E224" s="517">
        <f t="shared" si="8"/>
        <v>9.6818270544603013E-3</v>
      </c>
    </row>
    <row r="225" spans="1:5" x14ac:dyDescent="0.35">
      <c r="A225" s="301">
        <v>44859</v>
      </c>
      <c r="B225" s="2">
        <v>59543.96</v>
      </c>
      <c r="C225" s="411">
        <v>1280.75</v>
      </c>
      <c r="D225" s="517">
        <f t="shared" si="7"/>
        <v>-4.8084910229801991E-3</v>
      </c>
      <c r="E225" s="517">
        <f t="shared" si="8"/>
        <v>8.0280193616937279E-3</v>
      </c>
    </row>
    <row r="226" spans="1:5" x14ac:dyDescent="0.35">
      <c r="A226" s="301">
        <v>44858</v>
      </c>
      <c r="B226" s="2">
        <v>59831.66</v>
      </c>
      <c r="C226" s="411">
        <v>1270.55</v>
      </c>
      <c r="D226" s="517">
        <f t="shared" si="7"/>
        <v>8.8439589493003457E-3</v>
      </c>
      <c r="E226" s="517">
        <f t="shared" si="8"/>
        <v>1.0900266539364267E-2</v>
      </c>
    </row>
    <row r="227" spans="1:5" x14ac:dyDescent="0.35">
      <c r="A227" s="301">
        <v>44855</v>
      </c>
      <c r="B227" s="2">
        <v>59307.15</v>
      </c>
      <c r="C227" s="411">
        <v>1256.8499999999999</v>
      </c>
      <c r="D227" s="517">
        <f t="shared" si="7"/>
        <v>1.7608934697455059E-3</v>
      </c>
      <c r="E227" s="517">
        <f t="shared" si="8"/>
        <v>5.1583493282147952E-3</v>
      </c>
    </row>
    <row r="228" spans="1:5" x14ac:dyDescent="0.35">
      <c r="A228" s="301">
        <v>44854</v>
      </c>
      <c r="B228" s="2">
        <v>59202.9</v>
      </c>
      <c r="C228" s="411">
        <v>1250.4000000000001</v>
      </c>
      <c r="D228" s="517">
        <f t="shared" si="7"/>
        <v>1.6192615483834327E-3</v>
      </c>
      <c r="E228" s="517">
        <f t="shared" si="8"/>
        <v>1.4416146083615633E-3</v>
      </c>
    </row>
    <row r="229" spans="1:5" x14ac:dyDescent="0.35">
      <c r="A229" s="301">
        <v>44853</v>
      </c>
      <c r="B229" s="2">
        <v>59107.19</v>
      </c>
      <c r="C229" s="411">
        <v>1248.5999999999999</v>
      </c>
      <c r="D229" s="517">
        <f t="shared" si="7"/>
        <v>2.4862365715410117E-3</v>
      </c>
      <c r="E229" s="517">
        <f t="shared" si="8"/>
        <v>-3.3127120335263438E-3</v>
      </c>
    </row>
    <row r="230" spans="1:5" x14ac:dyDescent="0.35">
      <c r="A230" s="301">
        <v>44852</v>
      </c>
      <c r="B230" s="2">
        <v>58960.6</v>
      </c>
      <c r="C230" s="411">
        <v>1252.75</v>
      </c>
      <c r="D230" s="517">
        <f t="shared" si="7"/>
        <v>9.4095322489025079E-3</v>
      </c>
      <c r="E230" s="517">
        <f t="shared" si="8"/>
        <v>1.7214079818115513E-2</v>
      </c>
    </row>
    <row r="231" spans="1:5" x14ac:dyDescent="0.35">
      <c r="A231" s="301">
        <v>44851</v>
      </c>
      <c r="B231" s="2">
        <v>58410.98</v>
      </c>
      <c r="C231" s="411">
        <v>1231.55</v>
      </c>
      <c r="D231" s="517">
        <f t="shared" si="7"/>
        <v>8.4773869875969243E-3</v>
      </c>
      <c r="E231" s="517">
        <f t="shared" si="8"/>
        <v>1.0566957935378429E-3</v>
      </c>
    </row>
    <row r="232" spans="1:5" x14ac:dyDescent="0.35">
      <c r="A232" s="301">
        <v>44848</v>
      </c>
      <c r="B232" s="2">
        <v>57919.97</v>
      </c>
      <c r="C232" s="411">
        <v>1230.25</v>
      </c>
      <c r="D232" s="517">
        <f t="shared" si="7"/>
        <v>1.1961842449410121E-2</v>
      </c>
      <c r="E232" s="517">
        <f t="shared" si="8"/>
        <v>-1.398573375010026E-2</v>
      </c>
    </row>
    <row r="233" spans="1:5" x14ac:dyDescent="0.35">
      <c r="A233" s="301">
        <v>44847</v>
      </c>
      <c r="B233" s="2">
        <v>57235.33</v>
      </c>
      <c r="C233" s="411">
        <v>1247.7</v>
      </c>
      <c r="D233" s="517">
        <f t="shared" si="7"/>
        <v>-6.7778539202244525E-3</v>
      </c>
      <c r="E233" s="517">
        <f t="shared" si="8"/>
        <v>-4.406168636089669E-4</v>
      </c>
    </row>
    <row r="234" spans="1:5" x14ac:dyDescent="0.35">
      <c r="A234" s="301">
        <v>44846</v>
      </c>
      <c r="B234" s="2">
        <v>57625.91</v>
      </c>
      <c r="C234" s="411">
        <v>1248.25</v>
      </c>
      <c r="D234" s="517">
        <f t="shared" si="7"/>
        <v>8.3746709381997686E-3</v>
      </c>
      <c r="E234" s="517">
        <f t="shared" si="8"/>
        <v>1.599381409734657E-2</v>
      </c>
    </row>
    <row r="235" spans="1:5" x14ac:dyDescent="0.35">
      <c r="A235" s="301">
        <v>44845</v>
      </c>
      <c r="B235" s="2">
        <v>57147.32</v>
      </c>
      <c r="C235" s="411">
        <v>1228.5999999999999</v>
      </c>
      <c r="D235" s="517">
        <f t="shared" si="7"/>
        <v>-1.4550333663211457E-2</v>
      </c>
      <c r="E235" s="517">
        <f t="shared" si="8"/>
        <v>-1.1584875301689501E-2</v>
      </c>
    </row>
    <row r="236" spans="1:5" x14ac:dyDescent="0.35">
      <c r="A236" s="301">
        <v>44844</v>
      </c>
      <c r="B236" s="2">
        <v>57991.11</v>
      </c>
      <c r="C236" s="411">
        <v>1243</v>
      </c>
      <c r="D236" s="517">
        <f t="shared" si="7"/>
        <v>-3.4400337232599609E-3</v>
      </c>
      <c r="E236" s="517">
        <f t="shared" si="8"/>
        <v>3.0260238047206123E-3</v>
      </c>
    </row>
    <row r="237" spans="1:5" x14ac:dyDescent="0.35">
      <c r="A237" s="301">
        <v>44841</v>
      </c>
      <c r="B237" s="2">
        <v>58191.29</v>
      </c>
      <c r="C237" s="411">
        <v>1239.25</v>
      </c>
      <c r="D237" s="517">
        <f t="shared" si="7"/>
        <v>-5.291805001880201E-4</v>
      </c>
      <c r="E237" s="517">
        <f t="shared" si="8"/>
        <v>-1.3689362887500556E-2</v>
      </c>
    </row>
    <row r="238" spans="1:5" x14ac:dyDescent="0.35">
      <c r="A238" s="301">
        <v>44840</v>
      </c>
      <c r="B238" s="2">
        <v>58222.1</v>
      </c>
      <c r="C238" s="411">
        <v>1256.45</v>
      </c>
      <c r="D238" s="517">
        <f t="shared" si="7"/>
        <v>2.6974723531902889E-3</v>
      </c>
      <c r="E238" s="517">
        <f t="shared" si="8"/>
        <v>-2.6987339762668539E-3</v>
      </c>
    </row>
    <row r="239" spans="1:5" x14ac:dyDescent="0.35">
      <c r="A239" s="301">
        <v>44838</v>
      </c>
      <c r="B239" s="2">
        <v>58065.47</v>
      </c>
      <c r="C239" s="411">
        <v>1259.8499999999999</v>
      </c>
      <c r="D239" s="517">
        <f t="shared" si="7"/>
        <v>2.2480837333974879E-2</v>
      </c>
      <c r="E239" s="517">
        <f t="shared" si="8"/>
        <v>6.6719936076706787E-3</v>
      </c>
    </row>
    <row r="240" spans="1:5" x14ac:dyDescent="0.35">
      <c r="A240" s="301">
        <v>44837</v>
      </c>
      <c r="B240" s="2">
        <v>56788.81</v>
      </c>
      <c r="C240" s="411">
        <v>1251.5</v>
      </c>
      <c r="D240" s="517">
        <f t="shared" si="7"/>
        <v>-1.1111687689327576E-2</v>
      </c>
      <c r="E240" s="517">
        <f t="shared" si="8"/>
        <v>-1.3557184519586984E-2</v>
      </c>
    </row>
    <row r="241" spans="1:5" x14ac:dyDescent="0.35">
      <c r="A241" s="301">
        <v>44834</v>
      </c>
      <c r="B241" s="2">
        <v>57426.92</v>
      </c>
      <c r="C241" s="411">
        <v>1268.7</v>
      </c>
      <c r="D241" s="517">
        <f t="shared" si="7"/>
        <v>1.8028022001788324E-2</v>
      </c>
      <c r="E241" s="517">
        <f t="shared" si="8"/>
        <v>9.5889865913341144E-3</v>
      </c>
    </row>
    <row r="242" spans="1:5" x14ac:dyDescent="0.35">
      <c r="A242" s="301">
        <v>44833</v>
      </c>
      <c r="B242" s="2">
        <v>56409.96</v>
      </c>
      <c r="C242" s="411">
        <v>1256.6500000000001</v>
      </c>
      <c r="D242" s="517">
        <f t="shared" si="7"/>
        <v>-3.3273095931537489E-3</v>
      </c>
      <c r="E242" s="517">
        <f t="shared" si="8"/>
        <v>1.1266245523679164E-2</v>
      </c>
    </row>
    <row r="243" spans="1:5" x14ac:dyDescent="0.35">
      <c r="A243" s="301">
        <v>44832</v>
      </c>
      <c r="B243" s="2">
        <v>56598.28</v>
      </c>
      <c r="C243" s="411">
        <v>1242.6500000000001</v>
      </c>
      <c r="D243" s="517">
        <f t="shared" si="7"/>
        <v>-8.9172144053882851E-3</v>
      </c>
      <c r="E243" s="517">
        <f t="shared" si="8"/>
        <v>5.5836536516287172E-3</v>
      </c>
    </row>
    <row r="244" spans="1:5" x14ac:dyDescent="0.35">
      <c r="A244" s="301">
        <v>44831</v>
      </c>
      <c r="B244" s="2">
        <v>57107.519999999997</v>
      </c>
      <c r="C244" s="411">
        <v>1235.75</v>
      </c>
      <c r="D244" s="517">
        <f t="shared" si="7"/>
        <v>-6.5972272046554981E-4</v>
      </c>
      <c r="E244" s="517">
        <f t="shared" si="8"/>
        <v>3.6428397960008851E-4</v>
      </c>
    </row>
    <row r="245" spans="1:5" x14ac:dyDescent="0.35">
      <c r="A245" s="301">
        <v>44830</v>
      </c>
      <c r="B245" s="2">
        <v>57145.22</v>
      </c>
      <c r="C245" s="411">
        <v>1235.3</v>
      </c>
      <c r="D245" s="517">
        <f t="shared" si="7"/>
        <v>-1.6415107199927226E-2</v>
      </c>
      <c r="E245" s="517">
        <f t="shared" si="8"/>
        <v>-2.831747030598597E-2</v>
      </c>
    </row>
    <row r="246" spans="1:5" x14ac:dyDescent="0.35">
      <c r="A246" s="301">
        <v>44827</v>
      </c>
      <c r="B246" s="2">
        <v>58098.92</v>
      </c>
      <c r="C246" s="411">
        <v>1271.3</v>
      </c>
      <c r="D246" s="517">
        <f t="shared" si="7"/>
        <v>-1.7266658231804954E-2</v>
      </c>
      <c r="E246" s="517">
        <f t="shared" si="8"/>
        <v>-3.0023270896120335E-2</v>
      </c>
    </row>
    <row r="247" spans="1:5" x14ac:dyDescent="0.35">
      <c r="A247" s="301">
        <v>44826</v>
      </c>
      <c r="B247" s="2">
        <v>59119.72</v>
      </c>
      <c r="C247" s="411">
        <v>1310.6500000000001</v>
      </c>
      <c r="D247" s="517">
        <f t="shared" si="7"/>
        <v>-5.6689918290226959E-3</v>
      </c>
      <c r="E247" s="517">
        <f t="shared" si="8"/>
        <v>2.869385568903482E-3</v>
      </c>
    </row>
    <row r="248" spans="1:5" x14ac:dyDescent="0.35">
      <c r="A248" s="301">
        <v>44825</v>
      </c>
      <c r="B248" s="2">
        <v>59456.78</v>
      </c>
      <c r="C248" s="411">
        <v>1306.9000000000001</v>
      </c>
      <c r="D248" s="517">
        <f t="shared" si="7"/>
        <v>-4.4032341734909775E-3</v>
      </c>
      <c r="E248" s="517">
        <f t="shared" si="8"/>
        <v>3.0700744493052934E-3</v>
      </c>
    </row>
    <row r="249" spans="1:5" x14ac:dyDescent="0.35">
      <c r="A249" s="301">
        <v>44824</v>
      </c>
      <c r="B249" s="2">
        <v>59719.74</v>
      </c>
      <c r="C249" s="411">
        <v>1302.9000000000001</v>
      </c>
      <c r="D249" s="517">
        <f t="shared" si="7"/>
        <v>9.7818391670243532E-3</v>
      </c>
      <c r="E249" s="517">
        <f t="shared" si="8"/>
        <v>1.101885621168619E-2</v>
      </c>
    </row>
    <row r="250" spans="1:5" x14ac:dyDescent="0.35">
      <c r="A250" s="301">
        <v>44823</v>
      </c>
      <c r="B250" s="2">
        <v>59141.23</v>
      </c>
      <c r="C250" s="411">
        <v>1288.7</v>
      </c>
      <c r="D250" s="517">
        <f t="shared" si="7"/>
        <v>5.1059817517746797E-3</v>
      </c>
      <c r="E250" s="517">
        <f t="shared" si="8"/>
        <v>3.0547780887644871E-2</v>
      </c>
    </row>
    <row r="251" spans="1:5" x14ac:dyDescent="0.35">
      <c r="A251" s="301">
        <v>44820</v>
      </c>
      <c r="B251" s="2">
        <v>58840.79</v>
      </c>
      <c r="C251" s="411">
        <v>1250.5</v>
      </c>
      <c r="D251" s="517"/>
      <c r="E251" s="517"/>
    </row>
    <row r="252" spans="1:5" x14ac:dyDescent="0.35">
      <c r="B252" s="12"/>
      <c r="C252" s="12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C87C-DF30-4BDF-8020-7F1D73BB3279}">
  <dimension ref="A1:L29"/>
  <sheetViews>
    <sheetView topLeftCell="A12" workbookViewId="0">
      <selection activeCell="B29" sqref="B29"/>
    </sheetView>
  </sheetViews>
  <sheetFormatPr defaultColWidth="9.08984375" defaultRowHeight="14.5" x14ac:dyDescent="0.35"/>
  <cols>
    <col min="1" max="1" width="40.453125" style="212" bestFit="1" customWidth="1"/>
    <col min="2" max="2" width="15.08984375" style="212" bestFit="1" customWidth="1"/>
    <col min="3" max="3" width="11.453125" style="212" customWidth="1"/>
    <col min="4" max="4" width="10.08984375" style="212" bestFit="1" customWidth="1"/>
    <col min="5" max="5" width="20.1796875" style="212" bestFit="1" customWidth="1"/>
    <col min="6" max="16384" width="9.08984375" style="212"/>
  </cols>
  <sheetData>
    <row r="1" spans="1:12" s="17" customFormat="1" x14ac:dyDescent="0.35">
      <c r="A1" s="82"/>
      <c r="B1" s="83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2" s="20" customFormat="1" x14ac:dyDescent="0.35">
      <c r="A2" s="85" t="s">
        <v>80</v>
      </c>
      <c r="B2" s="86"/>
      <c r="C2" s="87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x14ac:dyDescent="0.35">
      <c r="A3" s="1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x14ac:dyDescent="0.35">
      <c r="A4" s="21" t="s">
        <v>258</v>
      </c>
      <c r="B4" s="18"/>
      <c r="C4" s="19"/>
      <c r="D4" s="22"/>
      <c r="E4" s="19"/>
      <c r="F4" s="19"/>
      <c r="G4" s="19"/>
      <c r="H4" s="19"/>
      <c r="I4" s="19"/>
      <c r="J4" s="19"/>
      <c r="K4" s="19"/>
      <c r="L4" s="19"/>
    </row>
    <row r="5" spans="1:12" s="20" customFormat="1" x14ac:dyDescent="0.35">
      <c r="A5" s="18" t="s">
        <v>82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0" customFormat="1" x14ac:dyDescent="0.35">
      <c r="A6" s="18" t="s">
        <v>83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2" x14ac:dyDescent="0.35">
      <c r="A8" s="294" t="s">
        <v>658</v>
      </c>
      <c r="B8" s="519">
        <f>7.158%</f>
        <v>7.1580000000000005E-2</v>
      </c>
      <c r="C8" s="302" t="s">
        <v>310</v>
      </c>
      <c r="D8" s="212" t="s">
        <v>311</v>
      </c>
    </row>
    <row r="9" spans="1:12" x14ac:dyDescent="0.35">
      <c r="A9" s="294" t="s">
        <v>312</v>
      </c>
      <c r="B9" s="520">
        <f>'Sensex Returns'!E128</f>
        <v>0.11205417019636423</v>
      </c>
      <c r="C9" s="212" t="s">
        <v>313</v>
      </c>
    </row>
    <row r="10" spans="1:12" x14ac:dyDescent="0.35">
      <c r="A10" s="294" t="s">
        <v>515</v>
      </c>
      <c r="B10" s="521">
        <f>Beta!H9</f>
        <v>0.94985558120427627</v>
      </c>
      <c r="C10" s="212" t="s">
        <v>255</v>
      </c>
    </row>
    <row r="11" spans="1:12" x14ac:dyDescent="0.35">
      <c r="A11" s="294" t="s">
        <v>257</v>
      </c>
      <c r="B11" s="520">
        <f>B8+B10*(B9-B8)</f>
        <v>0.11002461645562833</v>
      </c>
      <c r="C11" s="303" t="s">
        <v>314</v>
      </c>
      <c r="E11" s="303" t="s">
        <v>314</v>
      </c>
    </row>
    <row r="13" spans="1:12" x14ac:dyDescent="0.35">
      <c r="A13" s="212" t="s">
        <v>315</v>
      </c>
      <c r="B13" s="303" t="s">
        <v>316</v>
      </c>
    </row>
    <row r="14" spans="1:12" x14ac:dyDescent="0.35">
      <c r="B14" s="212">
        <v>2022</v>
      </c>
      <c r="C14" s="212">
        <v>2023</v>
      </c>
      <c r="D14" s="212" t="s">
        <v>317</v>
      </c>
    </row>
    <row r="15" spans="1:12" x14ac:dyDescent="0.35">
      <c r="A15" s="212" t="s">
        <v>318</v>
      </c>
      <c r="B15" s="523">
        <f>'Bal Sheet'!F19</f>
        <v>51057.61</v>
      </c>
      <c r="C15" s="523">
        <f>'Bal Sheet'!G19</f>
        <v>57909.89</v>
      </c>
      <c r="D15" s="523">
        <f>AVERAGE(B15:C15)</f>
        <v>54483.75</v>
      </c>
    </row>
    <row r="16" spans="1:12" x14ac:dyDescent="0.35">
      <c r="A16" s="212" t="s">
        <v>319</v>
      </c>
      <c r="B16" s="523">
        <f>'Bal Sheet'!F26</f>
        <v>26547.599999999999</v>
      </c>
      <c r="C16" s="523">
        <f>'Bal Sheet'!G26</f>
        <v>34336.959999999999</v>
      </c>
      <c r="D16" s="523">
        <f t="shared" ref="D16" si="0">AVERAGE(B16:C16)</f>
        <v>30442.28</v>
      </c>
    </row>
    <row r="17" spans="1:5" x14ac:dyDescent="0.35">
      <c r="A17" s="212" t="s">
        <v>320</v>
      </c>
      <c r="B17" s="304"/>
      <c r="C17" s="522">
        <f>-'Income Statement'!G38</f>
        <v>5829.7</v>
      </c>
    </row>
    <row r="19" spans="1:5" x14ac:dyDescent="0.35">
      <c r="A19" s="9" t="s">
        <v>315</v>
      </c>
      <c r="B19" s="305">
        <f>C17/SUM(D15:D16)</f>
        <v>6.8644442699134764E-2</v>
      </c>
    </row>
    <row r="20" spans="1:5" x14ac:dyDescent="0.35">
      <c r="A20" s="212" t="s">
        <v>251</v>
      </c>
      <c r="B20" s="302">
        <f>-'Income Statement'!H52</f>
        <v>0.29342708061778866</v>
      </c>
    </row>
    <row r="21" spans="1:5" x14ac:dyDescent="0.35">
      <c r="A21" s="294" t="s">
        <v>321</v>
      </c>
      <c r="B21" s="309">
        <f>B19*(1-B20)</f>
        <v>4.8502304277292574E-2</v>
      </c>
      <c r="C21" s="303" t="s">
        <v>322</v>
      </c>
    </row>
    <row r="23" spans="1:5" x14ac:dyDescent="0.35">
      <c r="B23" s="310" t="s">
        <v>328</v>
      </c>
      <c r="C23" s="310" t="s">
        <v>323</v>
      </c>
      <c r="D23" s="310" t="s">
        <v>324</v>
      </c>
    </row>
    <row r="24" spans="1:5" x14ac:dyDescent="0.35">
      <c r="A24" s="294" t="s">
        <v>140</v>
      </c>
      <c r="B24" s="306">
        <f>'Bal Sheet'!G14</f>
        <v>56365.79</v>
      </c>
      <c r="C24" s="307">
        <f>B24/B26</f>
        <v>0.37927991858565996</v>
      </c>
      <c r="D24" s="308">
        <f>B11</f>
        <v>0.11002461645562833</v>
      </c>
      <c r="E24" s="525">
        <f>C24*D24</f>
        <v>4.1730127571709179E-2</v>
      </c>
    </row>
    <row r="25" spans="1:5" x14ac:dyDescent="0.35">
      <c r="A25" s="294" t="s">
        <v>325</v>
      </c>
      <c r="B25" s="306">
        <f>C15+C16</f>
        <v>92246.85</v>
      </c>
      <c r="C25" s="307">
        <f>B25/B26</f>
        <v>0.62072008141433999</v>
      </c>
      <c r="D25" s="302">
        <f>B21</f>
        <v>4.8502304277292574E-2</v>
      </c>
      <c r="E25" s="525">
        <f>C25*D25</f>
        <v>3.0106354259784137E-2</v>
      </c>
    </row>
    <row r="26" spans="1:5" x14ac:dyDescent="0.35">
      <c r="A26" s="312" t="s">
        <v>326</v>
      </c>
      <c r="B26" s="524">
        <f>B25+B24</f>
        <v>148612.64000000001</v>
      </c>
      <c r="C26" s="311"/>
      <c r="D26" s="311"/>
    </row>
    <row r="29" spans="1:5" x14ac:dyDescent="0.35">
      <c r="A29" s="294" t="s">
        <v>327</v>
      </c>
      <c r="B29" s="312">
        <f>SUMPRODUCT(C24:C25,D24:D25)</f>
        <v>7.1836481831493312E-2</v>
      </c>
      <c r="E29" s="525">
        <f>E24+E25</f>
        <v>7.1836481831493312E-2</v>
      </c>
    </row>
  </sheetData>
  <conditionalFormatting sqref="D4">
    <cfRule type="expression" dxfId="0" priority="1">
      <formula>"="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AD5F98-3326-4168-AA82-06C853CECD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Rev Buildup</vt:lpstr>
      <vt:lpstr>BS</vt:lpstr>
      <vt:lpstr>PL</vt:lpstr>
      <vt:lpstr>Income Statement</vt:lpstr>
      <vt:lpstr>Bal Sheet</vt:lpstr>
      <vt:lpstr>WC</vt:lpstr>
      <vt:lpstr>Euity</vt:lpstr>
      <vt:lpstr>Ratios</vt:lpstr>
      <vt:lpstr>Other long Term Items</vt:lpstr>
      <vt:lpstr>Cost Sheet</vt:lpstr>
      <vt:lpstr>Cash Flow</vt:lpstr>
      <vt:lpstr>Depreciation</vt:lpstr>
      <vt:lpstr>Ammortisation</vt:lpstr>
      <vt:lpstr>DCF</vt:lpstr>
      <vt:lpstr>DEbT &amp; Int1</vt:lpstr>
      <vt:lpstr>Sensex Returns</vt:lpstr>
      <vt:lpstr>M&amp;M 1 year</vt:lpstr>
      <vt:lpstr>Sensex 1year</vt:lpstr>
      <vt:lpstr>Sensex 10 year</vt:lpstr>
      <vt:lpstr>Beta</vt:lpstr>
      <vt:lpstr>WACC</vt:lpstr>
      <vt:lpstr>Capex_Breakup</vt:lpstr>
      <vt:lpstr>GrossIntang_Breakup</vt:lpstr>
      <vt:lpstr>GrossPPE_Breakup</vt:lpstr>
      <vt:lpstr>IntangExpense_Breakup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Dixit</dc:creator>
  <cp:lastModifiedBy>Vrishnay Sharma</cp:lastModifiedBy>
  <dcterms:created xsi:type="dcterms:W3CDTF">2023-07-29T10:22:56Z</dcterms:created>
  <dcterms:modified xsi:type="dcterms:W3CDTF">2024-09-12T09:42:29Z</dcterms:modified>
</cp:coreProperties>
</file>