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tables/table6.xml" ContentType="application/vnd.openxmlformats-officedocument.spreadsheetml.table+xml"/>
  <Override PartName="/xl/tables/table7.xml" ContentType="application/vnd.openxmlformats-officedocument.spreadsheetml.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SAUJANYA\Desktop\YouGov\"/>
    </mc:Choice>
  </mc:AlternateContent>
  <xr:revisionPtr revIDLastSave="0" documentId="13_ncr:1_{27DDEEE7-DE49-43A9-A1B8-DA57AD789739}" xr6:coauthVersionLast="47" xr6:coauthVersionMax="47" xr10:uidLastSave="{00000000-0000-0000-0000-000000000000}"/>
  <bookViews>
    <workbookView xWindow="-120" yWindow="-120" windowWidth="20730" windowHeight="11160" tabRatio="766" firstSheet="2" activeTab="7" xr2:uid="{00000000-000D-0000-FFFF-FFFF00000000}"/>
  </bookViews>
  <sheets>
    <sheet name="Look Ups" sheetId="8" state="hidden" r:id="rId1"/>
    <sheet name="FTA &amp; HHR" sheetId="21" state="hidden" r:id="rId2"/>
    <sheet name="Audience year on year" sheetId="73" r:id="rId3"/>
    <sheet name="Audience 2021 pivot" sheetId="69" r:id="rId4"/>
    <sheet name="Audience 2020 pivot" sheetId="72" r:id="rId5"/>
    <sheet name="Country &amp; Continent" sheetId="9" state="hidden" r:id="rId6"/>
    <sheet name="Pay TV vs FTA" sheetId="70" r:id="rId7"/>
    <sheet name="By Day " sheetId="66" r:id="rId8"/>
    <sheet name="Income" sheetId="15" state="hidden" r:id="rId9"/>
    <sheet name="Exposure data 2021" sheetId="97" r:id="rId10"/>
    <sheet name="Exposure data 2020" sheetId="11" r:id="rId11"/>
    <sheet name="On Site" sheetId="58" state="hidden" r:id="rId12"/>
    <sheet name="Screen" sheetId="57" state="hidden" r:id="rId13"/>
    <sheet name="Exposure Benchmarking" sheetId="12" state="hidden" r:id="rId14"/>
    <sheet name="Exposure 2 - On Site" sheetId="28" state="hidden" r:id="rId15"/>
    <sheet name="Exposure - Watch" sheetId="29" state="hidden" r:id="rId16"/>
    <sheet name="SM Mentions" sheetId="24" state="hidden" r:id="rId17"/>
    <sheet name="SM Videos" sheetId="23" state="hidden" r:id="rId18"/>
    <sheet name="Audience data 2021 raw" sheetId="1" r:id="rId19"/>
    <sheet name="Audience data 2020 raw" sheetId="4" r:id="rId20"/>
    <sheet name="YoY Pivots" sheetId="18" state="hidden" r:id="rId21"/>
  </sheets>
  <externalReferences>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s>
  <definedNames>
    <definedName name="_xlnm._FilterDatabase" localSheetId="20" hidden="1">'YoY Pivots'!$Q$4:$R$4</definedName>
    <definedName name="Adecco_VisDisc">[1]!Adecco_Vis[#Data]</definedName>
    <definedName name="Aegon_Vis" localSheetId="2">#REF!</definedName>
    <definedName name="Aegon_Vis" localSheetId="7">#REF!</definedName>
    <definedName name="Aegon_Vis">#REF!</definedName>
    <definedName name="Broadcaster_Country">[2]!Table7[[Broadcast Country]:[Broadcaster]]</definedName>
    <definedName name="Broadcaster_Country2">[3]!Table7[[Broadcast Country]:[Broadcaster]]</definedName>
    <definedName name="cc" localSheetId="2">#REF!</definedName>
    <definedName name="cc" localSheetId="7">#REF!</definedName>
    <definedName name="cc">#REF!</definedName>
    <definedName name="CentreCourtDIS">'[4]EXP Data Courts Combined'!$Z$19</definedName>
    <definedName name="Channel_Lookup">[5]Sheet1!$A$1:$B$178</definedName>
    <definedName name="Check" localSheetId="2">#REF!</definedName>
    <definedName name="Check" localSheetId="7">#REF!</definedName>
    <definedName name="Check">#REF!</definedName>
    <definedName name="Check2" localSheetId="2">#REF!</definedName>
    <definedName name="Check2" localSheetId="7">#REF!</definedName>
    <definedName name="Check2">#REF!</definedName>
    <definedName name="Country_Vlookup">[6]!Procurement_Vlookup[#Data]</definedName>
    <definedName name="CourtEighteenDIS">'[4]EXP Data Courts Combined'!$Z$175</definedName>
    <definedName name="CourtOneDIS">'[4]EXP Data Courts Combined'!$Z$58</definedName>
    <definedName name="CourtThreeDIS">'[4]EXP Data Courts Combined'!$Z$116</definedName>
    <definedName name="CourtTwelveDIS">'[4]EXP Data Courts Combined'!$Z$146</definedName>
    <definedName name="CourtTwoDIS">'[4]EXP Data Courts Combined'!$Z$89</definedName>
    <definedName name="CST_4">[7]CST!$A$1:$B$952</definedName>
    <definedName name="CST_V3">[8]CST!$A$1:$B$1111</definedName>
    <definedName name="CurrencyConv" localSheetId="16">[9]Affiliate!$D$1</definedName>
    <definedName name="CurrencyConv">[9]Affiliate!$D$1</definedName>
    <definedName name="EXP_REF">[10]!Table5[#Data]</definedName>
    <definedName name="Exposure_Reference">[11]!Exposure_REF[#Data]</definedName>
    <definedName name="Race">[12]Sheet2!$A$1:$B$4</definedName>
    <definedName name="Rolex_DIS">'[13]Exposure Data'!$R$74</definedName>
    <definedName name="Rolex_Sources">'[14]Look Ups'!$I$6:$J$45</definedName>
    <definedName name="RolexDis">'[15]Exposure Data'!$Q$65</definedName>
    <definedName name="ROLEXVIS">'[16]Exposure Data'!$H$46</definedName>
    <definedName name="VariousDIS">'[4]EXP Data Courts Combined'!$Z$210</definedName>
    <definedName name="Wilson_Vis">[1]!Aegon2_vIS21[#Data]</definedName>
  </definedNames>
  <calcPr calcId="191028"/>
  <pivotCaches>
    <pivotCache cacheId="0" r:id="rId38"/>
    <pivotCache cacheId="1" r:id="rId39"/>
    <pivotCache cacheId="2" r:id="rId40"/>
    <pivotCache cacheId="3" r:id="rId41"/>
    <pivotCache cacheId="4" r:id="rId4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1" i="73" l="1"/>
  <c r="G41" i="73" s="1"/>
  <c r="E75" i="73"/>
  <c r="F75" i="73" s="1"/>
  <c r="H75" i="73"/>
  <c r="I75" i="73" s="1"/>
  <c r="K75" i="73"/>
  <c r="L75" i="73" s="1"/>
  <c r="E76" i="73"/>
  <c r="F76" i="73" s="1"/>
  <c r="H76" i="73"/>
  <c r="I76" i="73" s="1"/>
  <c r="K76" i="73"/>
  <c r="E77" i="73"/>
  <c r="F77" i="73" s="1"/>
  <c r="H77" i="73"/>
  <c r="I77" i="73" s="1"/>
  <c r="K77" i="73"/>
  <c r="M77" i="73" s="1"/>
  <c r="E78" i="73"/>
  <c r="F78" i="73" s="1"/>
  <c r="H78" i="73"/>
  <c r="I78" i="73" s="1"/>
  <c r="K78" i="73"/>
  <c r="L78" i="73" s="1"/>
  <c r="E79" i="73"/>
  <c r="F79" i="73" s="1"/>
  <c r="H79" i="73"/>
  <c r="K79" i="73"/>
  <c r="L79" i="73" s="1"/>
  <c r="E80" i="73"/>
  <c r="F80" i="73" s="1"/>
  <c r="H80" i="73"/>
  <c r="I80" i="73" s="1"/>
  <c r="K80" i="73"/>
  <c r="M80" i="73" s="1"/>
  <c r="E81" i="73"/>
  <c r="G81" i="73" s="1"/>
  <c r="H81" i="73"/>
  <c r="I81" i="73" s="1"/>
  <c r="K81" i="73"/>
  <c r="L81" i="73" s="1"/>
  <c r="E82" i="73"/>
  <c r="H82" i="73"/>
  <c r="I82" i="73" s="1"/>
  <c r="K82" i="73"/>
  <c r="L82" i="73" s="1"/>
  <c r="E83" i="73"/>
  <c r="F83" i="73" s="1"/>
  <c r="H83" i="73"/>
  <c r="I83" i="73" s="1"/>
  <c r="K83" i="73"/>
  <c r="M83" i="73" s="1"/>
  <c r="E84" i="73"/>
  <c r="F84" i="73" s="1"/>
  <c r="H84" i="73"/>
  <c r="I84" i="73" s="1"/>
  <c r="K84" i="73"/>
  <c r="E85" i="73"/>
  <c r="F85" i="73" s="1"/>
  <c r="H85" i="73"/>
  <c r="I85" i="73" s="1"/>
  <c r="K85" i="73"/>
  <c r="M85" i="73" s="1"/>
  <c r="E86" i="73"/>
  <c r="F86" i="73" s="1"/>
  <c r="H86" i="73"/>
  <c r="J86" i="73" s="1"/>
  <c r="K86" i="73"/>
  <c r="L86" i="73" s="1"/>
  <c r="E87" i="73"/>
  <c r="F87" i="73" s="1"/>
  <c r="H87" i="73"/>
  <c r="K87" i="73"/>
  <c r="L87" i="73" s="1"/>
  <c r="E88" i="73"/>
  <c r="F88" i="73" s="1"/>
  <c r="H88" i="73"/>
  <c r="J88" i="73" s="1"/>
  <c r="K88" i="73"/>
  <c r="L88" i="73" s="1"/>
  <c r="E89" i="73"/>
  <c r="G89" i="73" s="1"/>
  <c r="H89" i="73"/>
  <c r="I89" i="73" s="1"/>
  <c r="K89" i="73"/>
  <c r="L89" i="73" s="1"/>
  <c r="E90" i="73"/>
  <c r="H90" i="73"/>
  <c r="I90" i="73" s="1"/>
  <c r="K90" i="73"/>
  <c r="M90" i="73" s="1"/>
  <c r="E91" i="73"/>
  <c r="F91" i="73" s="1"/>
  <c r="H91" i="73"/>
  <c r="I91" i="73" s="1"/>
  <c r="K91" i="73"/>
  <c r="M91" i="73" s="1"/>
  <c r="E92" i="73"/>
  <c r="F92" i="73" s="1"/>
  <c r="H92" i="73"/>
  <c r="I92" i="73" s="1"/>
  <c r="K92" i="73"/>
  <c r="E93" i="73"/>
  <c r="F93" i="73" s="1"/>
  <c r="H93" i="73"/>
  <c r="I93" i="73" s="1"/>
  <c r="K93" i="73"/>
  <c r="L93" i="73" s="1"/>
  <c r="E94" i="73"/>
  <c r="G94" i="73" s="1"/>
  <c r="H94" i="73"/>
  <c r="J94" i="73" s="1"/>
  <c r="K94" i="73"/>
  <c r="L94" i="73" s="1"/>
  <c r="E95" i="73"/>
  <c r="F95" i="73" s="1"/>
  <c r="H95" i="73"/>
  <c r="K95" i="73"/>
  <c r="L95" i="73" s="1"/>
  <c r="E96" i="73"/>
  <c r="G96" i="73" s="1"/>
  <c r="H96" i="73"/>
  <c r="J96" i="73" s="1"/>
  <c r="K96" i="73"/>
  <c r="M96" i="73" s="1"/>
  <c r="E97" i="73"/>
  <c r="G97" i="73" s="1"/>
  <c r="H97" i="73"/>
  <c r="I97" i="73" s="1"/>
  <c r="K97" i="73"/>
  <c r="L97" i="73" s="1"/>
  <c r="E98" i="73"/>
  <c r="H98" i="73"/>
  <c r="I98" i="73" s="1"/>
  <c r="K98" i="73"/>
  <c r="L98" i="73" s="1"/>
  <c r="E99" i="73"/>
  <c r="F99" i="73" s="1"/>
  <c r="H99" i="73"/>
  <c r="I99" i="73" s="1"/>
  <c r="K99" i="73"/>
  <c r="M99" i="73" s="1"/>
  <c r="E100" i="73"/>
  <c r="F100" i="73" s="1"/>
  <c r="H100" i="73"/>
  <c r="I100" i="73" s="1"/>
  <c r="K100" i="73"/>
  <c r="E101" i="73"/>
  <c r="F101" i="73" s="1"/>
  <c r="H101" i="73"/>
  <c r="I101" i="73" s="1"/>
  <c r="K101" i="73"/>
  <c r="L101" i="73" s="1"/>
  <c r="E102" i="73"/>
  <c r="G102" i="73" s="1"/>
  <c r="H102" i="73"/>
  <c r="J102" i="73" s="1"/>
  <c r="K102" i="73"/>
  <c r="L102" i="73" s="1"/>
  <c r="E103" i="73"/>
  <c r="F103" i="73" s="1"/>
  <c r="H103" i="73"/>
  <c r="K103" i="73"/>
  <c r="L103" i="73" s="1"/>
  <c r="E104" i="73"/>
  <c r="F104" i="73" s="1"/>
  <c r="H104" i="73"/>
  <c r="J104" i="73" s="1"/>
  <c r="K104" i="73"/>
  <c r="L104" i="73" s="1"/>
  <c r="E105" i="73"/>
  <c r="G105" i="73" s="1"/>
  <c r="H105" i="73"/>
  <c r="I105" i="73" s="1"/>
  <c r="K105" i="73"/>
  <c r="L105" i="73" s="1"/>
  <c r="E106" i="73"/>
  <c r="H106" i="73"/>
  <c r="I106" i="73" s="1"/>
  <c r="K106" i="73"/>
  <c r="M106" i="73" s="1"/>
  <c r="E107" i="73"/>
  <c r="F107" i="73" s="1"/>
  <c r="H107" i="73"/>
  <c r="J107" i="73" s="1"/>
  <c r="K107" i="73"/>
  <c r="M107" i="73" s="1"/>
  <c r="E108" i="73"/>
  <c r="F108" i="73" s="1"/>
  <c r="H108" i="73"/>
  <c r="I108" i="73" s="1"/>
  <c r="K108" i="73"/>
  <c r="E109" i="73"/>
  <c r="F109" i="73" s="1"/>
  <c r="H109" i="73"/>
  <c r="J109" i="73" s="1"/>
  <c r="K109" i="73"/>
  <c r="L109" i="73" s="1"/>
  <c r="E110" i="73"/>
  <c r="F110" i="73" s="1"/>
  <c r="H110" i="73"/>
  <c r="J110" i="73" s="1"/>
  <c r="K110" i="73"/>
  <c r="L110" i="73" s="1"/>
  <c r="E111" i="73"/>
  <c r="F111" i="73" s="1"/>
  <c r="H111" i="73"/>
  <c r="K111" i="73"/>
  <c r="L111" i="73" s="1"/>
  <c r="E112" i="73"/>
  <c r="F112" i="73" s="1"/>
  <c r="H112" i="73"/>
  <c r="I112" i="73" s="1"/>
  <c r="K112" i="73"/>
  <c r="M112" i="73" s="1"/>
  <c r="E113" i="73"/>
  <c r="G113" i="73" s="1"/>
  <c r="H113" i="73"/>
  <c r="I113" i="73" s="1"/>
  <c r="K113" i="73"/>
  <c r="L113" i="73" s="1"/>
  <c r="E114" i="73"/>
  <c r="H114" i="73"/>
  <c r="I114" i="73" s="1"/>
  <c r="K114" i="73"/>
  <c r="L114" i="73" s="1"/>
  <c r="E115" i="73"/>
  <c r="F115" i="73" s="1"/>
  <c r="H115" i="73"/>
  <c r="J115" i="73" s="1"/>
  <c r="K115" i="73"/>
  <c r="M115" i="73" s="1"/>
  <c r="E116" i="73"/>
  <c r="F116" i="73" s="1"/>
  <c r="H116" i="73"/>
  <c r="I116" i="73" s="1"/>
  <c r="K116" i="73"/>
  <c r="E117" i="73"/>
  <c r="F117" i="73" s="1"/>
  <c r="H117" i="73"/>
  <c r="I117" i="73" s="1"/>
  <c r="K117" i="73"/>
  <c r="L117" i="73" s="1"/>
  <c r="E118" i="73"/>
  <c r="G118" i="73" s="1"/>
  <c r="H118" i="73"/>
  <c r="J118" i="73" s="1"/>
  <c r="K118" i="73"/>
  <c r="L118" i="73" s="1"/>
  <c r="E119" i="73"/>
  <c r="F119" i="73" s="1"/>
  <c r="H119" i="73"/>
  <c r="K119" i="73"/>
  <c r="L119" i="73" s="1"/>
  <c r="E120" i="73"/>
  <c r="F120" i="73" s="1"/>
  <c r="H120" i="73"/>
  <c r="J120" i="73" s="1"/>
  <c r="K120" i="73"/>
  <c r="M120" i="73" s="1"/>
  <c r="E121" i="73"/>
  <c r="G121" i="73" s="1"/>
  <c r="H121" i="73"/>
  <c r="I121" i="73" s="1"/>
  <c r="K121" i="73"/>
  <c r="L121" i="73" s="1"/>
  <c r="E122" i="73"/>
  <c r="H122" i="73"/>
  <c r="I122" i="73" s="1"/>
  <c r="K122" i="73"/>
  <c r="L122" i="73" s="1"/>
  <c r="E123" i="73"/>
  <c r="F123" i="73" s="1"/>
  <c r="H123" i="73"/>
  <c r="J123" i="73" s="1"/>
  <c r="K123" i="73"/>
  <c r="M123" i="73" s="1"/>
  <c r="E124" i="73"/>
  <c r="F124" i="73" s="1"/>
  <c r="H124" i="73"/>
  <c r="I124" i="73" s="1"/>
  <c r="K124" i="73"/>
  <c r="E125" i="73"/>
  <c r="F125" i="73" s="1"/>
  <c r="H125" i="73"/>
  <c r="I125" i="73" s="1"/>
  <c r="K125" i="73"/>
  <c r="L125" i="73" s="1"/>
  <c r="E126" i="73"/>
  <c r="G126" i="73" s="1"/>
  <c r="H126" i="73"/>
  <c r="J126" i="73" s="1"/>
  <c r="K126" i="73"/>
  <c r="M126" i="73" s="1"/>
  <c r="E127" i="73"/>
  <c r="F127" i="73" s="1"/>
  <c r="H127" i="73"/>
  <c r="K127" i="73"/>
  <c r="L127" i="73" s="1"/>
  <c r="E128" i="73"/>
  <c r="G128" i="73" s="1"/>
  <c r="H128" i="73"/>
  <c r="I128" i="73" s="1"/>
  <c r="K128" i="73"/>
  <c r="M128" i="73" s="1"/>
  <c r="E129" i="73"/>
  <c r="G129" i="73" s="1"/>
  <c r="H129" i="73"/>
  <c r="J129" i="73" s="1"/>
  <c r="K129" i="73"/>
  <c r="L129" i="73" s="1"/>
  <c r="E130" i="73"/>
  <c r="H130" i="73"/>
  <c r="I130" i="73" s="1"/>
  <c r="K130" i="73"/>
  <c r="L130" i="73" s="1"/>
  <c r="E131" i="73"/>
  <c r="G131" i="73" s="1"/>
  <c r="H131" i="73"/>
  <c r="J131" i="73" s="1"/>
  <c r="K131" i="73"/>
  <c r="M131" i="73" s="1"/>
  <c r="E132" i="73"/>
  <c r="G132" i="73" s="1"/>
  <c r="H132" i="73"/>
  <c r="I132" i="73" s="1"/>
  <c r="K132" i="73"/>
  <c r="E133" i="73"/>
  <c r="F133" i="73" s="1"/>
  <c r="H133" i="73"/>
  <c r="I133" i="73" s="1"/>
  <c r="K133" i="73"/>
  <c r="L133" i="73" s="1"/>
  <c r="E134" i="73"/>
  <c r="G134" i="73" s="1"/>
  <c r="H134" i="73"/>
  <c r="J134" i="73" s="1"/>
  <c r="K134" i="73"/>
  <c r="M134" i="73" s="1"/>
  <c r="E135" i="73"/>
  <c r="F135" i="73" s="1"/>
  <c r="H135" i="73"/>
  <c r="K135" i="73"/>
  <c r="L135" i="73" s="1"/>
  <c r="E136" i="73"/>
  <c r="F136" i="73" s="1"/>
  <c r="H136" i="73"/>
  <c r="J136" i="73" s="1"/>
  <c r="K136" i="73"/>
  <c r="M136" i="73" s="1"/>
  <c r="E137" i="73"/>
  <c r="G137" i="73" s="1"/>
  <c r="H137" i="73"/>
  <c r="J137" i="73" s="1"/>
  <c r="K137" i="73"/>
  <c r="L137" i="73" s="1"/>
  <c r="E138" i="73"/>
  <c r="H138" i="73"/>
  <c r="I138" i="73" s="1"/>
  <c r="K138" i="73"/>
  <c r="L138" i="73" s="1"/>
  <c r="E139" i="73"/>
  <c r="F139" i="73" s="1"/>
  <c r="H139" i="73"/>
  <c r="J139" i="73" s="1"/>
  <c r="K139" i="73"/>
  <c r="M139" i="73" s="1"/>
  <c r="E140" i="73"/>
  <c r="G140" i="73" s="1"/>
  <c r="H140" i="73"/>
  <c r="I140" i="73" s="1"/>
  <c r="K140" i="73"/>
  <c r="E141" i="73"/>
  <c r="F141" i="73" s="1"/>
  <c r="H141" i="73"/>
  <c r="I141" i="73" s="1"/>
  <c r="K141" i="73"/>
  <c r="L141" i="73" s="1"/>
  <c r="E142" i="73"/>
  <c r="G142" i="73" s="1"/>
  <c r="H142" i="73"/>
  <c r="J142" i="73" s="1"/>
  <c r="K142" i="73"/>
  <c r="M142" i="73" s="1"/>
  <c r="E143" i="73"/>
  <c r="F143" i="73" s="1"/>
  <c r="H143" i="73"/>
  <c r="K143" i="73"/>
  <c r="L143" i="73" s="1"/>
  <c r="E144" i="73"/>
  <c r="G144" i="73" s="1"/>
  <c r="H144" i="73"/>
  <c r="I144" i="73" s="1"/>
  <c r="K144" i="73"/>
  <c r="M144" i="73" s="1"/>
  <c r="E145" i="73"/>
  <c r="F145" i="73" s="1"/>
  <c r="H145" i="73"/>
  <c r="J145" i="73" s="1"/>
  <c r="K145" i="73"/>
  <c r="L145" i="73" s="1"/>
  <c r="E146" i="73"/>
  <c r="H146" i="73"/>
  <c r="K146" i="73"/>
  <c r="M146" i="73" s="1"/>
  <c r="E147" i="73"/>
  <c r="F147" i="73" s="1"/>
  <c r="H147" i="73"/>
  <c r="J147" i="73" s="1"/>
  <c r="K147" i="73"/>
  <c r="L147" i="73" s="1"/>
  <c r="E148" i="73"/>
  <c r="G148" i="73" s="1"/>
  <c r="H148" i="73"/>
  <c r="I148" i="73" s="1"/>
  <c r="K148" i="73"/>
  <c r="E149" i="73"/>
  <c r="H149" i="73"/>
  <c r="I149" i="73" s="1"/>
  <c r="K149" i="73"/>
  <c r="L149" i="73" s="1"/>
  <c r="E150" i="73"/>
  <c r="G150" i="73" s="1"/>
  <c r="H150" i="73"/>
  <c r="I150" i="73" s="1"/>
  <c r="K150" i="73"/>
  <c r="M150" i="73" s="1"/>
  <c r="E151" i="73"/>
  <c r="F151" i="73" s="1"/>
  <c r="H151" i="73"/>
  <c r="K151" i="73"/>
  <c r="E152" i="73"/>
  <c r="G152" i="73" s="1"/>
  <c r="H152" i="73"/>
  <c r="I152" i="73" s="1"/>
  <c r="K152" i="73"/>
  <c r="M152" i="73" s="1"/>
  <c r="E153" i="73"/>
  <c r="F153" i="73" s="1"/>
  <c r="H153" i="73"/>
  <c r="J153" i="73" s="1"/>
  <c r="K153" i="73"/>
  <c r="L153" i="73" s="1"/>
  <c r="E154" i="73"/>
  <c r="H154" i="73"/>
  <c r="K154" i="73"/>
  <c r="L154" i="73" s="1"/>
  <c r="E155" i="73"/>
  <c r="G155" i="73" s="1"/>
  <c r="H155" i="73"/>
  <c r="J155" i="73" s="1"/>
  <c r="K155" i="73"/>
  <c r="L155" i="73" s="1"/>
  <c r="E156" i="73"/>
  <c r="G156" i="73" s="1"/>
  <c r="H156" i="73"/>
  <c r="I156" i="73" s="1"/>
  <c r="K156" i="73"/>
  <c r="L156" i="73" s="1"/>
  <c r="E157" i="73"/>
  <c r="H157" i="73"/>
  <c r="I157" i="73" s="1"/>
  <c r="K157" i="73"/>
  <c r="M157" i="73" s="1"/>
  <c r="E158" i="73"/>
  <c r="G158" i="73" s="1"/>
  <c r="H158" i="73"/>
  <c r="I158" i="73" s="1"/>
  <c r="K158" i="73"/>
  <c r="M158" i="73" s="1"/>
  <c r="E159" i="73"/>
  <c r="F159" i="73" s="1"/>
  <c r="H159" i="73"/>
  <c r="I159" i="73" s="1"/>
  <c r="K159" i="73"/>
  <c r="E160" i="73"/>
  <c r="F160" i="73" s="1"/>
  <c r="H160" i="73"/>
  <c r="I160" i="73" s="1"/>
  <c r="K160" i="73"/>
  <c r="M160" i="73" s="1"/>
  <c r="E161" i="73"/>
  <c r="G161" i="73" s="1"/>
  <c r="H161" i="73"/>
  <c r="J161" i="73" s="1"/>
  <c r="K161" i="73"/>
  <c r="L161" i="73" s="1"/>
  <c r="E162" i="73"/>
  <c r="F162" i="73" s="1"/>
  <c r="H162" i="73"/>
  <c r="K162" i="73"/>
  <c r="L162" i="73" s="1"/>
  <c r="E163" i="73"/>
  <c r="F163" i="73" s="1"/>
  <c r="H163" i="73"/>
  <c r="J163" i="73" s="1"/>
  <c r="K163" i="73"/>
  <c r="L163" i="73" s="1"/>
  <c r="E164" i="73"/>
  <c r="G164" i="73" s="1"/>
  <c r="H164" i="73"/>
  <c r="I164" i="73" s="1"/>
  <c r="K164" i="73"/>
  <c r="L164" i="73" s="1"/>
  <c r="E165" i="73"/>
  <c r="H165" i="73"/>
  <c r="J165" i="73" s="1"/>
  <c r="K165" i="73"/>
  <c r="L165" i="73" s="1"/>
  <c r="E166" i="73"/>
  <c r="G166" i="73" s="1"/>
  <c r="H166" i="73"/>
  <c r="I166" i="73" s="1"/>
  <c r="K166" i="73"/>
  <c r="M166" i="73" s="1"/>
  <c r="E167" i="73"/>
  <c r="F167" i="73" s="1"/>
  <c r="H167" i="73"/>
  <c r="I167" i="73" s="1"/>
  <c r="K167" i="73"/>
  <c r="E168" i="73"/>
  <c r="G168" i="73" s="1"/>
  <c r="H168" i="73"/>
  <c r="I168" i="73" s="1"/>
  <c r="K168" i="73"/>
  <c r="M168" i="73" s="1"/>
  <c r="E169" i="73"/>
  <c r="F169" i="73" s="1"/>
  <c r="H169" i="73"/>
  <c r="J169" i="73" s="1"/>
  <c r="K169" i="73"/>
  <c r="L169" i="73" s="1"/>
  <c r="E170" i="73"/>
  <c r="F170" i="73" s="1"/>
  <c r="H170" i="73"/>
  <c r="K170" i="73"/>
  <c r="M170" i="73" s="1"/>
  <c r="E171" i="73"/>
  <c r="F171" i="73" s="1"/>
  <c r="H171" i="73"/>
  <c r="J171" i="73" s="1"/>
  <c r="K171" i="73"/>
  <c r="M171" i="73" s="1"/>
  <c r="E172" i="73"/>
  <c r="G172" i="73" s="1"/>
  <c r="H172" i="73"/>
  <c r="I172" i="73" s="1"/>
  <c r="K172" i="73"/>
  <c r="L172" i="73" s="1"/>
  <c r="E173" i="73"/>
  <c r="H173" i="73"/>
  <c r="J173" i="73" s="1"/>
  <c r="K173" i="73"/>
  <c r="L173" i="73" s="1"/>
  <c r="E174" i="73"/>
  <c r="G174" i="73" s="1"/>
  <c r="H174" i="73"/>
  <c r="I174" i="73" s="1"/>
  <c r="K174" i="73"/>
  <c r="M174" i="73" s="1"/>
  <c r="E175" i="73"/>
  <c r="F175" i="73" s="1"/>
  <c r="H175" i="73"/>
  <c r="I175" i="73" s="1"/>
  <c r="K175" i="73"/>
  <c r="E176" i="73"/>
  <c r="F176" i="73" s="1"/>
  <c r="H176" i="73"/>
  <c r="J176" i="73" s="1"/>
  <c r="K176" i="73"/>
  <c r="M176" i="73" s="1"/>
  <c r="E177" i="73"/>
  <c r="F177" i="73" s="1"/>
  <c r="H177" i="73"/>
  <c r="J177" i="73" s="1"/>
  <c r="K177" i="73"/>
  <c r="L177" i="73" s="1"/>
  <c r="E178" i="73"/>
  <c r="F178" i="73" s="1"/>
  <c r="H178" i="73"/>
  <c r="K178" i="73"/>
  <c r="L178" i="73" s="1"/>
  <c r="E179" i="73"/>
  <c r="F179" i="73" s="1"/>
  <c r="H179" i="73"/>
  <c r="J179" i="73" s="1"/>
  <c r="K179" i="73"/>
  <c r="M179" i="73" s="1"/>
  <c r="E180" i="73"/>
  <c r="G180" i="73" s="1"/>
  <c r="H180" i="73"/>
  <c r="I180" i="73" s="1"/>
  <c r="K180" i="73"/>
  <c r="L180" i="73" s="1"/>
  <c r="E181" i="73"/>
  <c r="H181" i="73"/>
  <c r="I181" i="73" s="1"/>
  <c r="K181" i="73"/>
  <c r="L181" i="73" s="1"/>
  <c r="E182" i="73"/>
  <c r="G182" i="73" s="1"/>
  <c r="H182" i="73"/>
  <c r="I182" i="73" s="1"/>
  <c r="K182" i="73"/>
  <c r="M182" i="73" s="1"/>
  <c r="E183" i="73"/>
  <c r="F183" i="73" s="1"/>
  <c r="H183" i="73"/>
  <c r="I183" i="73" s="1"/>
  <c r="K183" i="73"/>
  <c r="E184" i="73"/>
  <c r="F184" i="73" s="1"/>
  <c r="H184" i="73"/>
  <c r="I184" i="73" s="1"/>
  <c r="K184" i="73"/>
  <c r="M184" i="73" s="1"/>
  <c r="E185" i="73"/>
  <c r="G185" i="73" s="1"/>
  <c r="H185" i="73"/>
  <c r="J185" i="73" s="1"/>
  <c r="K185" i="73"/>
  <c r="L185" i="73" s="1"/>
  <c r="E186" i="73"/>
  <c r="F186" i="73" s="1"/>
  <c r="H186" i="73"/>
  <c r="K186" i="73"/>
  <c r="L186" i="73" s="1"/>
  <c r="E187" i="73"/>
  <c r="F187" i="73" s="1"/>
  <c r="H187" i="73"/>
  <c r="I187" i="73" s="1"/>
  <c r="K187" i="73"/>
  <c r="M187" i="73" s="1"/>
  <c r="E188" i="73"/>
  <c r="G188" i="73" s="1"/>
  <c r="H188" i="73"/>
  <c r="J188" i="73" s="1"/>
  <c r="K188" i="73"/>
  <c r="L188" i="73" s="1"/>
  <c r="E189" i="73"/>
  <c r="G189" i="73" s="1"/>
  <c r="H189" i="73"/>
  <c r="I189" i="73" s="1"/>
  <c r="K189" i="73"/>
  <c r="L189" i="73" s="1"/>
  <c r="E190" i="73"/>
  <c r="F190" i="73" s="1"/>
  <c r="H190" i="73"/>
  <c r="J190" i="73" s="1"/>
  <c r="K190" i="73"/>
  <c r="L190" i="73" s="1"/>
  <c r="E191" i="73"/>
  <c r="F191" i="73" s="1"/>
  <c r="H191" i="73"/>
  <c r="I191" i="73" s="1"/>
  <c r="K191" i="73"/>
  <c r="L191" i="73" s="1"/>
  <c r="E192" i="73"/>
  <c r="F192" i="73" s="1"/>
  <c r="H192" i="73"/>
  <c r="I192" i="73" s="1"/>
  <c r="K192" i="73"/>
  <c r="M192" i="73" s="1"/>
  <c r="E193" i="73"/>
  <c r="F193" i="73" s="1"/>
  <c r="H193" i="73"/>
  <c r="J193" i="73" s="1"/>
  <c r="K193" i="73"/>
  <c r="L193" i="73" s="1"/>
  <c r="E194" i="73"/>
  <c r="F194" i="73" s="1"/>
  <c r="H194" i="73"/>
  <c r="I194" i="73" s="1"/>
  <c r="K194" i="73"/>
  <c r="L194" i="73" s="1"/>
  <c r="E195" i="73"/>
  <c r="F195" i="73" s="1"/>
  <c r="H195" i="73"/>
  <c r="J195" i="73" s="1"/>
  <c r="K195" i="73"/>
  <c r="L195" i="73" s="1"/>
  <c r="E196" i="73"/>
  <c r="G196" i="73" s="1"/>
  <c r="H196" i="73"/>
  <c r="I196" i="73" s="1"/>
  <c r="K196" i="73"/>
  <c r="L196" i="73" s="1"/>
  <c r="E197" i="73"/>
  <c r="F197" i="73" s="1"/>
  <c r="H197" i="73"/>
  <c r="I197" i="73" s="1"/>
  <c r="K197" i="73"/>
  <c r="L197" i="73" s="1"/>
  <c r="E198" i="73"/>
  <c r="G198" i="73" s="1"/>
  <c r="H198" i="73"/>
  <c r="J198" i="73" s="1"/>
  <c r="K198" i="73"/>
  <c r="L198" i="73" s="1"/>
  <c r="E199" i="73"/>
  <c r="F199" i="73" s="1"/>
  <c r="H199" i="73"/>
  <c r="I199" i="73" s="1"/>
  <c r="K199" i="73"/>
  <c r="M199" i="73" s="1"/>
  <c r="E200" i="73"/>
  <c r="F200" i="73" s="1"/>
  <c r="H200" i="73"/>
  <c r="I200" i="73" s="1"/>
  <c r="K200" i="73"/>
  <c r="M200" i="73" s="1"/>
  <c r="E201" i="73"/>
  <c r="F201" i="73" s="1"/>
  <c r="H201" i="73"/>
  <c r="J201" i="73" s="1"/>
  <c r="K201" i="73"/>
  <c r="L201" i="73" s="1"/>
  <c r="E202" i="73"/>
  <c r="F202" i="73" s="1"/>
  <c r="H202" i="73"/>
  <c r="I202" i="73" s="1"/>
  <c r="K202" i="73"/>
  <c r="L202" i="73" s="1"/>
  <c r="E203" i="73"/>
  <c r="F203" i="73" s="1"/>
  <c r="H203" i="73"/>
  <c r="J203" i="73" s="1"/>
  <c r="K203" i="73"/>
  <c r="L203" i="73" s="1"/>
  <c r="E204" i="73"/>
  <c r="G204" i="73" s="1"/>
  <c r="H204" i="73"/>
  <c r="I204" i="73" s="1"/>
  <c r="K204" i="73"/>
  <c r="L204" i="73" s="1"/>
  <c r="E205" i="73"/>
  <c r="F205" i="73" s="1"/>
  <c r="H205" i="73"/>
  <c r="I205" i="73" s="1"/>
  <c r="K205" i="73"/>
  <c r="L205" i="73" s="1"/>
  <c r="E206" i="73"/>
  <c r="G206" i="73" s="1"/>
  <c r="H206" i="73"/>
  <c r="I206" i="73" s="1"/>
  <c r="K206" i="73"/>
  <c r="M206" i="73" s="1"/>
  <c r="E207" i="73"/>
  <c r="F207" i="73" s="1"/>
  <c r="H207" i="73"/>
  <c r="I207" i="73" s="1"/>
  <c r="K207" i="73"/>
  <c r="L207" i="73" s="1"/>
  <c r="E208" i="73"/>
  <c r="F208" i="73" s="1"/>
  <c r="H208" i="73"/>
  <c r="I208" i="73" s="1"/>
  <c r="K208" i="73"/>
  <c r="M208" i="73" s="1"/>
  <c r="E209" i="73"/>
  <c r="F209" i="73" s="1"/>
  <c r="H209" i="73"/>
  <c r="J209" i="73" s="1"/>
  <c r="K209" i="73"/>
  <c r="L209" i="73" s="1"/>
  <c r="E210" i="73"/>
  <c r="F210" i="73" s="1"/>
  <c r="H210" i="73"/>
  <c r="I210" i="73" s="1"/>
  <c r="K210" i="73"/>
  <c r="L210" i="73" s="1"/>
  <c r="E211" i="73"/>
  <c r="F211" i="73" s="1"/>
  <c r="H211" i="73"/>
  <c r="J211" i="73" s="1"/>
  <c r="K211" i="73"/>
  <c r="L211" i="73" s="1"/>
  <c r="E212" i="73"/>
  <c r="F212" i="73" s="1"/>
  <c r="H212" i="73"/>
  <c r="I212" i="73" s="1"/>
  <c r="K212" i="73"/>
  <c r="L212" i="73" s="1"/>
  <c r="E213" i="73"/>
  <c r="F213" i="73" s="1"/>
  <c r="H213" i="73"/>
  <c r="I213" i="73" s="1"/>
  <c r="K213" i="73"/>
  <c r="L213" i="73" s="1"/>
  <c r="E214" i="73"/>
  <c r="G214" i="73" s="1"/>
  <c r="H214" i="73"/>
  <c r="J214" i="73" s="1"/>
  <c r="K214" i="73"/>
  <c r="L214" i="73" s="1"/>
  <c r="E215" i="73"/>
  <c r="F215" i="73" s="1"/>
  <c r="H215" i="73"/>
  <c r="I215" i="73" s="1"/>
  <c r="K215" i="73"/>
  <c r="M215" i="73" s="1"/>
  <c r="E216" i="73"/>
  <c r="F216" i="73" s="1"/>
  <c r="H216" i="73"/>
  <c r="I216" i="73" s="1"/>
  <c r="K216" i="73"/>
  <c r="M216" i="73" s="1"/>
  <c r="E217" i="73"/>
  <c r="F217" i="73" s="1"/>
  <c r="H217" i="73"/>
  <c r="I217" i="73" s="1"/>
  <c r="K217" i="73"/>
  <c r="L217" i="73" s="1"/>
  <c r="E218" i="73"/>
  <c r="F218" i="73" s="1"/>
  <c r="H218" i="73"/>
  <c r="I218" i="73" s="1"/>
  <c r="K218" i="73"/>
  <c r="L218" i="73" s="1"/>
  <c r="E219" i="73"/>
  <c r="F219" i="73" s="1"/>
  <c r="H219" i="73"/>
  <c r="J219" i="73" s="1"/>
  <c r="K219" i="73"/>
  <c r="M219" i="73" s="1"/>
  <c r="E220" i="73"/>
  <c r="F220" i="73" s="1"/>
  <c r="H220" i="73"/>
  <c r="I220" i="73" s="1"/>
  <c r="K220" i="73"/>
  <c r="L220" i="73" s="1"/>
  <c r="E221" i="73"/>
  <c r="G221" i="73" s="1"/>
  <c r="F221" i="73"/>
  <c r="H221" i="73"/>
  <c r="I221" i="73" s="1"/>
  <c r="K221" i="73"/>
  <c r="L221" i="73" s="1"/>
  <c r="E222" i="73"/>
  <c r="G222" i="73" s="1"/>
  <c r="H222" i="73"/>
  <c r="I222" i="73" s="1"/>
  <c r="K222" i="73"/>
  <c r="M222" i="73" s="1"/>
  <c r="E223" i="73"/>
  <c r="F223" i="73" s="1"/>
  <c r="H223" i="73"/>
  <c r="I223" i="73" s="1"/>
  <c r="K223" i="73"/>
  <c r="L223" i="73" s="1"/>
  <c r="E224" i="73"/>
  <c r="F224" i="73" s="1"/>
  <c r="H224" i="73"/>
  <c r="I224" i="73" s="1"/>
  <c r="K224" i="73"/>
  <c r="M224" i="73" s="1"/>
  <c r="E225" i="73"/>
  <c r="G225" i="73" s="1"/>
  <c r="H225" i="73"/>
  <c r="J225" i="73" s="1"/>
  <c r="K225" i="73"/>
  <c r="L225" i="73" s="1"/>
  <c r="E226" i="73"/>
  <c r="F226" i="73" s="1"/>
  <c r="H226" i="73"/>
  <c r="J226" i="73" s="1"/>
  <c r="K226" i="73"/>
  <c r="L226" i="73" s="1"/>
  <c r="E227" i="73"/>
  <c r="F227" i="73" s="1"/>
  <c r="H227" i="73"/>
  <c r="J227" i="73" s="1"/>
  <c r="K227" i="73"/>
  <c r="L227" i="73" s="1"/>
  <c r="E228" i="73"/>
  <c r="G228" i="73" s="1"/>
  <c r="H228" i="73"/>
  <c r="I228" i="73" s="1"/>
  <c r="K228" i="73"/>
  <c r="L228" i="73" s="1"/>
  <c r="E229" i="73"/>
  <c r="F229" i="73" s="1"/>
  <c r="H229" i="73"/>
  <c r="I229" i="73" s="1"/>
  <c r="K229" i="73"/>
  <c r="L229" i="73" s="1"/>
  <c r="E230" i="73"/>
  <c r="G230" i="73" s="1"/>
  <c r="H230" i="73"/>
  <c r="I230" i="73" s="1"/>
  <c r="K230" i="73"/>
  <c r="M230" i="73" s="1"/>
  <c r="E231" i="73"/>
  <c r="F231" i="73" s="1"/>
  <c r="H231" i="73"/>
  <c r="I231" i="73" s="1"/>
  <c r="K231" i="73"/>
  <c r="L231" i="73" s="1"/>
  <c r="E232" i="73"/>
  <c r="F232" i="73" s="1"/>
  <c r="H232" i="73"/>
  <c r="I232" i="73" s="1"/>
  <c r="K232" i="73"/>
  <c r="M232" i="73" s="1"/>
  <c r="E233" i="73"/>
  <c r="F233" i="73" s="1"/>
  <c r="H233" i="73"/>
  <c r="J233" i="73" s="1"/>
  <c r="K233" i="73"/>
  <c r="L233" i="73" s="1"/>
  <c r="E234" i="73"/>
  <c r="F234" i="73" s="1"/>
  <c r="H234" i="73"/>
  <c r="I234" i="73" s="1"/>
  <c r="K234" i="73"/>
  <c r="L234" i="73" s="1"/>
  <c r="E235" i="73"/>
  <c r="F235" i="73" s="1"/>
  <c r="H235" i="73"/>
  <c r="J235" i="73" s="1"/>
  <c r="I235" i="73"/>
  <c r="K235" i="73"/>
  <c r="L235" i="73" s="1"/>
  <c r="E236" i="73"/>
  <c r="G236" i="73" s="1"/>
  <c r="H236" i="73"/>
  <c r="I236" i="73" s="1"/>
  <c r="K236" i="73"/>
  <c r="L236" i="73" s="1"/>
  <c r="E237" i="73"/>
  <c r="F237" i="73" s="1"/>
  <c r="H237" i="73"/>
  <c r="I237" i="73" s="1"/>
  <c r="K237" i="73"/>
  <c r="L237" i="73" s="1"/>
  <c r="E238" i="73"/>
  <c r="G238" i="73" s="1"/>
  <c r="H238" i="73"/>
  <c r="I238" i="73" s="1"/>
  <c r="K238" i="73"/>
  <c r="M238" i="73" s="1"/>
  <c r="E239" i="73"/>
  <c r="F239" i="73" s="1"/>
  <c r="H239" i="73"/>
  <c r="J239" i="73" s="1"/>
  <c r="K239" i="73"/>
  <c r="M239" i="73" s="1"/>
  <c r="E240" i="73"/>
  <c r="F240" i="73" s="1"/>
  <c r="H240" i="73"/>
  <c r="I240" i="73" s="1"/>
  <c r="K240" i="73"/>
  <c r="M240" i="73" s="1"/>
  <c r="L240" i="73"/>
  <c r="E241" i="73"/>
  <c r="F241" i="73" s="1"/>
  <c r="H241" i="73"/>
  <c r="I241" i="73" s="1"/>
  <c r="K241" i="73"/>
  <c r="L241" i="73" s="1"/>
  <c r="E242" i="73"/>
  <c r="G242" i="73" s="1"/>
  <c r="H242" i="73"/>
  <c r="I242" i="73" s="1"/>
  <c r="K242" i="73"/>
  <c r="L242" i="73" s="1"/>
  <c r="M242" i="73"/>
  <c r="E243" i="73"/>
  <c r="F243" i="73" s="1"/>
  <c r="H243" i="73"/>
  <c r="J243" i="73" s="1"/>
  <c r="K243" i="73"/>
  <c r="M243" i="73" s="1"/>
  <c r="E244" i="73"/>
  <c r="F244" i="73" s="1"/>
  <c r="H244" i="73"/>
  <c r="I244" i="73" s="1"/>
  <c r="K244" i="73"/>
  <c r="L244" i="73" s="1"/>
  <c r="E42" i="73"/>
  <c r="E28" i="73"/>
  <c r="F185" i="73" l="1"/>
  <c r="J166" i="73"/>
  <c r="I214" i="73"/>
  <c r="F204" i="73"/>
  <c r="I120" i="73"/>
  <c r="I198" i="73"/>
  <c r="I193" i="73"/>
  <c r="J237" i="73"/>
  <c r="F228" i="73"/>
  <c r="I134" i="73"/>
  <c r="L243" i="73"/>
  <c r="I239" i="73"/>
  <c r="F230" i="73"/>
  <c r="I190" i="73"/>
  <c r="L170" i="73"/>
  <c r="L219" i="73"/>
  <c r="L184" i="73"/>
  <c r="J133" i="73"/>
  <c r="F131" i="73"/>
  <c r="I233" i="73"/>
  <c r="I226" i="73"/>
  <c r="G179" i="73"/>
  <c r="I171" i="73"/>
  <c r="G232" i="73"/>
  <c r="M198" i="73"/>
  <c r="F168" i="73"/>
  <c r="F161" i="73"/>
  <c r="F238" i="73"/>
  <c r="F236" i="73"/>
  <c r="L222" i="73"/>
  <c r="L215" i="73"/>
  <c r="L200" i="73"/>
  <c r="L224" i="73"/>
  <c r="I165" i="73"/>
  <c r="L152" i="73"/>
  <c r="L134" i="73"/>
  <c r="M130" i="73"/>
  <c r="J112" i="73"/>
  <c r="G241" i="73"/>
  <c r="F198" i="73"/>
  <c r="G176" i="73"/>
  <c r="F144" i="73"/>
  <c r="I109" i="73"/>
  <c r="L239" i="73"/>
  <c r="J217" i="73"/>
  <c r="M211" i="73"/>
  <c r="J174" i="73"/>
  <c r="J224" i="73"/>
  <c r="I209" i="73"/>
  <c r="M202" i="73"/>
  <c r="G192" i="73"/>
  <c r="M172" i="73"/>
  <c r="L160" i="73"/>
  <c r="L146" i="73"/>
  <c r="I139" i="73"/>
  <c r="L107" i="73"/>
  <c r="G244" i="73"/>
  <c r="J229" i="73"/>
  <c r="I227" i="73"/>
  <c r="I225" i="73"/>
  <c r="G224" i="73"/>
  <c r="M218" i="73"/>
  <c r="L179" i="73"/>
  <c r="F174" i="73"/>
  <c r="F156" i="73"/>
  <c r="F152" i="73"/>
  <c r="M147" i="73"/>
  <c r="G139" i="73"/>
  <c r="F128" i="73"/>
  <c r="G123" i="73"/>
  <c r="F105" i="73"/>
  <c r="J222" i="73"/>
  <c r="M214" i="73"/>
  <c r="G160" i="73"/>
  <c r="J149" i="73"/>
  <c r="I136" i="73"/>
  <c r="J242" i="73"/>
  <c r="M234" i="73"/>
  <c r="L232" i="73"/>
  <c r="L230" i="73"/>
  <c r="F225" i="73"/>
  <c r="M223" i="73"/>
  <c r="F206" i="73"/>
  <c r="I195" i="73"/>
  <c r="J181" i="73"/>
  <c r="I179" i="73"/>
  <c r="I177" i="73"/>
  <c r="L171" i="73"/>
  <c r="F166" i="73"/>
  <c r="L157" i="73"/>
  <c r="G153" i="73"/>
  <c r="I115" i="73"/>
  <c r="L106" i="73"/>
  <c r="G216" i="73"/>
  <c r="G208" i="73"/>
  <c r="I173" i="73"/>
  <c r="I147" i="73"/>
  <c r="G120" i="73"/>
  <c r="J108" i="73"/>
  <c r="I104" i="73"/>
  <c r="M213" i="73"/>
  <c r="M210" i="73"/>
  <c r="L208" i="73"/>
  <c r="L206" i="73"/>
  <c r="L187" i="73"/>
  <c r="F182" i="73"/>
  <c r="I176" i="73"/>
  <c r="I163" i="73"/>
  <c r="M154" i="73"/>
  <c r="L144" i="73"/>
  <c r="I129" i="73"/>
  <c r="J144" i="73"/>
  <c r="F129" i="73"/>
  <c r="G213" i="73"/>
  <c r="M188" i="73"/>
  <c r="G169" i="73"/>
  <c r="M162" i="73"/>
  <c r="J150" i="73"/>
  <c r="M117" i="73"/>
  <c r="G99" i="73"/>
  <c r="G220" i="73"/>
  <c r="L238" i="73"/>
  <c r="J221" i="73"/>
  <c r="I211" i="73"/>
  <c r="G200" i="73"/>
  <c r="M194" i="73"/>
  <c r="L192" i="73"/>
  <c r="J157" i="73"/>
  <c r="I155" i="73"/>
  <c r="F140" i="73"/>
  <c r="G136" i="73"/>
  <c r="L128" i="73"/>
  <c r="J218" i="73"/>
  <c r="G217" i="73"/>
  <c r="J184" i="73"/>
  <c r="J182" i="73"/>
  <c r="M163" i="73"/>
  <c r="G145" i="73"/>
  <c r="M141" i="73"/>
  <c r="G107" i="73"/>
  <c r="M226" i="73"/>
  <c r="G211" i="73"/>
  <c r="J205" i="73"/>
  <c r="I203" i="73"/>
  <c r="I201" i="73"/>
  <c r="L199" i="73"/>
  <c r="F196" i="73"/>
  <c r="L176" i="73"/>
  <c r="L168" i="73"/>
  <c r="L158" i="73"/>
  <c r="F155" i="73"/>
  <c r="F150" i="73"/>
  <c r="J117" i="73"/>
  <c r="J93" i="73"/>
  <c r="F96" i="73"/>
  <c r="L91" i="73"/>
  <c r="M101" i="73"/>
  <c r="M97" i="73"/>
  <c r="L83" i="73"/>
  <c r="J101" i="73"/>
  <c r="L85" i="73"/>
  <c r="J92" i="73"/>
  <c r="I102" i="73"/>
  <c r="F81" i="73"/>
  <c r="F102" i="73"/>
  <c r="L90" i="73"/>
  <c r="I88" i="73"/>
  <c r="M82" i="73"/>
  <c r="J100" i="73"/>
  <c r="I96" i="73"/>
  <c r="G88" i="73"/>
  <c r="L77" i="73"/>
  <c r="M79" i="73"/>
  <c r="G162" i="73"/>
  <c r="J159" i="73"/>
  <c r="F158" i="73"/>
  <c r="M156" i="73"/>
  <c r="I137" i="73"/>
  <c r="L131" i="73"/>
  <c r="F126" i="73"/>
  <c r="I118" i="73"/>
  <c r="J238" i="73"/>
  <c r="G237" i="73"/>
  <c r="J234" i="73"/>
  <c r="G233" i="73"/>
  <c r="M231" i="73"/>
  <c r="J230" i="73"/>
  <c r="G229" i="73"/>
  <c r="M227" i="73"/>
  <c r="G212" i="73"/>
  <c r="G191" i="73"/>
  <c r="G171" i="73"/>
  <c r="J168" i="73"/>
  <c r="M165" i="73"/>
  <c r="G163" i="73"/>
  <c r="J152" i="73"/>
  <c r="M149" i="73"/>
  <c r="G147" i="73"/>
  <c r="I94" i="73"/>
  <c r="G87" i="73"/>
  <c r="L80" i="73"/>
  <c r="M235" i="73"/>
  <c r="M173" i="73"/>
  <c r="J160" i="73"/>
  <c r="I243" i="73"/>
  <c r="F242" i="73"/>
  <c r="J213" i="73"/>
  <c r="J200" i="73"/>
  <c r="M189" i="73"/>
  <c r="I188" i="73"/>
  <c r="G187" i="73"/>
  <c r="G184" i="73"/>
  <c r="L174" i="73"/>
  <c r="I169" i="73"/>
  <c r="L166" i="73"/>
  <c r="F164" i="73"/>
  <c r="I153" i="73"/>
  <c r="L150" i="73"/>
  <c r="F148" i="73"/>
  <c r="I145" i="73"/>
  <c r="L142" i="73"/>
  <c r="M138" i="73"/>
  <c r="F137" i="73"/>
  <c r="I131" i="73"/>
  <c r="M125" i="73"/>
  <c r="F121" i="73"/>
  <c r="F118" i="73"/>
  <c r="G115" i="73"/>
  <c r="I110" i="73"/>
  <c r="I107" i="73"/>
  <c r="G103" i="73"/>
  <c r="M98" i="73"/>
  <c r="F97" i="73"/>
  <c r="J85" i="73"/>
  <c r="M75" i="73"/>
  <c r="J141" i="73"/>
  <c r="L139" i="73"/>
  <c r="F134" i="73"/>
  <c r="J128" i="73"/>
  <c r="M122" i="73"/>
  <c r="G112" i="73"/>
  <c r="F94" i="73"/>
  <c r="G91" i="73"/>
  <c r="M89" i="73"/>
  <c r="J80" i="73"/>
  <c r="J77" i="73"/>
  <c r="M190" i="73"/>
  <c r="J189" i="73"/>
  <c r="F188" i="73"/>
  <c r="M186" i="73"/>
  <c r="I142" i="73"/>
  <c r="L136" i="73"/>
  <c r="L126" i="73"/>
  <c r="L123" i="73"/>
  <c r="L120" i="73"/>
  <c r="F113" i="73"/>
  <c r="M105" i="73"/>
  <c r="L99" i="73"/>
  <c r="L96" i="73"/>
  <c r="I86" i="73"/>
  <c r="G85" i="73"/>
  <c r="J210" i="73"/>
  <c r="G209" i="73"/>
  <c r="M207" i="73"/>
  <c r="J206" i="73"/>
  <c r="G205" i="73"/>
  <c r="M203" i="73"/>
  <c r="J202" i="73"/>
  <c r="G201" i="73"/>
  <c r="G197" i="73"/>
  <c r="M195" i="73"/>
  <c r="J194" i="73"/>
  <c r="G193" i="73"/>
  <c r="M191" i="73"/>
  <c r="M155" i="73"/>
  <c r="M133" i="73"/>
  <c r="J125" i="73"/>
  <c r="M114" i="73"/>
  <c r="M109" i="73"/>
  <c r="G104" i="73"/>
  <c r="M93" i="73"/>
  <c r="G83" i="73"/>
  <c r="J78" i="73"/>
  <c r="G77" i="73"/>
  <c r="J241" i="73"/>
  <c r="M181" i="73"/>
  <c r="G177" i="73"/>
  <c r="J158" i="73"/>
  <c r="G240" i="73"/>
  <c r="G227" i="73"/>
  <c r="F222" i="73"/>
  <c r="I219" i="73"/>
  <c r="L216" i="73"/>
  <c r="F214" i="73"/>
  <c r="M178" i="73"/>
  <c r="F142" i="73"/>
  <c r="F132" i="73"/>
  <c r="I126" i="73"/>
  <c r="I123" i="73"/>
  <c r="L115" i="73"/>
  <c r="L112" i="73"/>
  <c r="G95" i="73"/>
  <c r="F89" i="73"/>
  <c r="G80" i="73"/>
  <c r="I186" i="73"/>
  <c r="J186" i="73"/>
  <c r="F154" i="73"/>
  <c r="G154" i="73"/>
  <c r="I151" i="73"/>
  <c r="J151" i="73"/>
  <c r="L148" i="73"/>
  <c r="M148" i="73"/>
  <c r="F146" i="73"/>
  <c r="G146" i="73"/>
  <c r="I143" i="73"/>
  <c r="J143" i="73"/>
  <c r="L100" i="73"/>
  <c r="M100" i="73"/>
  <c r="I87" i="73"/>
  <c r="J87" i="73"/>
  <c r="L159" i="73"/>
  <c r="M159" i="73"/>
  <c r="G243" i="73"/>
  <c r="M221" i="73"/>
  <c r="G219" i="73"/>
  <c r="J216" i="73"/>
  <c r="J208" i="73"/>
  <c r="M205" i="73"/>
  <c r="G203" i="73"/>
  <c r="M197" i="73"/>
  <c r="G195" i="73"/>
  <c r="J192" i="73"/>
  <c r="G186" i="73"/>
  <c r="L183" i="73"/>
  <c r="M183" i="73"/>
  <c r="F181" i="73"/>
  <c r="G181" i="73"/>
  <c r="I178" i="73"/>
  <c r="J178" i="73"/>
  <c r="L175" i="73"/>
  <c r="M175" i="73"/>
  <c r="L124" i="73"/>
  <c r="M124" i="73"/>
  <c r="F114" i="73"/>
  <c r="G114" i="73"/>
  <c r="I103" i="73"/>
  <c r="J103" i="73"/>
  <c r="I154" i="73"/>
  <c r="J154" i="73"/>
  <c r="L140" i="73"/>
  <c r="M140" i="73"/>
  <c r="J240" i="73"/>
  <c r="M237" i="73"/>
  <c r="G235" i="73"/>
  <c r="J232" i="73"/>
  <c r="M229" i="73"/>
  <c r="M244" i="73"/>
  <c r="M236" i="73"/>
  <c r="G234" i="73"/>
  <c r="J231" i="73"/>
  <c r="M228" i="73"/>
  <c r="G226" i="73"/>
  <c r="J223" i="73"/>
  <c r="M220" i="73"/>
  <c r="G218" i="73"/>
  <c r="J215" i="73"/>
  <c r="M212" i="73"/>
  <c r="G210" i="73"/>
  <c r="J207" i="73"/>
  <c r="M204" i="73"/>
  <c r="G202" i="73"/>
  <c r="J199" i="73"/>
  <c r="M196" i="73"/>
  <c r="G194" i="73"/>
  <c r="J191" i="73"/>
  <c r="J183" i="73"/>
  <c r="M180" i="73"/>
  <c r="G178" i="73"/>
  <c r="J175" i="73"/>
  <c r="F173" i="73"/>
  <c r="G173" i="73"/>
  <c r="I161" i="73"/>
  <c r="I127" i="73"/>
  <c r="J127" i="73"/>
  <c r="F90" i="73"/>
  <c r="G90" i="73"/>
  <c r="I79" i="73"/>
  <c r="J79" i="73"/>
  <c r="I111" i="73"/>
  <c r="J111" i="73"/>
  <c r="I170" i="73"/>
  <c r="J170" i="73"/>
  <c r="F130" i="73"/>
  <c r="G130" i="73"/>
  <c r="L116" i="73"/>
  <c r="M116" i="73"/>
  <c r="F106" i="73"/>
  <c r="G106" i="73"/>
  <c r="F82" i="73"/>
  <c r="G82" i="73"/>
  <c r="I146" i="73"/>
  <c r="J146" i="73"/>
  <c r="F122" i="73"/>
  <c r="G122" i="73"/>
  <c r="L76" i="73"/>
  <c r="M76" i="73"/>
  <c r="J197" i="73"/>
  <c r="G170" i="73"/>
  <c r="L167" i="73"/>
  <c r="M167" i="73"/>
  <c r="L132" i="73"/>
  <c r="M132" i="73"/>
  <c r="L108" i="73"/>
  <c r="M108" i="73"/>
  <c r="L92" i="73"/>
  <c r="M92" i="73"/>
  <c r="F157" i="73"/>
  <c r="G157" i="73"/>
  <c r="J244" i="73"/>
  <c r="M241" i="73"/>
  <c r="G239" i="73"/>
  <c r="J236" i="73"/>
  <c r="M233" i="73"/>
  <c r="G231" i="73"/>
  <c r="J228" i="73"/>
  <c r="M225" i="73"/>
  <c r="G223" i="73"/>
  <c r="J220" i="73"/>
  <c r="M217" i="73"/>
  <c r="G215" i="73"/>
  <c r="J212" i="73"/>
  <c r="M209" i="73"/>
  <c r="G207" i="73"/>
  <c r="J204" i="73"/>
  <c r="M201" i="73"/>
  <c r="G199" i="73"/>
  <c r="J196" i="73"/>
  <c r="M193" i="73"/>
  <c r="F189" i="73"/>
  <c r="I185" i="73"/>
  <c r="L182" i="73"/>
  <c r="F180" i="73"/>
  <c r="J167" i="73"/>
  <c r="F165" i="73"/>
  <c r="G165" i="73"/>
  <c r="I135" i="73"/>
  <c r="J135" i="73"/>
  <c r="I119" i="73"/>
  <c r="J119" i="73"/>
  <c r="I95" i="73"/>
  <c r="J95" i="73"/>
  <c r="L151" i="73"/>
  <c r="M151" i="73"/>
  <c r="F149" i="73"/>
  <c r="G149" i="73"/>
  <c r="G190" i="73"/>
  <c r="F172" i="73"/>
  <c r="M164" i="73"/>
  <c r="I162" i="73"/>
  <c r="J162" i="73"/>
  <c r="F138" i="73"/>
  <c r="G138" i="73"/>
  <c r="F98" i="73"/>
  <c r="G98" i="73"/>
  <c r="L84" i="73"/>
  <c r="M84" i="73"/>
  <c r="M185" i="73"/>
  <c r="G183" i="73"/>
  <c r="J180" i="73"/>
  <c r="M177" i="73"/>
  <c r="G175" i="73"/>
  <c r="J172" i="73"/>
  <c r="M169" i="73"/>
  <c r="G167" i="73"/>
  <c r="J164" i="73"/>
  <c r="M161" i="73"/>
  <c r="G159" i="73"/>
  <c r="J156" i="73"/>
  <c r="M153" i="73"/>
  <c r="G151" i="73"/>
  <c r="J148" i="73"/>
  <c r="M145" i="73"/>
  <c r="G143" i="73"/>
  <c r="J140" i="73"/>
  <c r="M137" i="73"/>
  <c r="G135" i="73"/>
  <c r="J132" i="73"/>
  <c r="M129" i="73"/>
  <c r="G127" i="73"/>
  <c r="J124" i="73"/>
  <c r="M121" i="73"/>
  <c r="G119" i="73"/>
  <c r="J116" i="73"/>
  <c r="M113" i="73"/>
  <c r="G111" i="73"/>
  <c r="J84" i="73"/>
  <c r="M81" i="73"/>
  <c r="G79" i="73"/>
  <c r="J76" i="73"/>
  <c r="J187" i="73"/>
  <c r="G110" i="73"/>
  <c r="M104" i="73"/>
  <c r="J99" i="73"/>
  <c r="J91" i="73"/>
  <c r="M88" i="73"/>
  <c r="G86" i="73"/>
  <c r="J83" i="73"/>
  <c r="G78" i="73"/>
  <c r="J75" i="73"/>
  <c r="M143" i="73"/>
  <c r="G141" i="73"/>
  <c r="J138" i="73"/>
  <c r="M135" i="73"/>
  <c r="G133" i="73"/>
  <c r="J130" i="73"/>
  <c r="M127" i="73"/>
  <c r="G125" i="73"/>
  <c r="J122" i="73"/>
  <c r="M119" i="73"/>
  <c r="G117" i="73"/>
  <c r="J114" i="73"/>
  <c r="M111" i="73"/>
  <c r="G109" i="73"/>
  <c r="J106" i="73"/>
  <c r="M103" i="73"/>
  <c r="G101" i="73"/>
  <c r="J98" i="73"/>
  <c r="M95" i="73"/>
  <c r="G93" i="73"/>
  <c r="J90" i="73"/>
  <c r="M87" i="73"/>
  <c r="J82" i="73"/>
  <c r="G124" i="73"/>
  <c r="J121" i="73"/>
  <c r="M118" i="73"/>
  <c r="G116" i="73"/>
  <c r="J113" i="73"/>
  <c r="M110" i="73"/>
  <c r="G108" i="73"/>
  <c r="J105" i="73"/>
  <c r="M102" i="73"/>
  <c r="G100" i="73"/>
  <c r="J97" i="73"/>
  <c r="M94" i="73"/>
  <c r="G92" i="73"/>
  <c r="J89" i="73"/>
  <c r="M86" i="73"/>
  <c r="G84" i="73"/>
  <c r="J81" i="73"/>
  <c r="M78" i="73"/>
  <c r="G76" i="73"/>
  <c r="G75" i="73"/>
  <c r="C641" i="21"/>
  <c r="C1329" i="21"/>
  <c r="C1330" i="21"/>
  <c r="C1776" i="21"/>
  <c r="C1570" i="21"/>
  <c r="C1478" i="21"/>
  <c r="C1170" i="21"/>
  <c r="C1023" i="21"/>
  <c r="C42" i="21"/>
  <c r="C1119" i="21" l="1"/>
  <c r="C1115" i="21"/>
  <c r="K74" i="73" l="1"/>
  <c r="M74" i="73" s="1"/>
  <c r="K73" i="73"/>
  <c r="M73" i="73" s="1"/>
  <c r="K72" i="73"/>
  <c r="K71" i="73"/>
  <c r="M71" i="73" s="1"/>
  <c r="K70" i="73"/>
  <c r="M70" i="73" s="1"/>
  <c r="K69" i="73"/>
  <c r="L69" i="73" s="1"/>
  <c r="K68" i="73"/>
  <c r="L68" i="73" s="1"/>
  <c r="K67" i="73"/>
  <c r="M67" i="73" s="1"/>
  <c r="K66" i="73"/>
  <c r="M66" i="73" s="1"/>
  <c r="K65" i="73"/>
  <c r="L65" i="73" s="1"/>
  <c r="K64" i="73"/>
  <c r="K63" i="73"/>
  <c r="L63" i="73" s="1"/>
  <c r="K62" i="73"/>
  <c r="M62" i="73" s="1"/>
  <c r="K61" i="73"/>
  <c r="K60" i="73"/>
  <c r="K59" i="73"/>
  <c r="K58" i="73"/>
  <c r="K57" i="73"/>
  <c r="K56" i="73"/>
  <c r="K55" i="73"/>
  <c r="K54" i="73"/>
  <c r="K53" i="73"/>
  <c r="K52" i="73"/>
  <c r="K51" i="73"/>
  <c r="K50" i="73"/>
  <c r="K49" i="73"/>
  <c r="K48" i="73"/>
  <c r="K47" i="73"/>
  <c r="K46" i="73"/>
  <c r="K45" i="73"/>
  <c r="K44" i="73"/>
  <c r="K43" i="73"/>
  <c r="K42" i="73"/>
  <c r="K41" i="73"/>
  <c r="K40" i="73"/>
  <c r="K39" i="73"/>
  <c r="K38" i="73"/>
  <c r="K37" i="73"/>
  <c r="K36" i="73"/>
  <c r="K35" i="73"/>
  <c r="K34" i="73"/>
  <c r="K33" i="73"/>
  <c r="K32" i="73"/>
  <c r="K31" i="73"/>
  <c r="K30" i="73"/>
  <c r="K29" i="73"/>
  <c r="K28" i="73"/>
  <c r="K27" i="73"/>
  <c r="K26" i="73"/>
  <c r="K25" i="73"/>
  <c r="K24" i="73"/>
  <c r="K23" i="73"/>
  <c r="K22" i="73"/>
  <c r="K21" i="73"/>
  <c r="K20" i="73"/>
  <c r="K19" i="73"/>
  <c r="K18" i="73"/>
  <c r="K17" i="73"/>
  <c r="K16" i="73"/>
  <c r="K15" i="73"/>
  <c r="K14" i="73"/>
  <c r="K13" i="73"/>
  <c r="K12" i="73"/>
  <c r="K11" i="73"/>
  <c r="K10" i="73"/>
  <c r="K9" i="73"/>
  <c r="K8" i="73"/>
  <c r="K7" i="73"/>
  <c r="K6" i="73"/>
  <c r="K5" i="73"/>
  <c r="K4" i="73"/>
  <c r="H74" i="73"/>
  <c r="J74" i="73" s="1"/>
  <c r="H73" i="73"/>
  <c r="J73" i="73" s="1"/>
  <c r="H72" i="73"/>
  <c r="J72" i="73" s="1"/>
  <c r="H71" i="73"/>
  <c r="J71" i="73" s="1"/>
  <c r="H70" i="73"/>
  <c r="J70" i="73" s="1"/>
  <c r="H69" i="73"/>
  <c r="J69" i="73" s="1"/>
  <c r="H68" i="73"/>
  <c r="J68" i="73" s="1"/>
  <c r="H67" i="73"/>
  <c r="J67" i="73" s="1"/>
  <c r="H66" i="73"/>
  <c r="J66" i="73" s="1"/>
  <c r="H65" i="73"/>
  <c r="J65" i="73" s="1"/>
  <c r="H64" i="73"/>
  <c r="I64" i="73" s="1"/>
  <c r="H63" i="73"/>
  <c r="I63" i="73" s="1"/>
  <c r="H62" i="73"/>
  <c r="J62" i="73" s="1"/>
  <c r="H61" i="73"/>
  <c r="H60" i="73"/>
  <c r="H59" i="73"/>
  <c r="H58" i="73"/>
  <c r="H57" i="73"/>
  <c r="H56" i="73"/>
  <c r="H55" i="73"/>
  <c r="H54" i="73"/>
  <c r="H53" i="73"/>
  <c r="H52" i="73"/>
  <c r="H51" i="73"/>
  <c r="H50" i="73"/>
  <c r="H49" i="73"/>
  <c r="H48" i="73"/>
  <c r="H47" i="73"/>
  <c r="H46" i="73"/>
  <c r="H45" i="73"/>
  <c r="H44" i="73"/>
  <c r="H43" i="73"/>
  <c r="H42" i="73"/>
  <c r="H41" i="73"/>
  <c r="H40" i="73"/>
  <c r="H39" i="73"/>
  <c r="H38" i="73"/>
  <c r="H37" i="73"/>
  <c r="H36" i="73"/>
  <c r="H35" i="73"/>
  <c r="H34" i="73"/>
  <c r="H33" i="73"/>
  <c r="H32" i="73"/>
  <c r="H31" i="73"/>
  <c r="H30" i="73"/>
  <c r="H29" i="73"/>
  <c r="H28" i="73"/>
  <c r="H27" i="73"/>
  <c r="H26" i="73"/>
  <c r="H25" i="73"/>
  <c r="H24" i="73"/>
  <c r="H23" i="73"/>
  <c r="H22" i="73"/>
  <c r="H21" i="73"/>
  <c r="H20" i="73"/>
  <c r="H19" i="73"/>
  <c r="H18" i="73"/>
  <c r="H17" i="73"/>
  <c r="H16" i="73"/>
  <c r="H15" i="73"/>
  <c r="H14" i="73"/>
  <c r="H13" i="73"/>
  <c r="H12" i="73"/>
  <c r="H11" i="73"/>
  <c r="H10" i="73"/>
  <c r="H9" i="73"/>
  <c r="H8" i="73"/>
  <c r="H7" i="73"/>
  <c r="H6" i="73"/>
  <c r="H5" i="73"/>
  <c r="H4" i="73"/>
  <c r="E74" i="73"/>
  <c r="F74" i="73" s="1"/>
  <c r="E73" i="73"/>
  <c r="G73" i="73" s="1"/>
  <c r="E72" i="73"/>
  <c r="G72" i="73" s="1"/>
  <c r="E71" i="73"/>
  <c r="F71" i="73" s="1"/>
  <c r="E70" i="73"/>
  <c r="G70" i="73" s="1"/>
  <c r="E69" i="73"/>
  <c r="G69" i="73" s="1"/>
  <c r="E68" i="73"/>
  <c r="G68" i="73" s="1"/>
  <c r="E67" i="73"/>
  <c r="F67" i="73" s="1"/>
  <c r="E66" i="73"/>
  <c r="F66" i="73" s="1"/>
  <c r="E65" i="73"/>
  <c r="G65" i="73" s="1"/>
  <c r="E64" i="73"/>
  <c r="F64" i="73" s="1"/>
  <c r="E63" i="73"/>
  <c r="G63" i="73" s="1"/>
  <c r="E62" i="73"/>
  <c r="G62" i="73" s="1"/>
  <c r="E61" i="73"/>
  <c r="E60" i="73"/>
  <c r="E59" i="73"/>
  <c r="E58" i="73"/>
  <c r="E57" i="73"/>
  <c r="E56" i="73"/>
  <c r="E55" i="73"/>
  <c r="E54" i="73"/>
  <c r="E53" i="73"/>
  <c r="E52" i="73"/>
  <c r="E51" i="73"/>
  <c r="E50" i="73"/>
  <c r="E49" i="73"/>
  <c r="E48" i="73"/>
  <c r="E47" i="73"/>
  <c r="E46" i="73"/>
  <c r="E45" i="73"/>
  <c r="E44" i="73"/>
  <c r="E43" i="73"/>
  <c r="E40" i="73"/>
  <c r="E39" i="73"/>
  <c r="E38" i="73"/>
  <c r="E37" i="73"/>
  <c r="E36" i="73"/>
  <c r="E35" i="73"/>
  <c r="E34" i="73"/>
  <c r="E33" i="73"/>
  <c r="E32" i="73"/>
  <c r="E31" i="73"/>
  <c r="E30" i="73"/>
  <c r="E29" i="73"/>
  <c r="E27" i="73"/>
  <c r="E26" i="73"/>
  <c r="E25" i="73"/>
  <c r="E24" i="73"/>
  <c r="E23" i="73"/>
  <c r="E22" i="73"/>
  <c r="E21" i="73"/>
  <c r="E20" i="73"/>
  <c r="E19" i="73"/>
  <c r="E18" i="73"/>
  <c r="E17" i="73"/>
  <c r="E16" i="73"/>
  <c r="E15" i="73"/>
  <c r="E14" i="73"/>
  <c r="E13" i="73"/>
  <c r="E12" i="73"/>
  <c r="E11" i="73"/>
  <c r="E10" i="73"/>
  <c r="E9" i="73"/>
  <c r="E8" i="73"/>
  <c r="E7" i="73"/>
  <c r="E6" i="73"/>
  <c r="E5" i="73"/>
  <c r="E4" i="73"/>
  <c r="M72" i="73"/>
  <c r="M64" i="73"/>
  <c r="M63" i="73" l="1"/>
  <c r="J64" i="73"/>
  <c r="G64" i="73"/>
  <c r="I71" i="73"/>
  <c r="M69" i="73"/>
  <c r="G67" i="73"/>
  <c r="I68" i="73"/>
  <c r="G71" i="73"/>
  <c r="M65" i="73"/>
  <c r="F69" i="73"/>
  <c r="I72" i="73"/>
  <c r="G74" i="73"/>
  <c r="F63" i="73"/>
  <c r="G66" i="73"/>
  <c r="I69" i="73"/>
  <c r="I74" i="73"/>
  <c r="J63" i="73"/>
  <c r="L66" i="73"/>
  <c r="L73" i="73"/>
  <c r="M68" i="73"/>
  <c r="F72" i="73"/>
  <c r="L62" i="73"/>
  <c r="I65" i="73"/>
  <c r="F68" i="73"/>
  <c r="L70" i="73"/>
  <c r="I73" i="73"/>
  <c r="I66" i="73"/>
  <c r="L71" i="73"/>
  <c r="F62" i="73"/>
  <c r="L64" i="73"/>
  <c r="I67" i="73"/>
  <c r="F70" i="73"/>
  <c r="L72" i="73"/>
  <c r="L74" i="73"/>
  <c r="I62" i="73"/>
  <c r="F65" i="73"/>
  <c r="L67" i="73"/>
  <c r="I70" i="73"/>
  <c r="F73" i="73"/>
  <c r="C2" i="21" l="1"/>
  <c r="C3" i="21"/>
  <c r="C197" i="21"/>
  <c r="C368" i="21"/>
  <c r="C373" i="21"/>
  <c r="C396" i="21"/>
  <c r="C397" i="21"/>
  <c r="C398" i="21"/>
  <c r="C399" i="21"/>
  <c r="C400" i="21"/>
  <c r="C401" i="21"/>
  <c r="C620" i="21"/>
  <c r="C623" i="21"/>
  <c r="C782" i="21"/>
  <c r="C829" i="21"/>
  <c r="C962" i="21"/>
  <c r="C967" i="21"/>
  <c r="C973" i="21"/>
  <c r="C974" i="21"/>
  <c r="C975" i="21"/>
  <c r="C1045" i="21"/>
  <c r="C1050" i="21"/>
  <c r="C1081" i="21"/>
  <c r="C1180" i="21"/>
  <c r="C1185" i="21"/>
  <c r="C1497" i="21"/>
  <c r="C1537" i="21"/>
  <c r="C1549" i="21"/>
  <c r="C1584" i="21"/>
  <c r="C1692" i="21"/>
  <c r="C1734" i="21"/>
  <c r="C1860" i="21"/>
  <c r="C1867" i="21"/>
  <c r="C203" i="21" l="1"/>
  <c r="C204" i="21"/>
  <c r="C205" i="21"/>
  <c r="C238" i="21"/>
  <c r="C379" i="21"/>
  <c r="C380" i="21"/>
  <c r="C381" i="21"/>
  <c r="C404" i="21"/>
  <c r="C514" i="21"/>
  <c r="C551" i="21"/>
  <c r="C552" i="21"/>
  <c r="C614" i="21"/>
  <c r="C708" i="21"/>
  <c r="C710" i="21"/>
  <c r="C873" i="21"/>
  <c r="C904" i="21"/>
  <c r="C910" i="21"/>
  <c r="C940" i="21"/>
  <c r="C946" i="21"/>
  <c r="C1003" i="21"/>
  <c r="C1004" i="21"/>
  <c r="C1005" i="21"/>
  <c r="C1006" i="21"/>
  <c r="C1008" i="21"/>
  <c r="C1009" i="21"/>
  <c r="C1056" i="21"/>
  <c r="C1057" i="21"/>
  <c r="C1058" i="21"/>
  <c r="C1096" i="21"/>
  <c r="C1123" i="21"/>
  <c r="C1124" i="21"/>
  <c r="C1125" i="21"/>
  <c r="C1126" i="21"/>
  <c r="C1127" i="21"/>
  <c r="C1190" i="21"/>
  <c r="C1213" i="21"/>
  <c r="C1215" i="21"/>
  <c r="C1246" i="21"/>
  <c r="C1348" i="21"/>
  <c r="C1400" i="21"/>
  <c r="C1503" i="21"/>
  <c r="C1504" i="21"/>
  <c r="C1505" i="21"/>
  <c r="C1555" i="21"/>
  <c r="C1556" i="21"/>
  <c r="C1557" i="21"/>
  <c r="C1672" i="21"/>
  <c r="C1680" i="21"/>
  <c r="C1741" i="21"/>
  <c r="C1749" i="21"/>
  <c r="C1750" i="21"/>
  <c r="M61" i="73" l="1"/>
  <c r="J61" i="73"/>
  <c r="G61" i="73"/>
  <c r="M60" i="73"/>
  <c r="J60" i="73"/>
  <c r="F60" i="73"/>
  <c r="M59" i="73"/>
  <c r="J59" i="73"/>
  <c r="G59" i="73"/>
  <c r="M58" i="73"/>
  <c r="J58" i="73"/>
  <c r="G58" i="73"/>
  <c r="M57" i="73"/>
  <c r="J57" i="73"/>
  <c r="G57" i="73"/>
  <c r="M56" i="73"/>
  <c r="J56" i="73"/>
  <c r="G56" i="73"/>
  <c r="M55" i="73"/>
  <c r="J55" i="73"/>
  <c r="G55" i="73"/>
  <c r="M54" i="73"/>
  <c r="J54" i="73"/>
  <c r="G54" i="73"/>
  <c r="M53" i="73"/>
  <c r="J53" i="73"/>
  <c r="G53" i="73"/>
  <c r="M52" i="73"/>
  <c r="J52" i="73"/>
  <c r="F52" i="73"/>
  <c r="L51" i="73"/>
  <c r="J51" i="73"/>
  <c r="G51" i="73"/>
  <c r="M50" i="73"/>
  <c r="I50" i="73"/>
  <c r="G50" i="73"/>
  <c r="M49" i="73"/>
  <c r="J49" i="73"/>
  <c r="F49" i="73"/>
  <c r="I52" i="73" l="1"/>
  <c r="L55" i="73"/>
  <c r="I57" i="73"/>
  <c r="G60" i="73"/>
  <c r="I60" i="73"/>
  <c r="G52" i="73"/>
  <c r="L60" i="73"/>
  <c r="G49" i="73"/>
  <c r="F55" i="73"/>
  <c r="I58" i="73"/>
  <c r="I54" i="73"/>
  <c r="L52" i="73"/>
  <c r="M51" i="73"/>
  <c r="L57" i="73"/>
  <c r="F53" i="73"/>
  <c r="L54" i="73"/>
  <c r="F61" i="73"/>
  <c r="I49" i="73"/>
  <c r="F50" i="73"/>
  <c r="F58" i="73"/>
  <c r="J50" i="73"/>
  <c r="I51" i="73"/>
  <c r="F54" i="73"/>
  <c r="L56" i="73"/>
  <c r="I59" i="73"/>
  <c r="L49" i="73"/>
  <c r="L50" i="73"/>
  <c r="I53" i="73"/>
  <c r="F56" i="73"/>
  <c r="L58" i="73"/>
  <c r="I61" i="73"/>
  <c r="F57" i="73"/>
  <c r="L59" i="73"/>
  <c r="I55" i="73"/>
  <c r="F51" i="73"/>
  <c r="L53" i="73"/>
  <c r="I56" i="73"/>
  <c r="F59" i="73"/>
  <c r="L61" i="73"/>
  <c r="H1533" i="21"/>
  <c r="H1532" i="21"/>
  <c r="D413" i="21" l="1"/>
  <c r="D1823" i="21" l="1"/>
  <c r="C183" i="21"/>
  <c r="C215" i="21"/>
  <c r="C232" i="21"/>
  <c r="C233" i="21"/>
  <c r="C409" i="21"/>
  <c r="C410" i="21"/>
  <c r="C416" i="21"/>
  <c r="C509" i="21"/>
  <c r="C511" i="21"/>
  <c r="C575" i="21"/>
  <c r="C607" i="21"/>
  <c r="C609" i="21"/>
  <c r="C611" i="21"/>
  <c r="C704" i="21"/>
  <c r="C705" i="21"/>
  <c r="C709" i="21"/>
  <c r="C859" i="21"/>
  <c r="C860" i="21"/>
  <c r="C862" i="21"/>
  <c r="C961" i="21"/>
  <c r="C1047" i="21"/>
  <c r="C1048" i="21"/>
  <c r="C1209" i="21"/>
  <c r="C1210" i="21"/>
  <c r="C1214" i="21"/>
  <c r="C1333" i="21"/>
  <c r="C1494" i="21"/>
  <c r="C1524" i="21"/>
  <c r="C1546" i="21"/>
  <c r="C1603" i="21"/>
  <c r="C1604" i="21"/>
  <c r="C1663" i="21"/>
  <c r="C1724" i="21"/>
  <c r="C1756" i="21"/>
  <c r="C1758" i="21"/>
  <c r="C1785" i="21"/>
  <c r="C1823" i="21"/>
  <c r="C413" i="21"/>
  <c r="C415" i="21"/>
  <c r="C476" i="21"/>
  <c r="C510" i="21"/>
  <c r="C656" i="21"/>
  <c r="C712" i="21"/>
  <c r="C960" i="21"/>
  <c r="C1273" i="21"/>
  <c r="C1406" i="21"/>
  <c r="C1754" i="21"/>
  <c r="C1759" i="21"/>
  <c r="C1782" i="21"/>
  <c r="C1783" i="21"/>
  <c r="C27" i="66"/>
  <c r="C50" i="66" s="1"/>
  <c r="C28" i="66"/>
  <c r="C51" i="66" s="1"/>
  <c r="C29" i="66"/>
  <c r="C52" i="66" s="1"/>
  <c r="C30" i="66"/>
  <c r="C53" i="66" s="1"/>
  <c r="C31" i="66"/>
  <c r="C54" i="66" s="1"/>
  <c r="C32" i="66"/>
  <c r="C55" i="66" s="1"/>
  <c r="C33" i="66"/>
  <c r="C56" i="66" s="1"/>
  <c r="C34" i="66"/>
  <c r="C57" i="66" s="1"/>
  <c r="C35" i="66"/>
  <c r="C58" i="66" s="1"/>
  <c r="C36" i="66"/>
  <c r="C59" i="66" s="1"/>
  <c r="C37" i="66"/>
  <c r="C60" i="66" s="1"/>
  <c r="C38" i="66"/>
  <c r="C61" i="66" s="1"/>
  <c r="C39" i="66"/>
  <c r="C62" i="66" s="1"/>
  <c r="C40" i="66"/>
  <c r="C63" i="66" s="1"/>
  <c r="C42" i="66"/>
  <c r="C26" i="66"/>
  <c r="C49" i="66" s="1"/>
  <c r="B42" i="66"/>
  <c r="B29" i="66"/>
  <c r="B52" i="66" s="1"/>
  <c r="B30" i="66"/>
  <c r="B53" i="66" s="1"/>
  <c r="B31" i="66"/>
  <c r="B54" i="66" s="1"/>
  <c r="B32" i="66"/>
  <c r="B55" i="66" s="1"/>
  <c r="B33" i="66"/>
  <c r="B56" i="66" s="1"/>
  <c r="B34" i="66"/>
  <c r="B57" i="66" s="1"/>
  <c r="E57" i="66" s="1"/>
  <c r="B35" i="66"/>
  <c r="B58" i="66" s="1"/>
  <c r="B36" i="66"/>
  <c r="B59" i="66" s="1"/>
  <c r="B37" i="66"/>
  <c r="B60" i="66" s="1"/>
  <c r="B38" i="66"/>
  <c r="B61" i="66" s="1"/>
  <c r="B39" i="66"/>
  <c r="B62" i="66" s="1"/>
  <c r="B40" i="66"/>
  <c r="B63" i="66" s="1"/>
  <c r="F9" i="66"/>
  <c r="F10" i="66"/>
  <c r="F11" i="66"/>
  <c r="F12" i="66"/>
  <c r="F13" i="66"/>
  <c r="F14" i="66"/>
  <c r="F15" i="66"/>
  <c r="F16" i="66"/>
  <c r="F17" i="66"/>
  <c r="F18" i="66"/>
  <c r="K204" i="4"/>
  <c r="L204" i="4" s="1"/>
  <c r="K205" i="4"/>
  <c r="L205" i="4" s="1"/>
  <c r="K206" i="4"/>
  <c r="L206" i="4" s="1"/>
  <c r="K207" i="4"/>
  <c r="L207" i="4" s="1"/>
  <c r="K208" i="4"/>
  <c r="K209" i="4"/>
  <c r="L209" i="4" s="1"/>
  <c r="K210" i="4"/>
  <c r="L210" i="4" s="1"/>
  <c r="K211" i="4"/>
  <c r="L211" i="4" s="1"/>
  <c r="K212" i="4"/>
  <c r="L212" i="4" s="1"/>
  <c r="K213" i="4"/>
  <c r="L213" i="4" s="1"/>
  <c r="K214" i="4"/>
  <c r="L214" i="4" s="1"/>
  <c r="K215" i="4"/>
  <c r="L215" i="4" s="1"/>
  <c r="K216" i="4"/>
  <c r="K217" i="4"/>
  <c r="L217" i="4" s="1"/>
  <c r="K218" i="4"/>
  <c r="L218" i="4" s="1"/>
  <c r="K219" i="4"/>
  <c r="L219" i="4" s="1"/>
  <c r="K220" i="4"/>
  <c r="L220" i="4" s="1"/>
  <c r="K221" i="4"/>
  <c r="L221" i="4" s="1"/>
  <c r="K222" i="4"/>
  <c r="L222" i="4" s="1"/>
  <c r="K223" i="4"/>
  <c r="L223" i="4" s="1"/>
  <c r="K224" i="4"/>
  <c r="K225" i="4"/>
  <c r="L225" i="4" s="1"/>
  <c r="K226" i="4"/>
  <c r="L226" i="4" s="1"/>
  <c r="K227" i="4"/>
  <c r="K228" i="4"/>
  <c r="K229" i="4"/>
  <c r="L229" i="4" s="1"/>
  <c r="K230" i="4"/>
  <c r="L230" i="4" s="1"/>
  <c r="K231" i="4"/>
  <c r="L231" i="4" s="1"/>
  <c r="K232" i="4"/>
  <c r="K233" i="4"/>
  <c r="L233" i="4" s="1"/>
  <c r="K234" i="4"/>
  <c r="L234" i="4" s="1"/>
  <c r="K235" i="4"/>
  <c r="K236" i="4"/>
  <c r="L236" i="4" s="1"/>
  <c r="K237" i="4"/>
  <c r="L237" i="4" s="1"/>
  <c r="K238" i="4"/>
  <c r="L238" i="4" s="1"/>
  <c r="K239" i="4"/>
  <c r="L239" i="4" s="1"/>
  <c r="K240" i="4"/>
  <c r="K241" i="4"/>
  <c r="K242" i="4"/>
  <c r="K243" i="4"/>
  <c r="L243" i="4" s="1"/>
  <c r="K244" i="4"/>
  <c r="L244" i="4" s="1"/>
  <c r="K245" i="4"/>
  <c r="L245" i="4" s="1"/>
  <c r="K246" i="4"/>
  <c r="L246" i="4" s="1"/>
  <c r="K247" i="4"/>
  <c r="L247" i="4" s="1"/>
  <c r="K248" i="4"/>
  <c r="K249" i="4"/>
  <c r="L249" i="4" s="1"/>
  <c r="K250" i="4"/>
  <c r="L250" i="4" s="1"/>
  <c r="K251" i="4"/>
  <c r="L251" i="4" s="1"/>
  <c r="K252" i="4"/>
  <c r="L252" i="4" s="1"/>
  <c r="K253" i="4"/>
  <c r="L253" i="4" s="1"/>
  <c r="K254" i="4"/>
  <c r="L254" i="4" s="1"/>
  <c r="K255" i="4"/>
  <c r="L255" i="4" s="1"/>
  <c r="K256" i="4"/>
  <c r="K257" i="4"/>
  <c r="L257" i="4" s="1"/>
  <c r="K258" i="4"/>
  <c r="L258" i="4" s="1"/>
  <c r="K259" i="4"/>
  <c r="L259" i="4" s="1"/>
  <c r="K260" i="4"/>
  <c r="K261" i="4"/>
  <c r="L261" i="4" s="1"/>
  <c r="K262" i="4"/>
  <c r="L262" i="4" s="1"/>
  <c r="K263" i="4"/>
  <c r="L263" i="4" s="1"/>
  <c r="K264" i="4"/>
  <c r="K265" i="4"/>
  <c r="L265" i="4" s="1"/>
  <c r="K266" i="4"/>
  <c r="L266" i="4" s="1"/>
  <c r="K267" i="4"/>
  <c r="L267" i="4" s="1"/>
  <c r="K268" i="4"/>
  <c r="L268" i="4" s="1"/>
  <c r="K269" i="4"/>
  <c r="L269" i="4" s="1"/>
  <c r="K270" i="4"/>
  <c r="L270" i="4" s="1"/>
  <c r="K271" i="4"/>
  <c r="L271" i="4" s="1"/>
  <c r="K272" i="4"/>
  <c r="K273" i="4"/>
  <c r="L273" i="4" s="1"/>
  <c r="K274" i="4"/>
  <c r="L274" i="4" s="1"/>
  <c r="K275" i="4"/>
  <c r="L275" i="4" s="1"/>
  <c r="K276" i="4"/>
  <c r="L276" i="4" s="1"/>
  <c r="K277" i="4"/>
  <c r="L277" i="4" s="1"/>
  <c r="K278" i="4"/>
  <c r="L278" i="4" s="1"/>
  <c r="K279" i="4"/>
  <c r="L279" i="4" s="1"/>
  <c r="K280" i="4"/>
  <c r="K281" i="4"/>
  <c r="L281" i="4" s="1"/>
  <c r="K282" i="4"/>
  <c r="L282" i="4" s="1"/>
  <c r="K283" i="4"/>
  <c r="L283" i="4" s="1"/>
  <c r="K284" i="4"/>
  <c r="L284" i="4" s="1"/>
  <c r="K285" i="4"/>
  <c r="L285" i="4" s="1"/>
  <c r="K286" i="4"/>
  <c r="L286" i="4" s="1"/>
  <c r="K287" i="4"/>
  <c r="L287" i="4" s="1"/>
  <c r="K288" i="4"/>
  <c r="L288" i="4" s="1"/>
  <c r="K289" i="4"/>
  <c r="L289" i="4" s="1"/>
  <c r="K290" i="4"/>
  <c r="L290" i="4" s="1"/>
  <c r="K291" i="4"/>
  <c r="L291" i="4" s="1"/>
  <c r="K292" i="4"/>
  <c r="L292" i="4" s="1"/>
  <c r="K293" i="4"/>
  <c r="L293" i="4" s="1"/>
  <c r="K294" i="4"/>
  <c r="L294" i="4" s="1"/>
  <c r="K295" i="4"/>
  <c r="L295" i="4" s="1"/>
  <c r="K296" i="4"/>
  <c r="L296" i="4" s="1"/>
  <c r="K297" i="4"/>
  <c r="L297" i="4" s="1"/>
  <c r="K298" i="4"/>
  <c r="L298" i="4" s="1"/>
  <c r="K299" i="4"/>
  <c r="L299" i="4" s="1"/>
  <c r="K300" i="4"/>
  <c r="L300" i="4" s="1"/>
  <c r="K301" i="4"/>
  <c r="L301" i="4" s="1"/>
  <c r="K302" i="4"/>
  <c r="L302" i="4" s="1"/>
  <c r="K303" i="4"/>
  <c r="L303" i="4" s="1"/>
  <c r="K304" i="4"/>
  <c r="L304" i="4" s="1"/>
  <c r="K305" i="4"/>
  <c r="L305" i="4" s="1"/>
  <c r="K306" i="4"/>
  <c r="K307" i="4"/>
  <c r="L307" i="4" s="1"/>
  <c r="K308" i="4"/>
  <c r="L308" i="4" s="1"/>
  <c r="K309" i="4"/>
  <c r="L309" i="4" s="1"/>
  <c r="K310" i="4"/>
  <c r="L310" i="4" s="1"/>
  <c r="K311" i="4"/>
  <c r="L311" i="4" s="1"/>
  <c r="K312" i="4"/>
  <c r="L312" i="4" s="1"/>
  <c r="K313" i="4"/>
  <c r="L313" i="4" s="1"/>
  <c r="K314" i="4"/>
  <c r="L314" i="4" s="1"/>
  <c r="K315" i="4"/>
  <c r="L315" i="4" s="1"/>
  <c r="K316" i="4"/>
  <c r="K317" i="4"/>
  <c r="L317" i="4" s="1"/>
  <c r="K318" i="4"/>
  <c r="L318" i="4" s="1"/>
  <c r="K319" i="4"/>
  <c r="L319" i="4" s="1"/>
  <c r="K320" i="4"/>
  <c r="L320" i="4" s="1"/>
  <c r="K321" i="4"/>
  <c r="L321" i="4" s="1"/>
  <c r="K322" i="4"/>
  <c r="L322" i="4" s="1"/>
  <c r="K323" i="4"/>
  <c r="L323" i="4" s="1"/>
  <c r="K324" i="4"/>
  <c r="L324" i="4" s="1"/>
  <c r="K325" i="4"/>
  <c r="L325" i="4" s="1"/>
  <c r="K326" i="4"/>
  <c r="L326" i="4" s="1"/>
  <c r="K327" i="4"/>
  <c r="L327" i="4" s="1"/>
  <c r="K328" i="4"/>
  <c r="L328" i="4" s="1"/>
  <c r="K329" i="4"/>
  <c r="L329" i="4" s="1"/>
  <c r="K330" i="4"/>
  <c r="L330" i="4" s="1"/>
  <c r="K331" i="4"/>
  <c r="L331" i="4" s="1"/>
  <c r="K332" i="4"/>
  <c r="L332" i="4" s="1"/>
  <c r="K333" i="4"/>
  <c r="L333" i="4" s="1"/>
  <c r="K334" i="4"/>
  <c r="L334" i="4" s="1"/>
  <c r="K335" i="4"/>
  <c r="L335" i="4" s="1"/>
  <c r="K336" i="4"/>
  <c r="K337" i="4"/>
  <c r="L337" i="4" s="1"/>
  <c r="K338" i="4"/>
  <c r="L338" i="4" s="1"/>
  <c r="K339" i="4"/>
  <c r="L339" i="4" s="1"/>
  <c r="K340" i="4"/>
  <c r="L340" i="4" s="1"/>
  <c r="K341" i="4"/>
  <c r="L341" i="4" s="1"/>
  <c r="K342" i="4"/>
  <c r="L342" i="4" s="1"/>
  <c r="K343" i="4"/>
  <c r="L343" i="4" s="1"/>
  <c r="K344" i="4"/>
  <c r="L344" i="4" s="1"/>
  <c r="K345" i="4"/>
  <c r="L345" i="4" s="1"/>
  <c r="K346" i="4"/>
  <c r="L346" i="4" s="1"/>
  <c r="K347" i="4"/>
  <c r="L347" i="4" s="1"/>
  <c r="K348" i="4"/>
  <c r="L348" i="4" s="1"/>
  <c r="K349" i="4"/>
  <c r="L349" i="4" s="1"/>
  <c r="K350" i="4"/>
  <c r="L350" i="4" s="1"/>
  <c r="K351" i="4"/>
  <c r="L351" i="4" s="1"/>
  <c r="K352" i="4"/>
  <c r="L352" i="4" s="1"/>
  <c r="K353" i="4"/>
  <c r="L353" i="4" s="1"/>
  <c r="K354" i="4"/>
  <c r="L354" i="4" s="1"/>
  <c r="K355" i="4"/>
  <c r="L355" i="4" s="1"/>
  <c r="K356" i="4"/>
  <c r="L356" i="4" s="1"/>
  <c r="K357" i="4"/>
  <c r="L357" i="4" s="1"/>
  <c r="K358" i="4"/>
  <c r="L358" i="4" s="1"/>
  <c r="K359" i="4"/>
  <c r="L359" i="4" s="1"/>
  <c r="K360" i="4"/>
  <c r="L360" i="4" s="1"/>
  <c r="K361" i="4"/>
  <c r="L361" i="4" s="1"/>
  <c r="K362" i="4"/>
  <c r="L362" i="4" s="1"/>
  <c r="K363" i="4"/>
  <c r="L363" i="4" s="1"/>
  <c r="K364" i="4"/>
  <c r="L364" i="4" s="1"/>
  <c r="K365" i="4"/>
  <c r="L365" i="4" s="1"/>
  <c r="K366" i="4"/>
  <c r="L366" i="4" s="1"/>
  <c r="K367" i="4"/>
  <c r="L367" i="4" s="1"/>
  <c r="K368" i="4"/>
  <c r="L368" i="4" s="1"/>
  <c r="K369" i="4"/>
  <c r="K370" i="4"/>
  <c r="K371" i="4"/>
  <c r="L371" i="4" s="1"/>
  <c r="K372" i="4"/>
  <c r="L372" i="4" s="1"/>
  <c r="K373" i="4"/>
  <c r="L373" i="4" s="1"/>
  <c r="K374" i="4"/>
  <c r="L374" i="4" s="1"/>
  <c r="K375" i="4"/>
  <c r="L375" i="4" s="1"/>
  <c r="K376" i="4"/>
  <c r="K377" i="4"/>
  <c r="L377" i="4" s="1"/>
  <c r="K378" i="4"/>
  <c r="L378" i="4" s="1"/>
  <c r="K379" i="4"/>
  <c r="L379" i="4" s="1"/>
  <c r="K380" i="4"/>
  <c r="L380" i="4" s="1"/>
  <c r="K381" i="4"/>
  <c r="L381" i="4" s="1"/>
  <c r="K382" i="4"/>
  <c r="L382" i="4" s="1"/>
  <c r="K383" i="4"/>
  <c r="L383" i="4" s="1"/>
  <c r="K384" i="4"/>
  <c r="L384" i="4" s="1"/>
  <c r="K385" i="4"/>
  <c r="L385" i="4" s="1"/>
  <c r="K386" i="4"/>
  <c r="L386" i="4" s="1"/>
  <c r="K387" i="4"/>
  <c r="L387" i="4" s="1"/>
  <c r="K388" i="4"/>
  <c r="L388" i="4" s="1"/>
  <c r="K389" i="4"/>
  <c r="L389" i="4" s="1"/>
  <c r="K390" i="4"/>
  <c r="L390" i="4" s="1"/>
  <c r="K391" i="4"/>
  <c r="L391" i="4" s="1"/>
  <c r="K392" i="4"/>
  <c r="L392" i="4" s="1"/>
  <c r="K393" i="4"/>
  <c r="L393" i="4" s="1"/>
  <c r="K394" i="4"/>
  <c r="L394" i="4" s="1"/>
  <c r="K395" i="4"/>
  <c r="L395" i="4" s="1"/>
  <c r="K396" i="4"/>
  <c r="L396" i="4" s="1"/>
  <c r="K397" i="4"/>
  <c r="L397" i="4" s="1"/>
  <c r="K398" i="4"/>
  <c r="L398" i="4" s="1"/>
  <c r="K399" i="4"/>
  <c r="L399" i="4" s="1"/>
  <c r="K400" i="4"/>
  <c r="L400" i="4" s="1"/>
  <c r="K401" i="4"/>
  <c r="L401" i="4" s="1"/>
  <c r="K402" i="4"/>
  <c r="L402" i="4" s="1"/>
  <c r="K403" i="4"/>
  <c r="L403" i="4" s="1"/>
  <c r="K404" i="4"/>
  <c r="L404" i="4" s="1"/>
  <c r="K405" i="4"/>
  <c r="L405" i="4" s="1"/>
  <c r="K406" i="4"/>
  <c r="L406" i="4" s="1"/>
  <c r="K407" i="4"/>
  <c r="L407" i="4" s="1"/>
  <c r="K408" i="4"/>
  <c r="L408" i="4" s="1"/>
  <c r="K409" i="4"/>
  <c r="L409" i="4" s="1"/>
  <c r="K410" i="4"/>
  <c r="L410" i="4" s="1"/>
  <c r="K411" i="4"/>
  <c r="L411" i="4" s="1"/>
  <c r="K412" i="4"/>
  <c r="L412" i="4" s="1"/>
  <c r="K413" i="4"/>
  <c r="L413" i="4" s="1"/>
  <c r="K414" i="4"/>
  <c r="L414" i="4" s="1"/>
  <c r="K415" i="4"/>
  <c r="L415" i="4" s="1"/>
  <c r="K416" i="4"/>
  <c r="L416" i="4" s="1"/>
  <c r="K417" i="4"/>
  <c r="L417" i="4" s="1"/>
  <c r="K418" i="4"/>
  <c r="L418" i="4" s="1"/>
  <c r="K419" i="4"/>
  <c r="L419" i="4" s="1"/>
  <c r="K420" i="4"/>
  <c r="L420" i="4" s="1"/>
  <c r="K421" i="4"/>
  <c r="L421" i="4" s="1"/>
  <c r="K422" i="4"/>
  <c r="L422" i="4" s="1"/>
  <c r="K423" i="4"/>
  <c r="L423" i="4" s="1"/>
  <c r="K424" i="4"/>
  <c r="L424" i="4" s="1"/>
  <c r="K425" i="4"/>
  <c r="L425" i="4" s="1"/>
  <c r="K426" i="4"/>
  <c r="L426" i="4" s="1"/>
  <c r="K427" i="4"/>
  <c r="L427" i="4" s="1"/>
  <c r="K428" i="4"/>
  <c r="L428" i="4" s="1"/>
  <c r="K429" i="4"/>
  <c r="L429" i="4" s="1"/>
  <c r="K430" i="4"/>
  <c r="L430" i="4" s="1"/>
  <c r="K431" i="4"/>
  <c r="L431" i="4" s="1"/>
  <c r="K432" i="4"/>
  <c r="L432" i="4" s="1"/>
  <c r="K433" i="4"/>
  <c r="L433" i="4" s="1"/>
  <c r="K434" i="4"/>
  <c r="K435" i="4"/>
  <c r="L435" i="4" s="1"/>
  <c r="K436" i="4"/>
  <c r="L436" i="4" s="1"/>
  <c r="K437" i="4"/>
  <c r="L437" i="4" s="1"/>
  <c r="K438" i="4"/>
  <c r="L438" i="4" s="1"/>
  <c r="K439" i="4"/>
  <c r="L439" i="4" s="1"/>
  <c r="K440" i="4"/>
  <c r="L440" i="4" s="1"/>
  <c r="K441" i="4"/>
  <c r="L441" i="4" s="1"/>
  <c r="K442" i="4"/>
  <c r="L442" i="4" s="1"/>
  <c r="K443" i="4"/>
  <c r="L443" i="4" s="1"/>
  <c r="K444" i="4"/>
  <c r="L444" i="4" s="1"/>
  <c r="K445" i="4"/>
  <c r="L445" i="4" s="1"/>
  <c r="K446" i="4"/>
  <c r="L446" i="4" s="1"/>
  <c r="K447" i="4"/>
  <c r="L447" i="4" s="1"/>
  <c r="K448" i="4"/>
  <c r="L448" i="4" s="1"/>
  <c r="K449" i="4"/>
  <c r="L449" i="4" s="1"/>
  <c r="K450" i="4"/>
  <c r="L450" i="4" s="1"/>
  <c r="K451" i="4"/>
  <c r="L451" i="4" s="1"/>
  <c r="K452" i="4"/>
  <c r="L452" i="4" s="1"/>
  <c r="K453" i="4"/>
  <c r="L453" i="4" s="1"/>
  <c r="K454" i="4"/>
  <c r="L454" i="4" s="1"/>
  <c r="K455" i="4"/>
  <c r="L455" i="4" s="1"/>
  <c r="K456" i="4"/>
  <c r="L456" i="4" s="1"/>
  <c r="K457" i="4"/>
  <c r="L457" i="4" s="1"/>
  <c r="K458" i="4"/>
  <c r="L458" i="4" s="1"/>
  <c r="K459" i="4"/>
  <c r="L459" i="4" s="1"/>
  <c r="K460" i="4"/>
  <c r="L460" i="4" s="1"/>
  <c r="K461" i="4"/>
  <c r="L461" i="4" s="1"/>
  <c r="K462" i="4"/>
  <c r="L462" i="4" s="1"/>
  <c r="K463" i="4"/>
  <c r="L463" i="4" s="1"/>
  <c r="K464" i="4"/>
  <c r="L464" i="4" s="1"/>
  <c r="K465" i="4"/>
  <c r="L465" i="4" s="1"/>
  <c r="K466" i="4"/>
  <c r="L466" i="4" s="1"/>
  <c r="K467" i="4"/>
  <c r="L467" i="4" s="1"/>
  <c r="K468" i="4"/>
  <c r="L468" i="4" s="1"/>
  <c r="K469" i="4"/>
  <c r="L469" i="4" s="1"/>
  <c r="K470" i="4"/>
  <c r="L470" i="4" s="1"/>
  <c r="K471" i="4"/>
  <c r="L471" i="4" s="1"/>
  <c r="K472" i="4"/>
  <c r="L472" i="4" s="1"/>
  <c r="K473" i="4"/>
  <c r="L473" i="4" s="1"/>
  <c r="K474" i="4"/>
  <c r="L474" i="4" s="1"/>
  <c r="K475" i="4"/>
  <c r="L475" i="4" s="1"/>
  <c r="K476" i="4"/>
  <c r="L476" i="4" s="1"/>
  <c r="K477" i="4"/>
  <c r="L477" i="4" s="1"/>
  <c r="K478" i="4"/>
  <c r="L478" i="4" s="1"/>
  <c r="K479" i="4"/>
  <c r="L479" i="4" s="1"/>
  <c r="K480" i="4"/>
  <c r="L480" i="4" s="1"/>
  <c r="K481" i="4"/>
  <c r="L481" i="4" s="1"/>
  <c r="K482" i="4"/>
  <c r="L482" i="4" s="1"/>
  <c r="K483" i="4"/>
  <c r="L483" i="4" s="1"/>
  <c r="K484" i="4"/>
  <c r="L484" i="4" s="1"/>
  <c r="K485" i="4"/>
  <c r="L485" i="4" s="1"/>
  <c r="K486" i="4"/>
  <c r="L486" i="4" s="1"/>
  <c r="K487" i="4"/>
  <c r="L487" i="4" s="1"/>
  <c r="K488" i="4"/>
  <c r="L488" i="4" s="1"/>
  <c r="K489" i="4"/>
  <c r="L489" i="4" s="1"/>
  <c r="K490" i="4"/>
  <c r="L490" i="4" s="1"/>
  <c r="K491" i="4"/>
  <c r="L491" i="4" s="1"/>
  <c r="K492" i="4"/>
  <c r="L492" i="4" s="1"/>
  <c r="K493" i="4"/>
  <c r="L493" i="4" s="1"/>
  <c r="K494" i="4"/>
  <c r="L494" i="4" s="1"/>
  <c r="K495" i="4"/>
  <c r="L495" i="4" s="1"/>
  <c r="K496" i="4"/>
  <c r="L496" i="4" s="1"/>
  <c r="K497" i="4"/>
  <c r="L497" i="4" s="1"/>
  <c r="K498" i="4"/>
  <c r="K499" i="4"/>
  <c r="L499" i="4" s="1"/>
  <c r="K500" i="4"/>
  <c r="L500" i="4" s="1"/>
  <c r="K501" i="4"/>
  <c r="L501" i="4" s="1"/>
  <c r="K502" i="4"/>
  <c r="L502" i="4" s="1"/>
  <c r="K503" i="4"/>
  <c r="L503" i="4" s="1"/>
  <c r="K504" i="4"/>
  <c r="K505" i="4"/>
  <c r="L505" i="4" s="1"/>
  <c r="K506" i="4"/>
  <c r="L506" i="4" s="1"/>
  <c r="K507" i="4"/>
  <c r="L507" i="4" s="1"/>
  <c r="K508" i="4"/>
  <c r="L508" i="4" s="1"/>
  <c r="K509" i="4"/>
  <c r="L509" i="4" s="1"/>
  <c r="K510" i="4"/>
  <c r="L510" i="4" s="1"/>
  <c r="K511" i="4"/>
  <c r="L511" i="4" s="1"/>
  <c r="K512" i="4"/>
  <c r="L512" i="4" s="1"/>
  <c r="K513" i="4"/>
  <c r="L513" i="4" s="1"/>
  <c r="K514" i="4"/>
  <c r="L514" i="4" s="1"/>
  <c r="K515" i="4"/>
  <c r="L515" i="4" s="1"/>
  <c r="K516" i="4"/>
  <c r="L516" i="4" s="1"/>
  <c r="K517" i="4"/>
  <c r="L517" i="4" s="1"/>
  <c r="K518" i="4"/>
  <c r="L518" i="4" s="1"/>
  <c r="K519" i="4"/>
  <c r="L519" i="4" s="1"/>
  <c r="K520" i="4"/>
  <c r="L520" i="4" s="1"/>
  <c r="K521" i="4"/>
  <c r="L521" i="4" s="1"/>
  <c r="K522" i="4"/>
  <c r="L522" i="4" s="1"/>
  <c r="K523" i="4"/>
  <c r="L523" i="4" s="1"/>
  <c r="K524" i="4"/>
  <c r="L524" i="4" s="1"/>
  <c r="K525" i="4"/>
  <c r="L525" i="4" s="1"/>
  <c r="K526" i="4"/>
  <c r="L526" i="4" s="1"/>
  <c r="K527" i="4"/>
  <c r="L527" i="4" s="1"/>
  <c r="K528" i="4"/>
  <c r="L528" i="4" s="1"/>
  <c r="K529" i="4"/>
  <c r="L529" i="4" s="1"/>
  <c r="K530" i="4"/>
  <c r="L530" i="4" s="1"/>
  <c r="K531" i="4"/>
  <c r="L531" i="4" s="1"/>
  <c r="K532" i="4"/>
  <c r="L532" i="4" s="1"/>
  <c r="K533" i="4"/>
  <c r="L533" i="4" s="1"/>
  <c r="K534" i="4"/>
  <c r="L534" i="4" s="1"/>
  <c r="K535" i="4"/>
  <c r="L535" i="4" s="1"/>
  <c r="K536" i="4"/>
  <c r="L536" i="4" s="1"/>
  <c r="K537" i="4"/>
  <c r="L537" i="4" s="1"/>
  <c r="K538" i="4"/>
  <c r="L538" i="4" s="1"/>
  <c r="K539" i="4"/>
  <c r="L539" i="4" s="1"/>
  <c r="K540" i="4"/>
  <c r="L540" i="4" s="1"/>
  <c r="K541" i="4"/>
  <c r="L541" i="4" s="1"/>
  <c r="K542" i="4"/>
  <c r="L542" i="4" s="1"/>
  <c r="K543" i="4"/>
  <c r="L543" i="4" s="1"/>
  <c r="K544" i="4"/>
  <c r="L544" i="4" s="1"/>
  <c r="K545" i="4"/>
  <c r="L545" i="4" s="1"/>
  <c r="K546" i="4"/>
  <c r="L546" i="4" s="1"/>
  <c r="K547" i="4"/>
  <c r="L547" i="4" s="1"/>
  <c r="K548" i="4"/>
  <c r="L548" i="4" s="1"/>
  <c r="K549" i="4"/>
  <c r="L549" i="4" s="1"/>
  <c r="K550" i="4"/>
  <c r="L550" i="4" s="1"/>
  <c r="K551" i="4"/>
  <c r="L551" i="4" s="1"/>
  <c r="K552" i="4"/>
  <c r="L552" i="4" s="1"/>
  <c r="K553" i="4"/>
  <c r="L553" i="4" s="1"/>
  <c r="K554" i="4"/>
  <c r="L554" i="4" s="1"/>
  <c r="K555" i="4"/>
  <c r="L555" i="4" s="1"/>
  <c r="K556" i="4"/>
  <c r="L556" i="4" s="1"/>
  <c r="K557" i="4"/>
  <c r="L557" i="4" s="1"/>
  <c r="K558" i="4"/>
  <c r="L558" i="4" s="1"/>
  <c r="K559" i="4"/>
  <c r="L559" i="4" s="1"/>
  <c r="K560" i="4"/>
  <c r="L560" i="4" s="1"/>
  <c r="K561" i="4"/>
  <c r="L561" i="4" s="1"/>
  <c r="K562" i="4"/>
  <c r="L562" i="4" s="1"/>
  <c r="K563" i="4"/>
  <c r="L563" i="4" s="1"/>
  <c r="K564" i="4"/>
  <c r="L564" i="4" s="1"/>
  <c r="K565" i="4"/>
  <c r="L565" i="4" s="1"/>
  <c r="K566" i="4"/>
  <c r="L566" i="4" s="1"/>
  <c r="K567" i="4"/>
  <c r="L567" i="4" s="1"/>
  <c r="K568" i="4"/>
  <c r="L568" i="4" s="1"/>
  <c r="K569" i="4"/>
  <c r="L569" i="4" s="1"/>
  <c r="K570" i="4"/>
  <c r="L570" i="4" s="1"/>
  <c r="K571" i="4"/>
  <c r="L571" i="4" s="1"/>
  <c r="K572" i="4"/>
  <c r="L572" i="4" s="1"/>
  <c r="K573" i="4"/>
  <c r="L573" i="4" s="1"/>
  <c r="K574" i="4"/>
  <c r="L574" i="4" s="1"/>
  <c r="K575" i="4"/>
  <c r="L575" i="4" s="1"/>
  <c r="K576" i="4"/>
  <c r="L576" i="4" s="1"/>
  <c r="K577" i="4"/>
  <c r="L577" i="4" s="1"/>
  <c r="K578" i="4"/>
  <c r="L578" i="4" s="1"/>
  <c r="K579" i="4"/>
  <c r="L579" i="4" s="1"/>
  <c r="K580" i="4"/>
  <c r="L580" i="4" s="1"/>
  <c r="L208" i="4"/>
  <c r="L216" i="4"/>
  <c r="L224" i="4"/>
  <c r="L227" i="4"/>
  <c r="L228" i="4"/>
  <c r="L232" i="4"/>
  <c r="L235" i="4"/>
  <c r="L240" i="4"/>
  <c r="L241" i="4"/>
  <c r="L242" i="4"/>
  <c r="L248" i="4"/>
  <c r="L256" i="4"/>
  <c r="L260" i="4"/>
  <c r="L264" i="4"/>
  <c r="L272" i="4"/>
  <c r="L280" i="4"/>
  <c r="L306" i="4"/>
  <c r="L316" i="4"/>
  <c r="L336" i="4"/>
  <c r="L369" i="4"/>
  <c r="L370" i="4"/>
  <c r="L376" i="4"/>
  <c r="L434" i="4"/>
  <c r="L498" i="4"/>
  <c r="L504"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P385" i="4"/>
  <c r="P386" i="4"/>
  <c r="P387" i="4"/>
  <c r="P388" i="4"/>
  <c r="P389" i="4"/>
  <c r="P390" i="4"/>
  <c r="P391" i="4"/>
  <c r="P392" i="4"/>
  <c r="P393" i="4"/>
  <c r="P394" i="4"/>
  <c r="P395" i="4"/>
  <c r="P396" i="4"/>
  <c r="P397" i="4"/>
  <c r="P398" i="4"/>
  <c r="P399" i="4"/>
  <c r="P400" i="4"/>
  <c r="P401" i="4"/>
  <c r="P402" i="4"/>
  <c r="P403" i="4"/>
  <c r="P404" i="4"/>
  <c r="P405" i="4"/>
  <c r="P406" i="4"/>
  <c r="P407" i="4"/>
  <c r="P408" i="4"/>
  <c r="P409" i="4"/>
  <c r="P410" i="4"/>
  <c r="P411" i="4"/>
  <c r="P412" i="4"/>
  <c r="P413" i="4"/>
  <c r="P414" i="4"/>
  <c r="P415" i="4"/>
  <c r="P416" i="4"/>
  <c r="P417" i="4"/>
  <c r="P418" i="4"/>
  <c r="P419" i="4"/>
  <c r="P420" i="4"/>
  <c r="P421" i="4"/>
  <c r="P422" i="4"/>
  <c r="P423" i="4"/>
  <c r="P424" i="4"/>
  <c r="P425" i="4"/>
  <c r="P426" i="4"/>
  <c r="P427" i="4"/>
  <c r="P428" i="4"/>
  <c r="P429" i="4"/>
  <c r="P430" i="4"/>
  <c r="P431" i="4"/>
  <c r="P432" i="4"/>
  <c r="P433" i="4"/>
  <c r="P434" i="4"/>
  <c r="P435" i="4"/>
  <c r="P436" i="4"/>
  <c r="P437" i="4"/>
  <c r="P438" i="4"/>
  <c r="P439" i="4"/>
  <c r="P440" i="4"/>
  <c r="P441" i="4"/>
  <c r="P442" i="4"/>
  <c r="P443" i="4"/>
  <c r="P444" i="4"/>
  <c r="P445" i="4"/>
  <c r="P446" i="4"/>
  <c r="P447" i="4"/>
  <c r="P448" i="4"/>
  <c r="P449" i="4"/>
  <c r="P450" i="4"/>
  <c r="P451" i="4"/>
  <c r="P452" i="4"/>
  <c r="P453" i="4"/>
  <c r="P454" i="4"/>
  <c r="P455" i="4"/>
  <c r="P456" i="4"/>
  <c r="P457" i="4"/>
  <c r="P458" i="4"/>
  <c r="P459" i="4"/>
  <c r="P460" i="4"/>
  <c r="P461" i="4"/>
  <c r="P462" i="4"/>
  <c r="P463" i="4"/>
  <c r="P464" i="4"/>
  <c r="P465" i="4"/>
  <c r="P466" i="4"/>
  <c r="P467" i="4"/>
  <c r="P468" i="4"/>
  <c r="P469" i="4"/>
  <c r="P470" i="4"/>
  <c r="P471" i="4"/>
  <c r="P472" i="4"/>
  <c r="P473" i="4"/>
  <c r="P474" i="4"/>
  <c r="P475" i="4"/>
  <c r="P476" i="4"/>
  <c r="P477" i="4"/>
  <c r="P478" i="4"/>
  <c r="P479" i="4"/>
  <c r="P480" i="4"/>
  <c r="P481" i="4"/>
  <c r="P482" i="4"/>
  <c r="P483" i="4"/>
  <c r="P484" i="4"/>
  <c r="P485" i="4"/>
  <c r="P486" i="4"/>
  <c r="P487" i="4"/>
  <c r="P488" i="4"/>
  <c r="P489" i="4"/>
  <c r="P490" i="4"/>
  <c r="P491" i="4"/>
  <c r="P492" i="4"/>
  <c r="P493" i="4"/>
  <c r="P494" i="4"/>
  <c r="P495" i="4"/>
  <c r="P496" i="4"/>
  <c r="P497" i="4"/>
  <c r="P498" i="4"/>
  <c r="P499" i="4"/>
  <c r="P500" i="4"/>
  <c r="P501" i="4"/>
  <c r="P502" i="4"/>
  <c r="P503" i="4"/>
  <c r="P504" i="4"/>
  <c r="P505" i="4"/>
  <c r="P506" i="4"/>
  <c r="P507" i="4"/>
  <c r="P508" i="4"/>
  <c r="P509" i="4"/>
  <c r="P510" i="4"/>
  <c r="P511" i="4"/>
  <c r="P512" i="4"/>
  <c r="P513" i="4"/>
  <c r="P514" i="4"/>
  <c r="P515" i="4"/>
  <c r="P516" i="4"/>
  <c r="P517" i="4"/>
  <c r="P518" i="4"/>
  <c r="P519" i="4"/>
  <c r="P520" i="4"/>
  <c r="P521" i="4"/>
  <c r="P522" i="4"/>
  <c r="P523" i="4"/>
  <c r="P524" i="4"/>
  <c r="P525" i="4"/>
  <c r="P526" i="4"/>
  <c r="P527" i="4"/>
  <c r="P528" i="4"/>
  <c r="P529" i="4"/>
  <c r="P530" i="4"/>
  <c r="P531" i="4"/>
  <c r="P532" i="4"/>
  <c r="P533" i="4"/>
  <c r="P534" i="4"/>
  <c r="P535" i="4"/>
  <c r="P536" i="4"/>
  <c r="P537" i="4"/>
  <c r="P538" i="4"/>
  <c r="P539" i="4"/>
  <c r="P540" i="4"/>
  <c r="P541" i="4"/>
  <c r="P542" i="4"/>
  <c r="P543" i="4"/>
  <c r="P544" i="4"/>
  <c r="P545" i="4"/>
  <c r="P546" i="4"/>
  <c r="P547" i="4"/>
  <c r="P548" i="4"/>
  <c r="P549" i="4"/>
  <c r="P550" i="4"/>
  <c r="P551" i="4"/>
  <c r="P552" i="4"/>
  <c r="P553" i="4"/>
  <c r="P554" i="4"/>
  <c r="P555" i="4"/>
  <c r="P556" i="4"/>
  <c r="P557" i="4"/>
  <c r="P558" i="4"/>
  <c r="P559" i="4"/>
  <c r="P560" i="4"/>
  <c r="P561" i="4"/>
  <c r="P562" i="4"/>
  <c r="P563" i="4"/>
  <c r="P564" i="4"/>
  <c r="P565" i="4"/>
  <c r="P566" i="4"/>
  <c r="P567" i="4"/>
  <c r="P568" i="4"/>
  <c r="P569" i="4"/>
  <c r="P570" i="4"/>
  <c r="P571" i="4"/>
  <c r="P572" i="4"/>
  <c r="P573" i="4"/>
  <c r="P574" i="4"/>
  <c r="P575" i="4"/>
  <c r="P576" i="4"/>
  <c r="P577" i="4"/>
  <c r="P578" i="4"/>
  <c r="P579" i="4"/>
  <c r="P580"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531" i="4"/>
  <c r="Q532" i="4"/>
  <c r="Q533" i="4"/>
  <c r="Q534" i="4"/>
  <c r="Q535" i="4"/>
  <c r="Q536" i="4"/>
  <c r="Q537" i="4"/>
  <c r="Q538" i="4"/>
  <c r="Q539" i="4"/>
  <c r="Q540" i="4"/>
  <c r="Q541" i="4"/>
  <c r="Q542" i="4"/>
  <c r="Q543" i="4"/>
  <c r="Q544" i="4"/>
  <c r="Q545" i="4"/>
  <c r="Q546" i="4"/>
  <c r="Q547" i="4"/>
  <c r="Q548" i="4"/>
  <c r="Q549" i="4"/>
  <c r="Q550" i="4"/>
  <c r="Q551" i="4"/>
  <c r="Q552" i="4"/>
  <c r="Q553" i="4"/>
  <c r="Q554" i="4"/>
  <c r="Q555" i="4"/>
  <c r="Q556" i="4"/>
  <c r="Q557" i="4"/>
  <c r="Q558" i="4"/>
  <c r="Q559" i="4"/>
  <c r="Q560" i="4"/>
  <c r="Q561" i="4"/>
  <c r="Q562" i="4"/>
  <c r="Q563" i="4"/>
  <c r="Q564" i="4"/>
  <c r="Q565" i="4"/>
  <c r="Q566" i="4"/>
  <c r="Q567" i="4"/>
  <c r="Q568" i="4"/>
  <c r="Q569" i="4"/>
  <c r="Q570" i="4"/>
  <c r="Q571" i="4"/>
  <c r="Q572" i="4"/>
  <c r="Q573" i="4"/>
  <c r="Q574" i="4"/>
  <c r="Q575" i="4"/>
  <c r="Q576" i="4"/>
  <c r="Q577" i="4"/>
  <c r="Q578" i="4"/>
  <c r="Q579" i="4"/>
  <c r="Q580" i="4"/>
  <c r="B65" i="66" l="1"/>
  <c r="B41" i="66"/>
  <c r="B64" i="66" s="1"/>
  <c r="E64" i="66" s="1"/>
  <c r="C65" i="66"/>
  <c r="C41" i="66"/>
  <c r="C64" i="66" s="1"/>
  <c r="C66" i="66" s="1"/>
  <c r="E58" i="66"/>
  <c r="F60" i="66"/>
  <c r="E60" i="66"/>
  <c r="F59" i="66"/>
  <c r="E59" i="66"/>
  <c r="F56" i="66"/>
  <c r="E56" i="66"/>
  <c r="F63" i="66"/>
  <c r="E63" i="66"/>
  <c r="F55" i="66"/>
  <c r="E55" i="66"/>
  <c r="E62" i="66"/>
  <c r="F62" i="66"/>
  <c r="E54" i="66"/>
  <c r="F54" i="66"/>
  <c r="E61" i="66"/>
  <c r="F61" i="66"/>
  <c r="F58" i="66"/>
  <c r="F57" i="66"/>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K332" i="1"/>
  <c r="L332" i="1" s="1"/>
  <c r="K333" i="1"/>
  <c r="L333" i="1" s="1"/>
  <c r="K334" i="1"/>
  <c r="L334" i="1" s="1"/>
  <c r="K335" i="1"/>
  <c r="L335" i="1" s="1"/>
  <c r="K336" i="1"/>
  <c r="K337" i="1"/>
  <c r="L337" i="1" s="1"/>
  <c r="K338" i="1"/>
  <c r="L338" i="1" s="1"/>
  <c r="K339" i="1"/>
  <c r="L339" i="1" s="1"/>
  <c r="K340" i="1"/>
  <c r="L340" i="1" s="1"/>
  <c r="K341" i="1"/>
  <c r="L341" i="1" s="1"/>
  <c r="K342" i="1"/>
  <c r="L342" i="1" s="1"/>
  <c r="K343" i="1"/>
  <c r="L343" i="1" s="1"/>
  <c r="K344" i="1"/>
  <c r="K345" i="1"/>
  <c r="L345" i="1" s="1"/>
  <c r="K346" i="1"/>
  <c r="L346" i="1" s="1"/>
  <c r="K347" i="1"/>
  <c r="L347" i="1" s="1"/>
  <c r="K348" i="1"/>
  <c r="L348" i="1" s="1"/>
  <c r="K349" i="1"/>
  <c r="L349" i="1" s="1"/>
  <c r="K350" i="1"/>
  <c r="L350" i="1" s="1"/>
  <c r="K351" i="1"/>
  <c r="L351" i="1" s="1"/>
  <c r="K352" i="1"/>
  <c r="K353" i="1"/>
  <c r="K354" i="1"/>
  <c r="L354" i="1" s="1"/>
  <c r="K355" i="1"/>
  <c r="L355" i="1" s="1"/>
  <c r="K356" i="1"/>
  <c r="L356" i="1" s="1"/>
  <c r="K357" i="1"/>
  <c r="L357" i="1" s="1"/>
  <c r="K358" i="1"/>
  <c r="L358" i="1" s="1"/>
  <c r="K359" i="1"/>
  <c r="L359" i="1" s="1"/>
  <c r="K360" i="1"/>
  <c r="K361" i="1"/>
  <c r="L361" i="1" s="1"/>
  <c r="K362" i="1"/>
  <c r="L362" i="1" s="1"/>
  <c r="K363" i="1"/>
  <c r="L363" i="1" s="1"/>
  <c r="K364" i="1"/>
  <c r="L364" i="1" s="1"/>
  <c r="K365" i="1"/>
  <c r="L365" i="1" s="1"/>
  <c r="K366" i="1"/>
  <c r="L366" i="1" s="1"/>
  <c r="K367" i="1"/>
  <c r="L367" i="1" s="1"/>
  <c r="K368" i="1"/>
  <c r="L368" i="1" s="1"/>
  <c r="K369" i="1"/>
  <c r="L369" i="1" s="1"/>
  <c r="K370" i="1"/>
  <c r="L370" i="1" s="1"/>
  <c r="K371" i="1"/>
  <c r="L371" i="1" s="1"/>
  <c r="K372" i="1"/>
  <c r="L372" i="1" s="1"/>
  <c r="K373" i="1"/>
  <c r="L373" i="1" s="1"/>
  <c r="K374" i="1"/>
  <c r="L374" i="1" s="1"/>
  <c r="K375" i="1"/>
  <c r="L375" i="1" s="1"/>
  <c r="K376" i="1"/>
  <c r="K377" i="1"/>
  <c r="K378" i="1"/>
  <c r="L378" i="1" s="1"/>
  <c r="K379" i="1"/>
  <c r="L379" i="1" s="1"/>
  <c r="K380" i="1"/>
  <c r="L380" i="1" s="1"/>
  <c r="K381" i="1"/>
  <c r="L381" i="1" s="1"/>
  <c r="K382" i="1"/>
  <c r="L382" i="1" s="1"/>
  <c r="K383" i="1"/>
  <c r="L383" i="1" s="1"/>
  <c r="K384" i="1"/>
  <c r="L384" i="1" s="1"/>
  <c r="K385" i="1"/>
  <c r="L385" i="1" s="1"/>
  <c r="K386" i="1"/>
  <c r="L386" i="1" s="1"/>
  <c r="K387" i="1"/>
  <c r="L387" i="1" s="1"/>
  <c r="K388" i="1"/>
  <c r="L388" i="1" s="1"/>
  <c r="K389" i="1"/>
  <c r="L389" i="1" s="1"/>
  <c r="K390" i="1"/>
  <c r="L390" i="1" s="1"/>
  <c r="K391" i="1"/>
  <c r="L391" i="1" s="1"/>
  <c r="K392" i="1"/>
  <c r="L392" i="1" s="1"/>
  <c r="K393" i="1"/>
  <c r="L393" i="1" s="1"/>
  <c r="K394" i="1"/>
  <c r="L394" i="1" s="1"/>
  <c r="K395" i="1"/>
  <c r="L395" i="1" s="1"/>
  <c r="K396" i="1"/>
  <c r="L396" i="1" s="1"/>
  <c r="K397" i="1"/>
  <c r="L397" i="1" s="1"/>
  <c r="K398" i="1"/>
  <c r="L398" i="1" s="1"/>
  <c r="K399" i="1"/>
  <c r="L399" i="1" s="1"/>
  <c r="K400" i="1"/>
  <c r="K401" i="1"/>
  <c r="K402" i="1"/>
  <c r="K403" i="1"/>
  <c r="L403" i="1" s="1"/>
  <c r="K404" i="1"/>
  <c r="L404" i="1" s="1"/>
  <c r="K405" i="1"/>
  <c r="L405" i="1" s="1"/>
  <c r="K406" i="1"/>
  <c r="L406" i="1" s="1"/>
  <c r="K407" i="1"/>
  <c r="L407" i="1" s="1"/>
  <c r="K408" i="1"/>
  <c r="L408" i="1" s="1"/>
  <c r="K409" i="1"/>
  <c r="L409" i="1" s="1"/>
  <c r="K410" i="1"/>
  <c r="L410" i="1" s="1"/>
  <c r="K411" i="1"/>
  <c r="L411" i="1" s="1"/>
  <c r="K412" i="1"/>
  <c r="L412" i="1" s="1"/>
  <c r="K413" i="1"/>
  <c r="L413" i="1" s="1"/>
  <c r="K414" i="1"/>
  <c r="L414" i="1" s="1"/>
  <c r="K415" i="1"/>
  <c r="K416" i="1"/>
  <c r="K417" i="1"/>
  <c r="L417" i="1" s="1"/>
  <c r="K418" i="1"/>
  <c r="L418" i="1" s="1"/>
  <c r="K419" i="1"/>
  <c r="L419" i="1" s="1"/>
  <c r="K420" i="1"/>
  <c r="L420" i="1" s="1"/>
  <c r="K421" i="1"/>
  <c r="L421" i="1" s="1"/>
  <c r="K422" i="1"/>
  <c r="L422" i="1" s="1"/>
  <c r="K423" i="1"/>
  <c r="L423" i="1" s="1"/>
  <c r="K424" i="1"/>
  <c r="L424" i="1" s="1"/>
  <c r="K425" i="1"/>
  <c r="K426" i="1"/>
  <c r="K427" i="1"/>
  <c r="L427" i="1" s="1"/>
  <c r="K428" i="1"/>
  <c r="L428" i="1" s="1"/>
  <c r="K429" i="1"/>
  <c r="L429" i="1" s="1"/>
  <c r="K430" i="1"/>
  <c r="L430" i="1" s="1"/>
  <c r="K431" i="1"/>
  <c r="K432" i="1"/>
  <c r="L432" i="1" s="1"/>
  <c r="K433" i="1"/>
  <c r="L433" i="1" s="1"/>
  <c r="K434" i="1"/>
  <c r="L434" i="1" s="1"/>
  <c r="K435" i="1"/>
  <c r="L435" i="1" s="1"/>
  <c r="K436" i="1"/>
  <c r="L436" i="1" s="1"/>
  <c r="K437" i="1"/>
  <c r="L437" i="1" s="1"/>
  <c r="K438" i="1"/>
  <c r="L438" i="1" s="1"/>
  <c r="K439" i="1"/>
  <c r="L439" i="1" s="1"/>
  <c r="K440" i="1"/>
  <c r="K441" i="1"/>
  <c r="L441" i="1" s="1"/>
  <c r="K442" i="1"/>
  <c r="L442" i="1" s="1"/>
  <c r="K443" i="1"/>
  <c r="L443" i="1" s="1"/>
  <c r="K444" i="1"/>
  <c r="L444" i="1" s="1"/>
  <c r="K445" i="1"/>
  <c r="L445" i="1" s="1"/>
  <c r="K446" i="1"/>
  <c r="L446" i="1" s="1"/>
  <c r="K447" i="1"/>
  <c r="L447" i="1" s="1"/>
  <c r="K448" i="1"/>
  <c r="L448" i="1" s="1"/>
  <c r="K449" i="1"/>
  <c r="L449" i="1" s="1"/>
  <c r="K450" i="1"/>
  <c r="L450" i="1" s="1"/>
  <c r="K451" i="1"/>
  <c r="L451" i="1" s="1"/>
  <c r="K452" i="1"/>
  <c r="L452" i="1" s="1"/>
  <c r="K453" i="1"/>
  <c r="L453" i="1" s="1"/>
  <c r="K454" i="1"/>
  <c r="L454" i="1" s="1"/>
  <c r="K455" i="1"/>
  <c r="K456" i="1"/>
  <c r="L456" i="1" s="1"/>
  <c r="K457" i="1"/>
  <c r="K458" i="1"/>
  <c r="L458" i="1" s="1"/>
  <c r="K459" i="1"/>
  <c r="L459" i="1" s="1"/>
  <c r="K460" i="1"/>
  <c r="L460" i="1" s="1"/>
  <c r="K461" i="1"/>
  <c r="L461" i="1" s="1"/>
  <c r="K462" i="1"/>
  <c r="L462" i="1" s="1"/>
  <c r="K463" i="1"/>
  <c r="L463" i="1" s="1"/>
  <c r="K464" i="1"/>
  <c r="L464" i="1" s="1"/>
  <c r="K465" i="1"/>
  <c r="L465" i="1" s="1"/>
  <c r="K466" i="1"/>
  <c r="L466" i="1" s="1"/>
  <c r="K467" i="1"/>
  <c r="L467" i="1" s="1"/>
  <c r="K468" i="1"/>
  <c r="L468" i="1" s="1"/>
  <c r="K469" i="1"/>
  <c r="L469" i="1" s="1"/>
  <c r="K470" i="1"/>
  <c r="L470" i="1" s="1"/>
  <c r="K471" i="1"/>
  <c r="L471" i="1" s="1"/>
  <c r="K472" i="1"/>
  <c r="L472" i="1" s="1"/>
  <c r="K473" i="1"/>
  <c r="L473" i="1" s="1"/>
  <c r="K474" i="1"/>
  <c r="L474" i="1" s="1"/>
  <c r="K475" i="1"/>
  <c r="L475" i="1" s="1"/>
  <c r="K476" i="1"/>
  <c r="L476" i="1" s="1"/>
  <c r="K477" i="1"/>
  <c r="L477" i="1" s="1"/>
  <c r="K478" i="1"/>
  <c r="L478" i="1" s="1"/>
  <c r="K479" i="1"/>
  <c r="L479" i="1" s="1"/>
  <c r="K480" i="1"/>
  <c r="L480" i="1" s="1"/>
  <c r="K481" i="1"/>
  <c r="L481" i="1" s="1"/>
  <c r="K482" i="1"/>
  <c r="L482" i="1" s="1"/>
  <c r="K483" i="1"/>
  <c r="L483" i="1" s="1"/>
  <c r="K484" i="1"/>
  <c r="L484" i="1" s="1"/>
  <c r="K485" i="1"/>
  <c r="L485" i="1" s="1"/>
  <c r="K486" i="1"/>
  <c r="L486" i="1" s="1"/>
  <c r="K487" i="1"/>
  <c r="L487" i="1" s="1"/>
  <c r="K488" i="1"/>
  <c r="L488" i="1" s="1"/>
  <c r="K489" i="1"/>
  <c r="L489" i="1" s="1"/>
  <c r="K490" i="1"/>
  <c r="L490" i="1" s="1"/>
  <c r="K491" i="1"/>
  <c r="L491" i="1" s="1"/>
  <c r="K492" i="1"/>
  <c r="L492" i="1" s="1"/>
  <c r="K493" i="1"/>
  <c r="L493" i="1" s="1"/>
  <c r="K494" i="1"/>
  <c r="L494" i="1" s="1"/>
  <c r="K495" i="1"/>
  <c r="L495" i="1" s="1"/>
  <c r="K496" i="1"/>
  <c r="L496" i="1" s="1"/>
  <c r="K497" i="1"/>
  <c r="K498" i="1"/>
  <c r="L498" i="1" s="1"/>
  <c r="K499" i="1"/>
  <c r="L499" i="1" s="1"/>
  <c r="K500" i="1"/>
  <c r="L500" i="1" s="1"/>
  <c r="K501" i="1"/>
  <c r="L501" i="1" s="1"/>
  <c r="K502" i="1"/>
  <c r="L502" i="1" s="1"/>
  <c r="K503" i="1"/>
  <c r="K504" i="1"/>
  <c r="L504" i="1" s="1"/>
  <c r="K505" i="1"/>
  <c r="L505" i="1" s="1"/>
  <c r="K506" i="1"/>
  <c r="L506" i="1" s="1"/>
  <c r="K507" i="1"/>
  <c r="L507" i="1" s="1"/>
  <c r="K508" i="1"/>
  <c r="L508" i="1" s="1"/>
  <c r="K509" i="1"/>
  <c r="L509" i="1" s="1"/>
  <c r="K510" i="1"/>
  <c r="L510" i="1" s="1"/>
  <c r="K511" i="1"/>
  <c r="L511" i="1" s="1"/>
  <c r="K512" i="1"/>
  <c r="L512" i="1" s="1"/>
  <c r="K513" i="1"/>
  <c r="L513" i="1" s="1"/>
  <c r="K514" i="1"/>
  <c r="L514" i="1" s="1"/>
  <c r="K515" i="1"/>
  <c r="L515" i="1" s="1"/>
  <c r="K516" i="1"/>
  <c r="L516" i="1" s="1"/>
  <c r="K517" i="1"/>
  <c r="L517" i="1" s="1"/>
  <c r="K518" i="1"/>
  <c r="L518" i="1" s="1"/>
  <c r="K519" i="1"/>
  <c r="L519" i="1" s="1"/>
  <c r="K520" i="1"/>
  <c r="L520" i="1" s="1"/>
  <c r="K521" i="1"/>
  <c r="L521" i="1" s="1"/>
  <c r="K522" i="1"/>
  <c r="L522" i="1" s="1"/>
  <c r="K523" i="1"/>
  <c r="L523" i="1" s="1"/>
  <c r="K524" i="1"/>
  <c r="L524" i="1" s="1"/>
  <c r="K525" i="1"/>
  <c r="L525" i="1" s="1"/>
  <c r="K526" i="1"/>
  <c r="L526" i="1" s="1"/>
  <c r="K527" i="1"/>
  <c r="L527" i="1" s="1"/>
  <c r="K528" i="1"/>
  <c r="L528" i="1" s="1"/>
  <c r="K529" i="1"/>
  <c r="L529" i="1" s="1"/>
  <c r="K530" i="1"/>
  <c r="L530" i="1" s="1"/>
  <c r="K531" i="1"/>
  <c r="L531" i="1" s="1"/>
  <c r="K532" i="1"/>
  <c r="L532" i="1" s="1"/>
  <c r="K533" i="1"/>
  <c r="L533" i="1" s="1"/>
  <c r="K534" i="1"/>
  <c r="L534" i="1" s="1"/>
  <c r="K535" i="1"/>
  <c r="L535" i="1" s="1"/>
  <c r="K536" i="1"/>
  <c r="L536" i="1" s="1"/>
  <c r="K537" i="1"/>
  <c r="K538" i="1"/>
  <c r="L538" i="1" s="1"/>
  <c r="K539" i="1"/>
  <c r="L539" i="1" s="1"/>
  <c r="K540" i="1"/>
  <c r="L540" i="1" s="1"/>
  <c r="K541" i="1"/>
  <c r="L541" i="1" s="1"/>
  <c r="K542" i="1"/>
  <c r="L542" i="1" s="1"/>
  <c r="K543" i="1"/>
  <c r="L543" i="1" s="1"/>
  <c r="K544" i="1"/>
  <c r="L544" i="1" s="1"/>
  <c r="K545" i="1"/>
  <c r="L545" i="1" s="1"/>
  <c r="K546" i="1"/>
  <c r="L546" i="1" s="1"/>
  <c r="K547" i="1"/>
  <c r="L547" i="1" s="1"/>
  <c r="K548" i="1"/>
  <c r="L548" i="1" s="1"/>
  <c r="K549" i="1"/>
  <c r="L549" i="1" s="1"/>
  <c r="K550" i="1"/>
  <c r="L550" i="1" s="1"/>
  <c r="K551" i="1"/>
  <c r="L551" i="1" s="1"/>
  <c r="K552" i="1"/>
  <c r="L552" i="1" s="1"/>
  <c r="K553" i="1"/>
  <c r="L553" i="1" s="1"/>
  <c r="K554" i="1"/>
  <c r="L554" i="1" s="1"/>
  <c r="K555" i="1"/>
  <c r="L555" i="1" s="1"/>
  <c r="K556" i="1"/>
  <c r="L556" i="1" s="1"/>
  <c r="K557" i="1"/>
  <c r="L557" i="1" s="1"/>
  <c r="K558" i="1"/>
  <c r="L558" i="1" s="1"/>
  <c r="K559" i="1"/>
  <c r="L559" i="1" s="1"/>
  <c r="K560" i="1"/>
  <c r="L560" i="1" s="1"/>
  <c r="K561" i="1"/>
  <c r="L561" i="1" s="1"/>
  <c r="K562" i="1"/>
  <c r="L562" i="1" s="1"/>
  <c r="K563" i="1"/>
  <c r="L563" i="1" s="1"/>
  <c r="K564" i="1"/>
  <c r="L564" i="1" s="1"/>
  <c r="K565" i="1"/>
  <c r="L565" i="1" s="1"/>
  <c r="K566" i="1"/>
  <c r="L566" i="1" s="1"/>
  <c r="K567" i="1"/>
  <c r="L567" i="1" s="1"/>
  <c r="K568" i="1"/>
  <c r="L568" i="1" s="1"/>
  <c r="K569" i="1"/>
  <c r="L569" i="1" s="1"/>
  <c r="K570" i="1"/>
  <c r="L570" i="1" s="1"/>
  <c r="K571" i="1"/>
  <c r="L571" i="1" s="1"/>
  <c r="K572" i="1"/>
  <c r="L572" i="1" s="1"/>
  <c r="K573" i="1"/>
  <c r="L573" i="1" s="1"/>
  <c r="K574" i="1"/>
  <c r="L574" i="1" s="1"/>
  <c r="K575" i="1"/>
  <c r="L575" i="1" s="1"/>
  <c r="K576" i="1"/>
  <c r="L576" i="1" s="1"/>
  <c r="K577" i="1"/>
  <c r="L577" i="1" s="1"/>
  <c r="K578" i="1"/>
  <c r="L578" i="1" s="1"/>
  <c r="K579" i="1"/>
  <c r="L579" i="1" s="1"/>
  <c r="K580" i="1"/>
  <c r="L580" i="1" s="1"/>
  <c r="K581" i="1"/>
  <c r="L581" i="1" s="1"/>
  <c r="K582" i="1"/>
  <c r="L582" i="1" s="1"/>
  <c r="K583" i="1"/>
  <c r="L583" i="1" s="1"/>
  <c r="K584" i="1"/>
  <c r="L584" i="1" s="1"/>
  <c r="K585" i="1"/>
  <c r="K586" i="1"/>
  <c r="L586" i="1" s="1"/>
  <c r="K587" i="1"/>
  <c r="L587" i="1" s="1"/>
  <c r="K588" i="1"/>
  <c r="L588" i="1" s="1"/>
  <c r="K589" i="1"/>
  <c r="L589" i="1" s="1"/>
  <c r="K590" i="1"/>
  <c r="L590" i="1" s="1"/>
  <c r="K591" i="1"/>
  <c r="L591" i="1" s="1"/>
  <c r="K592" i="1"/>
  <c r="L592" i="1" s="1"/>
  <c r="K593" i="1"/>
  <c r="L593" i="1" s="1"/>
  <c r="K594" i="1"/>
  <c r="L594" i="1" s="1"/>
  <c r="K595" i="1"/>
  <c r="L595" i="1" s="1"/>
  <c r="K596" i="1"/>
  <c r="L596" i="1" s="1"/>
  <c r="K597" i="1"/>
  <c r="L597" i="1" s="1"/>
  <c r="K598" i="1"/>
  <c r="L598" i="1" s="1"/>
  <c r="K599" i="1"/>
  <c r="L599" i="1" s="1"/>
  <c r="K600" i="1"/>
  <c r="L600" i="1" s="1"/>
  <c r="K601" i="1"/>
  <c r="L601" i="1" s="1"/>
  <c r="K602" i="1"/>
  <c r="L602" i="1" s="1"/>
  <c r="K603" i="1"/>
  <c r="L603" i="1" s="1"/>
  <c r="K604" i="1"/>
  <c r="L604" i="1" s="1"/>
  <c r="K605" i="1"/>
  <c r="L605" i="1" s="1"/>
  <c r="K606" i="1"/>
  <c r="L606" i="1" s="1"/>
  <c r="K607" i="1"/>
  <c r="L607" i="1" s="1"/>
  <c r="K608" i="1"/>
  <c r="L608" i="1" s="1"/>
  <c r="K609" i="1"/>
  <c r="K610" i="1"/>
  <c r="L610" i="1" s="1"/>
  <c r="K611" i="1"/>
  <c r="L611" i="1" s="1"/>
  <c r="K612" i="1"/>
  <c r="L612" i="1" s="1"/>
  <c r="K613" i="1"/>
  <c r="L613" i="1" s="1"/>
  <c r="K614" i="1"/>
  <c r="L614" i="1" s="1"/>
  <c r="K615" i="1"/>
  <c r="L615" i="1" s="1"/>
  <c r="K616" i="1"/>
  <c r="L616" i="1" s="1"/>
  <c r="K617" i="1"/>
  <c r="L617" i="1" s="1"/>
  <c r="K618" i="1"/>
  <c r="L618" i="1" s="1"/>
  <c r="K619" i="1"/>
  <c r="L619" i="1" s="1"/>
  <c r="K620" i="1"/>
  <c r="L620" i="1" s="1"/>
  <c r="K621" i="1"/>
  <c r="L621" i="1" s="1"/>
  <c r="K622" i="1"/>
  <c r="L622" i="1" s="1"/>
  <c r="K623" i="1"/>
  <c r="L623" i="1" s="1"/>
  <c r="K624" i="1"/>
  <c r="L624" i="1" s="1"/>
  <c r="K625" i="1"/>
  <c r="L625" i="1" s="1"/>
  <c r="K626" i="1"/>
  <c r="L626" i="1" s="1"/>
  <c r="K627" i="1"/>
  <c r="L627" i="1" s="1"/>
  <c r="K628" i="1"/>
  <c r="L628" i="1" s="1"/>
  <c r="L336" i="1"/>
  <c r="L344" i="1"/>
  <c r="L352" i="1"/>
  <c r="L353" i="1"/>
  <c r="L360" i="1"/>
  <c r="L376" i="1"/>
  <c r="L377" i="1"/>
  <c r="L400" i="1"/>
  <c r="L401" i="1"/>
  <c r="L402" i="1"/>
  <c r="L415" i="1"/>
  <c r="L416" i="1"/>
  <c r="L425" i="1"/>
  <c r="L426" i="1"/>
  <c r="L431" i="1"/>
  <c r="L440" i="1"/>
  <c r="L455" i="1"/>
  <c r="L457" i="1"/>
  <c r="L497" i="1"/>
  <c r="L503" i="1"/>
  <c r="L537" i="1"/>
  <c r="L585" i="1"/>
  <c r="L609"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K255" i="1"/>
  <c r="L255" i="1" s="1"/>
  <c r="K256" i="1"/>
  <c r="L256" i="1" s="1"/>
  <c r="K257" i="1"/>
  <c r="L257" i="1" s="1"/>
  <c r="K258" i="1"/>
  <c r="L258" i="1" s="1"/>
  <c r="K259" i="1"/>
  <c r="L259" i="1" s="1"/>
  <c r="K260" i="1"/>
  <c r="L260" i="1" s="1"/>
  <c r="K261" i="1"/>
  <c r="L261" i="1" s="1"/>
  <c r="K262" i="1"/>
  <c r="L262" i="1" s="1"/>
  <c r="K263" i="1"/>
  <c r="L263" i="1" s="1"/>
  <c r="K264" i="1"/>
  <c r="L264" i="1" s="1"/>
  <c r="K265" i="1"/>
  <c r="L265" i="1" s="1"/>
  <c r="K266" i="1"/>
  <c r="L266" i="1" s="1"/>
  <c r="K267" i="1"/>
  <c r="L267" i="1" s="1"/>
  <c r="K268" i="1"/>
  <c r="L268" i="1" s="1"/>
  <c r="K269" i="1"/>
  <c r="L269" i="1" s="1"/>
  <c r="K270" i="1"/>
  <c r="L270" i="1" s="1"/>
  <c r="K271" i="1"/>
  <c r="L271" i="1" s="1"/>
  <c r="K272" i="1"/>
  <c r="L272" i="1" s="1"/>
  <c r="K273" i="1"/>
  <c r="L273" i="1" s="1"/>
  <c r="K274" i="1"/>
  <c r="L274" i="1" s="1"/>
  <c r="K275" i="1"/>
  <c r="L275" i="1" s="1"/>
  <c r="K276" i="1"/>
  <c r="K277" i="1"/>
  <c r="L277" i="1" s="1"/>
  <c r="K278" i="1"/>
  <c r="L278" i="1" s="1"/>
  <c r="K279" i="1"/>
  <c r="L279" i="1" s="1"/>
  <c r="K280" i="1"/>
  <c r="L280" i="1" s="1"/>
  <c r="K281" i="1"/>
  <c r="L281" i="1" s="1"/>
  <c r="K282" i="1"/>
  <c r="L282" i="1" s="1"/>
  <c r="K283" i="1"/>
  <c r="L283" i="1" s="1"/>
  <c r="K284" i="1"/>
  <c r="L284" i="1" s="1"/>
  <c r="K285" i="1"/>
  <c r="L285" i="1" s="1"/>
  <c r="K286" i="1"/>
  <c r="L286" i="1" s="1"/>
  <c r="K287" i="1"/>
  <c r="L287" i="1" s="1"/>
  <c r="K288" i="1"/>
  <c r="L288" i="1" s="1"/>
  <c r="K289" i="1"/>
  <c r="L289" i="1" s="1"/>
  <c r="K290" i="1"/>
  <c r="L290" i="1" s="1"/>
  <c r="K291" i="1"/>
  <c r="L291" i="1" s="1"/>
  <c r="K292" i="1"/>
  <c r="L292" i="1" s="1"/>
  <c r="K293" i="1"/>
  <c r="L293" i="1" s="1"/>
  <c r="K294" i="1"/>
  <c r="L294" i="1" s="1"/>
  <c r="K295" i="1"/>
  <c r="L295" i="1" s="1"/>
  <c r="K296" i="1"/>
  <c r="L296" i="1" s="1"/>
  <c r="K297" i="1"/>
  <c r="L297" i="1" s="1"/>
  <c r="K298" i="1"/>
  <c r="L298" i="1" s="1"/>
  <c r="K299" i="1"/>
  <c r="L299" i="1" s="1"/>
  <c r="K300" i="1"/>
  <c r="L300" i="1" s="1"/>
  <c r="K301" i="1"/>
  <c r="L301" i="1" s="1"/>
  <c r="K302" i="1"/>
  <c r="L302" i="1" s="1"/>
  <c r="K303" i="1"/>
  <c r="L303" i="1" s="1"/>
  <c r="K304" i="1"/>
  <c r="L304" i="1" s="1"/>
  <c r="K305" i="1"/>
  <c r="L305" i="1" s="1"/>
  <c r="K306" i="1"/>
  <c r="L306" i="1" s="1"/>
  <c r="K307" i="1"/>
  <c r="L307" i="1" s="1"/>
  <c r="K308" i="1"/>
  <c r="L308" i="1" s="1"/>
  <c r="K309" i="1"/>
  <c r="L309" i="1" s="1"/>
  <c r="K310" i="1"/>
  <c r="L310" i="1" s="1"/>
  <c r="K311" i="1"/>
  <c r="L311" i="1" s="1"/>
  <c r="K312" i="1"/>
  <c r="L312" i="1" s="1"/>
  <c r="K313" i="1"/>
  <c r="L313" i="1" s="1"/>
  <c r="K314" i="1"/>
  <c r="L314" i="1" s="1"/>
  <c r="K315" i="1"/>
  <c r="L315" i="1" s="1"/>
  <c r="K316" i="1"/>
  <c r="L316" i="1" s="1"/>
  <c r="K317" i="1"/>
  <c r="L317" i="1" s="1"/>
  <c r="K318" i="1"/>
  <c r="L318" i="1" s="1"/>
  <c r="K319" i="1"/>
  <c r="L319" i="1" s="1"/>
  <c r="K320" i="1"/>
  <c r="L320" i="1" s="1"/>
  <c r="K321" i="1"/>
  <c r="L321" i="1" s="1"/>
  <c r="K322" i="1"/>
  <c r="L322" i="1" s="1"/>
  <c r="K323" i="1"/>
  <c r="L323" i="1" s="1"/>
  <c r="K324" i="1"/>
  <c r="L324" i="1" s="1"/>
  <c r="K325" i="1"/>
  <c r="L325" i="1" s="1"/>
  <c r="K326" i="1"/>
  <c r="L326" i="1" s="1"/>
  <c r="K327" i="1"/>
  <c r="L327" i="1" s="1"/>
  <c r="K328" i="1"/>
  <c r="L328" i="1" s="1"/>
  <c r="K329" i="1"/>
  <c r="L329" i="1" s="1"/>
  <c r="K330" i="1"/>
  <c r="L330" i="1" s="1"/>
  <c r="K331" i="1"/>
  <c r="L331" i="1" s="1"/>
  <c r="L276"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F64" i="66" l="1"/>
  <c r="F65" i="66"/>
  <c r="E65" i="66"/>
  <c r="C322" i="21"/>
  <c r="C1379" i="21"/>
  <c r="C1866" i="21"/>
  <c r="B27" i="66" l="1"/>
  <c r="B50" i="66" s="1"/>
  <c r="B28" i="66"/>
  <c r="B51" i="66" s="1"/>
  <c r="C1466" i="21" l="1"/>
  <c r="C1489" i="21"/>
  <c r="C1674" i="21"/>
  <c r="C1682" i="21"/>
  <c r="C118" i="21"/>
  <c r="C588" i="21"/>
  <c r="C668" i="21"/>
  <c r="C1669" i="21"/>
  <c r="C1677" i="21"/>
  <c r="L48" i="73" l="1"/>
  <c r="J48" i="73"/>
  <c r="G48" i="73"/>
  <c r="M47" i="73"/>
  <c r="J47" i="73"/>
  <c r="G47" i="73"/>
  <c r="F47" i="73" l="1"/>
  <c r="I47" i="73"/>
  <c r="F48" i="73"/>
  <c r="M48" i="73"/>
  <c r="I48" i="73"/>
  <c r="L47" i="73"/>
  <c r="C458" i="21"/>
  <c r="C478" i="21"/>
  <c r="C503" i="21"/>
  <c r="C892" i="21"/>
  <c r="C922" i="21"/>
  <c r="C1140" i="21"/>
  <c r="C1173" i="21"/>
  <c r="C1482" i="21"/>
  <c r="C1573" i="21"/>
  <c r="C1643" i="21"/>
  <c r="C252" i="21"/>
  <c r="C253" i="21"/>
  <c r="C1760" i="21"/>
  <c r="C1855" i="21"/>
  <c r="B26" i="66"/>
  <c r="C35" i="21" l="1"/>
  <c r="C82" i="21"/>
  <c r="C321" i="21"/>
  <c r="C445" i="21"/>
  <c r="C484" i="21"/>
  <c r="C683" i="21"/>
  <c r="C694" i="21"/>
  <c r="C699" i="21"/>
  <c r="C700" i="21"/>
  <c r="C701" i="21"/>
  <c r="C702" i="21"/>
  <c r="C746" i="21"/>
  <c r="C747" i="21"/>
  <c r="C959" i="21"/>
  <c r="C990" i="21"/>
  <c r="C1016" i="21"/>
  <c r="C1236" i="21"/>
  <c r="C1203" i="21"/>
  <c r="C1204" i="21"/>
  <c r="C1205" i="21"/>
  <c r="C1206" i="21"/>
  <c r="C1208" i="21"/>
  <c r="C1244" i="21"/>
  <c r="C1383" i="21"/>
  <c r="C1395" i="21"/>
  <c r="C1396" i="21"/>
  <c r="C1611" i="21"/>
  <c r="C1755" i="21"/>
  <c r="C1757" i="21"/>
  <c r="C1764" i="21"/>
  <c r="C1767" i="21"/>
  <c r="C80" i="21"/>
  <c r="C96" i="21"/>
  <c r="C97" i="21"/>
  <c r="C140" i="21"/>
  <c r="C141" i="21"/>
  <c r="C193" i="21"/>
  <c r="C213" i="21"/>
  <c r="C364" i="21"/>
  <c r="C493" i="21"/>
  <c r="C535" i="21"/>
  <c r="C536" i="21"/>
  <c r="C568" i="21"/>
  <c r="C657" i="21"/>
  <c r="C729" i="21"/>
  <c r="C732" i="21"/>
  <c r="C755" i="21"/>
  <c r="C756" i="21"/>
  <c r="C799" i="21"/>
  <c r="C1042" i="21"/>
  <c r="C1070" i="21"/>
  <c r="C1071" i="21"/>
  <c r="C1116" i="21"/>
  <c r="C1159" i="21"/>
  <c r="C1160" i="21"/>
  <c r="C1171" i="21"/>
  <c r="C1172" i="21"/>
  <c r="C1174" i="21"/>
  <c r="C1198" i="21"/>
  <c r="C1299" i="21"/>
  <c r="C1316" i="21"/>
  <c r="C1319" i="21"/>
  <c r="C1322" i="21"/>
  <c r="C1332" i="21"/>
  <c r="C1336" i="21"/>
  <c r="C1340" i="21"/>
  <c r="C1343" i="21"/>
  <c r="C1381" i="21"/>
  <c r="C1413" i="21"/>
  <c r="C1457" i="21"/>
  <c r="C1463" i="21"/>
  <c r="C1490" i="21"/>
  <c r="C1531" i="21"/>
  <c r="C1543" i="21"/>
  <c r="C1571" i="21"/>
  <c r="C1572" i="21"/>
  <c r="C1574" i="21"/>
  <c r="C1610" i="21"/>
  <c r="C1652" i="21"/>
  <c r="C1653" i="21"/>
  <c r="C1735" i="21"/>
  <c r="C1753" i="21"/>
  <c r="C1779" i="21"/>
  <c r="C1849" i="21"/>
  <c r="C1851" i="21"/>
  <c r="C1861" i="21"/>
  <c r="I518" i="21" l="1"/>
  <c r="C55" i="21" l="1"/>
  <c r="C56" i="21"/>
  <c r="C87" i="21"/>
  <c r="C105" i="21"/>
  <c r="C161" i="21"/>
  <c r="C163" i="21"/>
  <c r="C179" i="21"/>
  <c r="C334" i="21"/>
  <c r="C403" i="21"/>
  <c r="C447" i="21"/>
  <c r="C494" i="21"/>
  <c r="C557" i="21"/>
  <c r="C558" i="21"/>
  <c r="C559" i="21"/>
  <c r="C574" i="21"/>
  <c r="C613" i="21"/>
  <c r="C956" i="21"/>
  <c r="C957" i="21"/>
  <c r="C958" i="21"/>
  <c r="C1007" i="21"/>
  <c r="C1118" i="21"/>
  <c r="C1120" i="21"/>
  <c r="C1122" i="21"/>
  <c r="C1129" i="21"/>
  <c r="C1186" i="21"/>
  <c r="C1187" i="21"/>
  <c r="C1188" i="21"/>
  <c r="C1189" i="21"/>
  <c r="C1475" i="21"/>
  <c r="C1477" i="21"/>
  <c r="C1585" i="21"/>
  <c r="C1587" i="21"/>
  <c r="C1588" i="21"/>
  <c r="C1589" i="21"/>
  <c r="C1634" i="21"/>
  <c r="C91" i="21"/>
  <c r="C169" i="21"/>
  <c r="C237" i="21"/>
  <c r="C561" i="21"/>
  <c r="C562" i="21"/>
  <c r="C563" i="21"/>
  <c r="C667" i="21"/>
  <c r="C834" i="21"/>
  <c r="C954" i="21"/>
  <c r="C955" i="21"/>
  <c r="C1121" i="21"/>
  <c r="C1291" i="21"/>
  <c r="C1292" i="21"/>
  <c r="C1295" i="21"/>
  <c r="C1368" i="21"/>
  <c r="C1468" i="21"/>
  <c r="C1635" i="21"/>
  <c r="C1664" i="21"/>
  <c r="C1706" i="21"/>
  <c r="C1740" i="21"/>
  <c r="B49" i="66" l="1"/>
  <c r="B66" i="66" l="1"/>
  <c r="E50" i="66"/>
  <c r="D50" i="66" l="1"/>
  <c r="D58" i="66"/>
  <c r="D56" i="66"/>
  <c r="D61" i="66"/>
  <c r="D60" i="66"/>
  <c r="D62" i="66"/>
  <c r="D63" i="66"/>
  <c r="D53" i="66"/>
  <c r="D52" i="66"/>
  <c r="D54" i="66"/>
  <c r="D64" i="66"/>
  <c r="D55" i="66"/>
  <c r="D59" i="66"/>
  <c r="D65" i="66"/>
  <c r="D57" i="66"/>
  <c r="D51" i="66"/>
  <c r="D49" i="66"/>
  <c r="C435" i="21" l="1"/>
  <c r="C436" i="21"/>
  <c r="C438" i="21"/>
  <c r="C439" i="21"/>
  <c r="C486" i="21"/>
  <c r="C735" i="21"/>
  <c r="C1130" i="21"/>
  <c r="C1385" i="21"/>
  <c r="C1626" i="21"/>
  <c r="C1628" i="21"/>
  <c r="C1630" i="21"/>
  <c r="C1631" i="21"/>
  <c r="C1695" i="21"/>
  <c r="C78" i="21"/>
  <c r="C194" i="21"/>
  <c r="C365" i="21"/>
  <c r="C423" i="21"/>
  <c r="C658" i="21"/>
  <c r="C665" i="21"/>
  <c r="C738" i="21"/>
  <c r="C1043" i="21"/>
  <c r="C1117" i="21"/>
  <c r="C1265" i="21"/>
  <c r="C1464" i="21"/>
  <c r="C1488" i="21"/>
  <c r="C1491" i="21"/>
  <c r="C1532" i="21"/>
  <c r="C1544" i="21"/>
  <c r="C1736" i="21"/>
  <c r="F8" i="66" l="1"/>
  <c r="K2" i="4" l="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M46" i="73" l="1"/>
  <c r="L45" i="73"/>
  <c r="M44" i="73"/>
  <c r="M43" i="73"/>
  <c r="L42" i="73"/>
  <c r="I45" i="73"/>
  <c r="I44" i="73"/>
  <c r="I43" i="73"/>
  <c r="I41" i="73"/>
  <c r="I40" i="73"/>
  <c r="I39" i="73"/>
  <c r="I38" i="73"/>
  <c r="I37" i="73"/>
  <c r="I36" i="73"/>
  <c r="I35" i="73"/>
  <c r="I34" i="73"/>
  <c r="I33" i="73"/>
  <c r="I32" i="73"/>
  <c r="I31" i="73"/>
  <c r="I30" i="73"/>
  <c r="I29" i="73"/>
  <c r="I28" i="73"/>
  <c r="I27" i="73"/>
  <c r="I26" i="73"/>
  <c r="I25" i="73"/>
  <c r="I24" i="73"/>
  <c r="I23" i="73"/>
  <c r="I22" i="73"/>
  <c r="I21" i="73"/>
  <c r="I20" i="73"/>
  <c r="I19" i="73"/>
  <c r="I18" i="73"/>
  <c r="I17" i="73"/>
  <c r="I16" i="73"/>
  <c r="I15" i="73"/>
  <c r="I14" i="73"/>
  <c r="I13" i="73"/>
  <c r="I12" i="73"/>
  <c r="I11" i="73"/>
  <c r="I10" i="73"/>
  <c r="I9" i="73"/>
  <c r="I8" i="73"/>
  <c r="I7" i="73"/>
  <c r="I6" i="73"/>
  <c r="I5" i="73"/>
  <c r="I4" i="73"/>
  <c r="F46" i="73"/>
  <c r="G45" i="73"/>
  <c r="F44" i="73"/>
  <c r="G43" i="73"/>
  <c r="F42" i="73"/>
  <c r="M42" i="73" l="1"/>
  <c r="J46" i="73"/>
  <c r="I46" i="73"/>
  <c r="J42" i="73"/>
  <c r="I42" i="73"/>
  <c r="J44" i="73"/>
  <c r="J43" i="73"/>
  <c r="F43" i="73"/>
  <c r="L44" i="73"/>
  <c r="M45" i="73"/>
  <c r="J45" i="73"/>
  <c r="F45" i="73"/>
  <c r="G46" i="73"/>
  <c r="G42" i="73"/>
  <c r="L46" i="73"/>
  <c r="G44" i="73"/>
  <c r="L43" i="73"/>
  <c r="E51" i="66" l="1"/>
  <c r="C211" i="21" l="1"/>
  <c r="C312" i="21"/>
  <c r="C408" i="21"/>
  <c r="C422" i="21"/>
  <c r="C457" i="21"/>
  <c r="C507" i="21"/>
  <c r="C529" i="21"/>
  <c r="C813" i="21"/>
  <c r="C842" i="21"/>
  <c r="C1146" i="21"/>
  <c r="C1597" i="21"/>
  <c r="C1598" i="21"/>
  <c r="C280" i="21"/>
  <c r="C407" i="21"/>
  <c r="C617" i="21"/>
  <c r="C731" i="21"/>
  <c r="C845" i="21"/>
  <c r="C853" i="21"/>
  <c r="C903" i="21"/>
  <c r="C909" i="21"/>
  <c r="C939" i="21"/>
  <c r="C945" i="21"/>
  <c r="C1590" i="21"/>
  <c r="A200" i="1" l="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K200" i="1"/>
  <c r="L200" i="1" s="1"/>
  <c r="K201" i="1"/>
  <c r="L201" i="1" s="1"/>
  <c r="K202" i="1"/>
  <c r="L202" i="1" s="1"/>
  <c r="K203" i="1"/>
  <c r="L203" i="1" s="1"/>
  <c r="K204" i="1"/>
  <c r="L204" i="1" s="1"/>
  <c r="K205" i="1"/>
  <c r="L205" i="1" s="1"/>
  <c r="K206" i="1"/>
  <c r="L206" i="1" s="1"/>
  <c r="K207" i="1"/>
  <c r="L207" i="1" s="1"/>
  <c r="K208" i="1"/>
  <c r="L208" i="1" s="1"/>
  <c r="K209" i="1"/>
  <c r="L209" i="1" s="1"/>
  <c r="K210" i="1"/>
  <c r="L210" i="1" s="1"/>
  <c r="K211" i="1"/>
  <c r="L211" i="1" s="1"/>
  <c r="K212" i="1"/>
  <c r="L212" i="1" s="1"/>
  <c r="K213" i="1"/>
  <c r="L213" i="1" s="1"/>
  <c r="K214" i="1"/>
  <c r="L214" i="1" s="1"/>
  <c r="K215" i="1"/>
  <c r="L215" i="1" s="1"/>
  <c r="K216" i="1"/>
  <c r="L216" i="1" s="1"/>
  <c r="K217" i="1"/>
  <c r="L217" i="1" s="1"/>
  <c r="K218" i="1"/>
  <c r="L218" i="1" s="1"/>
  <c r="K219" i="1"/>
  <c r="L219" i="1" s="1"/>
  <c r="K220" i="1"/>
  <c r="L220" i="1" s="1"/>
  <c r="K221" i="1"/>
  <c r="L221" i="1" s="1"/>
  <c r="K222" i="1"/>
  <c r="L222" i="1" s="1"/>
  <c r="K223" i="1"/>
  <c r="L223" i="1" s="1"/>
  <c r="K224" i="1"/>
  <c r="L224" i="1" s="1"/>
  <c r="K225" i="1"/>
  <c r="L225" i="1" s="1"/>
  <c r="K226" i="1"/>
  <c r="L226" i="1" s="1"/>
  <c r="K227" i="1"/>
  <c r="L227" i="1" s="1"/>
  <c r="K228" i="1"/>
  <c r="L228" i="1" s="1"/>
  <c r="K229" i="1"/>
  <c r="L229" i="1" s="1"/>
  <c r="K230" i="1"/>
  <c r="L230" i="1" s="1"/>
  <c r="K231" i="1"/>
  <c r="L231" i="1" s="1"/>
  <c r="K232" i="1"/>
  <c r="L232" i="1" s="1"/>
  <c r="K233" i="1"/>
  <c r="L233" i="1" s="1"/>
  <c r="K234" i="1"/>
  <c r="L234" i="1" s="1"/>
  <c r="K235" i="1"/>
  <c r="L235" i="1" s="1"/>
  <c r="K236" i="1"/>
  <c r="L236" i="1" s="1"/>
  <c r="K237" i="1"/>
  <c r="L237" i="1" s="1"/>
  <c r="K238" i="1"/>
  <c r="L238" i="1" s="1"/>
  <c r="K239" i="1"/>
  <c r="L239" i="1" s="1"/>
  <c r="K240" i="1"/>
  <c r="L240" i="1" s="1"/>
  <c r="K241" i="1"/>
  <c r="L241" i="1" s="1"/>
  <c r="K242" i="1"/>
  <c r="L242" i="1" s="1"/>
  <c r="K243" i="1"/>
  <c r="L243" i="1" s="1"/>
  <c r="K244" i="1"/>
  <c r="L244" i="1" s="1"/>
  <c r="K245" i="1"/>
  <c r="L245" i="1" s="1"/>
  <c r="K246" i="1"/>
  <c r="L246" i="1" s="1"/>
  <c r="K247" i="1"/>
  <c r="L247" i="1" s="1"/>
  <c r="K248" i="1"/>
  <c r="L248" i="1" s="1"/>
  <c r="K249" i="1"/>
  <c r="L249" i="1" s="1"/>
  <c r="K250" i="1"/>
  <c r="L250" i="1" s="1"/>
  <c r="K251" i="1"/>
  <c r="L251" i="1" s="1"/>
  <c r="K252" i="1"/>
  <c r="L252" i="1" s="1"/>
  <c r="K253" i="1"/>
  <c r="L253" i="1" s="1"/>
  <c r="K254" i="1"/>
  <c r="L254" i="1" s="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F2" i="66" l="1"/>
  <c r="F3" i="66"/>
  <c r="F4" i="66"/>
  <c r="F5" i="66"/>
  <c r="F6" i="66"/>
  <c r="F7" i="66"/>
  <c r="V5" i="66"/>
  <c r="V4" i="66"/>
  <c r="V3" i="66"/>
  <c r="V2" i="66"/>
  <c r="C305" i="21" l="1"/>
  <c r="C863" i="21"/>
  <c r="C1107" i="21"/>
  <c r="C1168" i="21"/>
  <c r="C1169" i="21"/>
  <c r="C1568" i="21"/>
  <c r="C1569" i="21"/>
  <c r="C1703" i="21"/>
  <c r="F50" i="66" l="1"/>
  <c r="Q5" i="70"/>
  <c r="L143" i="4" l="1"/>
  <c r="L144" i="4"/>
  <c r="L145" i="4"/>
  <c r="L146" i="4"/>
  <c r="L147"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148"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C459" i="21" l="1"/>
  <c r="C479" i="21"/>
  <c r="C504" i="21"/>
  <c r="C542" i="21"/>
  <c r="C681" i="21"/>
  <c r="C893" i="21"/>
  <c r="C923" i="21"/>
  <c r="C1141" i="21"/>
  <c r="C1483" i="21"/>
  <c r="C1644" i="21"/>
  <c r="C31" i="21"/>
  <c r="C335" i="21"/>
  <c r="C680" i="21"/>
  <c r="C861" i="21"/>
  <c r="C988" i="21"/>
  <c r="C1088" i="21"/>
  <c r="C1106" i="21"/>
  <c r="C1167" i="21"/>
  <c r="C1178" i="21"/>
  <c r="C1234" i="21"/>
  <c r="C1192" i="21"/>
  <c r="C1193" i="21"/>
  <c r="C1382" i="21"/>
  <c r="C1567" i="21"/>
  <c r="C1578" i="21"/>
  <c r="C1711" i="21"/>
  <c r="C1712" i="21"/>
  <c r="M5" i="73" l="1"/>
  <c r="M6" i="73"/>
  <c r="M7" i="73"/>
  <c r="L8" i="73"/>
  <c r="O8" i="73" s="1"/>
  <c r="L9" i="73"/>
  <c r="L10" i="73"/>
  <c r="L11" i="73"/>
  <c r="M12" i="73"/>
  <c r="M13" i="73"/>
  <c r="M14" i="73"/>
  <c r="L15" i="73"/>
  <c r="M16" i="73"/>
  <c r="M17" i="73"/>
  <c r="L18" i="73"/>
  <c r="L19" i="73"/>
  <c r="M20" i="73"/>
  <c r="M21" i="73"/>
  <c r="M22" i="73"/>
  <c r="M23" i="73"/>
  <c r="M24" i="73"/>
  <c r="M25" i="73"/>
  <c r="L26" i="73"/>
  <c r="L27" i="73"/>
  <c r="M28" i="73"/>
  <c r="M29" i="73"/>
  <c r="M30" i="73"/>
  <c r="L31" i="73"/>
  <c r="L32" i="73"/>
  <c r="L33" i="73"/>
  <c r="L34" i="73"/>
  <c r="L35" i="73"/>
  <c r="M36" i="73"/>
  <c r="M37" i="73"/>
  <c r="M38" i="73"/>
  <c r="L39" i="73"/>
  <c r="M40" i="73"/>
  <c r="M41" i="73"/>
  <c r="M4" i="73"/>
  <c r="J6" i="73"/>
  <c r="J7" i="73"/>
  <c r="J11" i="73"/>
  <c r="J12" i="73"/>
  <c r="J14" i="73"/>
  <c r="J15" i="73"/>
  <c r="J17" i="73"/>
  <c r="J19" i="73"/>
  <c r="J20" i="73"/>
  <c r="J21" i="73"/>
  <c r="J22" i="73"/>
  <c r="J23" i="73"/>
  <c r="J27" i="73"/>
  <c r="J28" i="73"/>
  <c r="J30" i="73"/>
  <c r="J31" i="73"/>
  <c r="J33" i="73"/>
  <c r="J35" i="73"/>
  <c r="J36" i="73"/>
  <c r="J37" i="73"/>
  <c r="J38" i="73"/>
  <c r="J39" i="73"/>
  <c r="G5" i="73"/>
  <c r="G6" i="73"/>
  <c r="G7" i="73"/>
  <c r="F8" i="73"/>
  <c r="G9" i="73"/>
  <c r="G10" i="73"/>
  <c r="F11" i="73"/>
  <c r="G12" i="73"/>
  <c r="G13" i="73"/>
  <c r="G14" i="73"/>
  <c r="G15" i="73"/>
  <c r="F16" i="73"/>
  <c r="G17" i="73"/>
  <c r="G18" i="73"/>
  <c r="F19" i="73"/>
  <c r="F20" i="73"/>
  <c r="F21" i="73"/>
  <c r="G22" i="73"/>
  <c r="G23" i="73"/>
  <c r="F24" i="73"/>
  <c r="G25" i="73"/>
  <c r="G26" i="73"/>
  <c r="F27" i="73"/>
  <c r="G28" i="73"/>
  <c r="G29" i="73"/>
  <c r="G30" i="73"/>
  <c r="G31" i="73"/>
  <c r="F32" i="73"/>
  <c r="G33" i="73"/>
  <c r="G34" i="73"/>
  <c r="F35" i="73"/>
  <c r="F36" i="73"/>
  <c r="G37" i="73"/>
  <c r="G38" i="73"/>
  <c r="G39" i="73"/>
  <c r="F40" i="73"/>
  <c r="G4" i="73" l="1"/>
  <c r="F4" i="73"/>
  <c r="F33" i="73"/>
  <c r="F29" i="73"/>
  <c r="L25" i="73"/>
  <c r="L24" i="73"/>
  <c r="F37" i="73"/>
  <c r="J8" i="73"/>
  <c r="L17" i="73"/>
  <c r="F5" i="73"/>
  <c r="G21" i="73"/>
  <c r="J24" i="73"/>
  <c r="L7" i="73"/>
  <c r="F6" i="73"/>
  <c r="J25" i="73"/>
  <c r="F13" i="73"/>
  <c r="G40" i="73"/>
  <c r="J32" i="73"/>
  <c r="M9" i="73"/>
  <c r="F14" i="73"/>
  <c r="F25" i="73"/>
  <c r="L41" i="73"/>
  <c r="F9" i="73"/>
  <c r="F30" i="73"/>
  <c r="G24" i="73"/>
  <c r="J9" i="73"/>
  <c r="J29" i="73"/>
  <c r="L23" i="73"/>
  <c r="M8" i="73"/>
  <c r="M31" i="73"/>
  <c r="J5" i="73"/>
  <c r="M32" i="73"/>
  <c r="G8" i="73"/>
  <c r="J13" i="73"/>
  <c r="L40" i="73"/>
  <c r="L16" i="73"/>
  <c r="M15" i="73"/>
  <c r="M39" i="73"/>
  <c r="G19" i="73"/>
  <c r="G27" i="73"/>
  <c r="F17" i="73"/>
  <c r="F38" i="73"/>
  <c r="G11" i="73"/>
  <c r="G32" i="73"/>
  <c r="J16" i="73"/>
  <c r="F41" i="73"/>
  <c r="G35" i="73"/>
  <c r="J40" i="73"/>
  <c r="F22" i="73"/>
  <c r="G16" i="73"/>
  <c r="J41" i="73"/>
  <c r="L4" i="73"/>
  <c r="F28" i="73"/>
  <c r="G20" i="73"/>
  <c r="G36" i="73"/>
  <c r="J10" i="73"/>
  <c r="J26" i="73"/>
  <c r="J34" i="73"/>
  <c r="M33" i="73"/>
  <c r="J18" i="73"/>
  <c r="F7" i="73"/>
  <c r="F15" i="73"/>
  <c r="F23" i="73"/>
  <c r="F31" i="73"/>
  <c r="F39" i="73"/>
  <c r="L38" i="73"/>
  <c r="L30" i="73"/>
  <c r="L22" i="73"/>
  <c r="L14" i="73"/>
  <c r="L6" i="73"/>
  <c r="M10" i="73"/>
  <c r="M18" i="73"/>
  <c r="M26" i="73"/>
  <c r="M34" i="73"/>
  <c r="J4" i="73"/>
  <c r="L37" i="73"/>
  <c r="L29" i="73"/>
  <c r="L21" i="73"/>
  <c r="L13" i="73"/>
  <c r="L5" i="73"/>
  <c r="M11" i="73"/>
  <c r="M19" i="73"/>
  <c r="M27" i="73"/>
  <c r="M35" i="73"/>
  <c r="L36" i="73"/>
  <c r="L28" i="73"/>
  <c r="L20" i="73"/>
  <c r="L12" i="73"/>
  <c r="F12" i="73"/>
  <c r="F10" i="73"/>
  <c r="F18" i="73"/>
  <c r="F26" i="73"/>
  <c r="F34" i="73"/>
  <c r="C158" i="21" l="1"/>
  <c r="C320" i="21"/>
  <c r="C339" i="21"/>
  <c r="C775" i="21"/>
  <c r="C1155" i="21"/>
  <c r="C1270" i="21"/>
  <c r="C1671" i="21"/>
  <c r="C1679" i="21"/>
  <c r="C1707" i="21"/>
  <c r="C1708" i="21"/>
  <c r="C1723" i="21"/>
  <c r="C171" i="21"/>
  <c r="C257" i="21"/>
  <c r="C645" i="21"/>
  <c r="C670" i="21"/>
  <c r="C1854" i="21"/>
  <c r="C185" i="21" l="1"/>
  <c r="C256" i="21"/>
  <c r="C266" i="21"/>
  <c r="C304" i="21"/>
  <c r="C642" i="21"/>
  <c r="C685" i="21"/>
  <c r="C686" i="21"/>
  <c r="C739" i="21"/>
  <c r="C1010" i="21"/>
  <c r="C1135" i="21"/>
  <c r="C1136" i="21"/>
  <c r="C1151" i="21"/>
  <c r="C1386" i="21"/>
  <c r="C1399" i="21"/>
  <c r="C1594" i="21"/>
  <c r="C1621" i="21"/>
  <c r="C1625" i="21"/>
  <c r="C1722" i="21"/>
  <c r="C1803" i="21"/>
  <c r="C1804" i="21"/>
  <c r="C1807" i="21"/>
  <c r="C1821" i="21"/>
  <c r="Q2" i="4" l="1"/>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6" i="18" l="1"/>
  <c r="L14" i="18"/>
  <c r="L22" i="18"/>
  <c r="L30" i="18"/>
  <c r="L38" i="18"/>
  <c r="L46" i="18"/>
  <c r="L54" i="18"/>
  <c r="L62" i="18"/>
  <c r="L70" i="18"/>
  <c r="L78" i="18"/>
  <c r="L86" i="18"/>
  <c r="L94" i="18"/>
  <c r="L102" i="18"/>
  <c r="D10" i="18"/>
  <c r="D18" i="18"/>
  <c r="D26" i="18"/>
  <c r="D34" i="18"/>
  <c r="D42" i="18"/>
  <c r="D50" i="18"/>
  <c r="D58" i="18"/>
  <c r="D66" i="18"/>
  <c r="D74" i="18"/>
  <c r="D82" i="18"/>
  <c r="D90" i="18"/>
  <c r="D98" i="18"/>
  <c r="L51" i="18"/>
  <c r="L75" i="18"/>
  <c r="D31" i="18"/>
  <c r="D87" i="18"/>
  <c r="L7" i="18"/>
  <c r="L15" i="18"/>
  <c r="L23" i="18"/>
  <c r="L31" i="18"/>
  <c r="L39" i="18"/>
  <c r="L47" i="18"/>
  <c r="L55" i="18"/>
  <c r="L63" i="18"/>
  <c r="L71" i="18"/>
  <c r="L79" i="18"/>
  <c r="L87" i="18"/>
  <c r="L95" i="18"/>
  <c r="L103" i="18"/>
  <c r="D11" i="18"/>
  <c r="D19" i="18"/>
  <c r="D27" i="18"/>
  <c r="D35" i="18"/>
  <c r="D43" i="18"/>
  <c r="D51" i="18"/>
  <c r="D59" i="18"/>
  <c r="D67" i="18"/>
  <c r="D75" i="18"/>
  <c r="D83" i="18"/>
  <c r="D91" i="18"/>
  <c r="D99" i="18"/>
  <c r="L19" i="18"/>
  <c r="L91" i="18"/>
  <c r="D55" i="18"/>
  <c r="L8" i="18"/>
  <c r="L16" i="18"/>
  <c r="L24" i="18"/>
  <c r="L32" i="18"/>
  <c r="L40" i="18"/>
  <c r="L48" i="18"/>
  <c r="N48" i="18" s="1"/>
  <c r="L56" i="18"/>
  <c r="L64" i="18"/>
  <c r="L72" i="18"/>
  <c r="L80" i="18"/>
  <c r="L88" i="18"/>
  <c r="L96" i="18"/>
  <c r="L104" i="18"/>
  <c r="D12" i="18"/>
  <c r="D20" i="18"/>
  <c r="D28" i="18"/>
  <c r="D36" i="18"/>
  <c r="D44" i="18"/>
  <c r="D52" i="18"/>
  <c r="D60" i="18"/>
  <c r="D68" i="18"/>
  <c r="D76" i="18"/>
  <c r="D84" i="18"/>
  <c r="D92" i="18"/>
  <c r="D100" i="18"/>
  <c r="L27" i="18"/>
  <c r="D7" i="18"/>
  <c r="D63" i="18"/>
  <c r="L9" i="18"/>
  <c r="L17" i="18"/>
  <c r="L25" i="18"/>
  <c r="L33" i="18"/>
  <c r="L41" i="18"/>
  <c r="L49" i="18"/>
  <c r="L57" i="18"/>
  <c r="L65" i="18"/>
  <c r="L73" i="18"/>
  <c r="L81" i="18"/>
  <c r="L89" i="18"/>
  <c r="L97" i="18"/>
  <c r="L5" i="18"/>
  <c r="D13" i="18"/>
  <c r="D21" i="18"/>
  <c r="D29" i="18"/>
  <c r="D37" i="18"/>
  <c r="D45" i="18"/>
  <c r="D53" i="18"/>
  <c r="D61" i="18"/>
  <c r="D69" i="18"/>
  <c r="D77" i="18"/>
  <c r="D85" i="18"/>
  <c r="D93" i="18"/>
  <c r="D101" i="18"/>
  <c r="L59" i="18"/>
  <c r="D23" i="18"/>
  <c r="D79" i="18"/>
  <c r="L10" i="18"/>
  <c r="L18" i="18"/>
  <c r="L26" i="18"/>
  <c r="L34" i="18"/>
  <c r="L42" i="18"/>
  <c r="L50" i="18"/>
  <c r="L58" i="18"/>
  <c r="L66" i="18"/>
  <c r="L74" i="18"/>
  <c r="L82" i="18"/>
  <c r="L90" i="18"/>
  <c r="L98" i="18"/>
  <c r="D6" i="18"/>
  <c r="D14" i="18"/>
  <c r="D22" i="18"/>
  <c r="D30" i="18"/>
  <c r="D38" i="18"/>
  <c r="D46" i="18"/>
  <c r="D54" i="18"/>
  <c r="D62" i="18"/>
  <c r="D70" i="18"/>
  <c r="D78" i="18"/>
  <c r="D86" i="18"/>
  <c r="D94" i="18"/>
  <c r="D102" i="18"/>
  <c r="L35" i="18"/>
  <c r="L83" i="18"/>
  <c r="D39" i="18"/>
  <c r="D103" i="18"/>
  <c r="L11" i="18"/>
  <c r="L12" i="18"/>
  <c r="L20" i="18"/>
  <c r="L28" i="18"/>
  <c r="L36" i="18"/>
  <c r="L44" i="18"/>
  <c r="L52" i="18"/>
  <c r="L60" i="18"/>
  <c r="L68" i="18"/>
  <c r="L76" i="18"/>
  <c r="L84" i="18"/>
  <c r="L92" i="18"/>
  <c r="L100" i="18"/>
  <c r="D8" i="18"/>
  <c r="D16" i="18"/>
  <c r="D24" i="18"/>
  <c r="D32" i="18"/>
  <c r="D40" i="18"/>
  <c r="D48" i="18"/>
  <c r="D56" i="18"/>
  <c r="D64" i="18"/>
  <c r="D72" i="18"/>
  <c r="D80" i="18"/>
  <c r="D88" i="18"/>
  <c r="D96" i="18"/>
  <c r="D104" i="18"/>
  <c r="L43" i="18"/>
  <c r="L99" i="18"/>
  <c r="D47" i="18"/>
  <c r="D95" i="18"/>
  <c r="L13" i="18"/>
  <c r="L21" i="18"/>
  <c r="L29" i="18"/>
  <c r="L37" i="18"/>
  <c r="L45" i="18"/>
  <c r="L53" i="18"/>
  <c r="L61" i="18"/>
  <c r="L69" i="18"/>
  <c r="L77" i="18"/>
  <c r="L85" i="18"/>
  <c r="L93" i="18"/>
  <c r="L101" i="18"/>
  <c r="D9" i="18"/>
  <c r="D17" i="18"/>
  <c r="D25" i="18"/>
  <c r="D33" i="18"/>
  <c r="D41" i="18"/>
  <c r="D49" i="18"/>
  <c r="D57" i="18"/>
  <c r="D65" i="18"/>
  <c r="D73" i="18"/>
  <c r="D81" i="18"/>
  <c r="D89" i="18"/>
  <c r="D97" i="18"/>
  <c r="D5" i="18"/>
  <c r="L67" i="18"/>
  <c r="D15" i="18"/>
  <c r="D71" i="18"/>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C1719" i="21" l="1"/>
  <c r="C1606" i="21"/>
  <c r="C17" i="21"/>
  <c r="F53" i="66" l="1"/>
  <c r="E53" i="66"/>
  <c r="F51" i="66"/>
  <c r="E52" i="66"/>
  <c r="F52" i="66" l="1"/>
  <c r="C108" i="21" l="1"/>
  <c r="C190" i="21"/>
  <c r="C578" i="21"/>
  <c r="C798" i="21"/>
  <c r="C846" i="21"/>
  <c r="C1105" i="21"/>
  <c r="C1128" i="21"/>
  <c r="C1388" i="21"/>
  <c r="C1694" i="21"/>
  <c r="C1747" i="21"/>
  <c r="F13" i="57" l="1"/>
  <c r="E13" i="57"/>
  <c r="D13" i="57"/>
  <c r="B13" i="57"/>
  <c r="A13" i="57"/>
  <c r="F12" i="57"/>
  <c r="E12" i="57"/>
  <c r="D12" i="57"/>
  <c r="B12" i="57"/>
  <c r="A12" i="57"/>
  <c r="F11" i="57"/>
  <c r="E11" i="57"/>
  <c r="D11" i="57"/>
  <c r="B11" i="57"/>
  <c r="A11" i="57"/>
  <c r="F10" i="57"/>
  <c r="E10" i="57"/>
  <c r="D10" i="57"/>
  <c r="B10" i="57"/>
  <c r="A10" i="57"/>
  <c r="F9" i="57"/>
  <c r="E9" i="57"/>
  <c r="D9" i="57"/>
  <c r="B9" i="57"/>
  <c r="A9" i="57"/>
  <c r="F8" i="57"/>
  <c r="E8" i="57"/>
  <c r="D8" i="57"/>
  <c r="B8" i="57"/>
  <c r="A8" i="57"/>
  <c r="F7" i="57"/>
  <c r="E7" i="57"/>
  <c r="D7" i="57"/>
  <c r="B7" i="57"/>
  <c r="A7" i="57"/>
  <c r="F6" i="57"/>
  <c r="E6" i="57"/>
  <c r="D6" i="57"/>
  <c r="B6" i="57"/>
  <c r="A6" i="57"/>
  <c r="F5" i="57"/>
  <c r="E5" i="57"/>
  <c r="D5" i="57"/>
  <c r="B5" i="57"/>
  <c r="A5" i="57"/>
  <c r="F4" i="57"/>
  <c r="E4" i="57"/>
  <c r="D4" i="57"/>
  <c r="B4" i="57"/>
  <c r="A4" i="57"/>
  <c r="F3" i="57"/>
  <c r="E3" i="57"/>
  <c r="D3" i="57"/>
  <c r="B3" i="57"/>
  <c r="A3" i="57"/>
  <c r="F15" i="58"/>
  <c r="E15" i="58"/>
  <c r="D15" i="58"/>
  <c r="B15" i="58"/>
  <c r="A15" i="58"/>
  <c r="F14" i="58"/>
  <c r="E14" i="58"/>
  <c r="D14" i="58"/>
  <c r="B14" i="58"/>
  <c r="A14" i="58"/>
  <c r="F13" i="58"/>
  <c r="E13" i="58"/>
  <c r="D13" i="58"/>
  <c r="B13" i="58"/>
  <c r="A13" i="58"/>
  <c r="F12" i="58"/>
  <c r="E12" i="58"/>
  <c r="D12" i="58"/>
  <c r="B12" i="58"/>
  <c r="A12" i="58"/>
  <c r="F11" i="58"/>
  <c r="E11" i="58"/>
  <c r="D11" i="58"/>
  <c r="B11" i="58"/>
  <c r="A11" i="58"/>
  <c r="F10" i="58"/>
  <c r="E10" i="58"/>
  <c r="D10" i="58"/>
  <c r="B10" i="58"/>
  <c r="A10" i="58"/>
  <c r="F9" i="58"/>
  <c r="E9" i="58"/>
  <c r="D9" i="58"/>
  <c r="B9" i="58"/>
  <c r="A9" i="58"/>
  <c r="F8" i="58"/>
  <c r="E8" i="58"/>
  <c r="D8" i="58"/>
  <c r="B8" i="58"/>
  <c r="A8" i="58"/>
  <c r="F7" i="58"/>
  <c r="E7" i="58"/>
  <c r="D7" i="58"/>
  <c r="B7" i="58"/>
  <c r="A7" i="58"/>
  <c r="F6" i="58"/>
  <c r="E6" i="58"/>
  <c r="D6" i="58"/>
  <c r="B6" i="58"/>
  <c r="A6" i="58"/>
  <c r="F5" i="58"/>
  <c r="E5" i="58"/>
  <c r="D5" i="58"/>
  <c r="B5" i="58"/>
  <c r="A5" i="58"/>
  <c r="F4" i="58"/>
  <c r="E4" i="58"/>
  <c r="D4" i="58"/>
  <c r="B4" i="58"/>
  <c r="A4" i="58"/>
  <c r="I6" i="15" l="1"/>
  <c r="C242" i="21" l="1"/>
  <c r="C306" i="21"/>
  <c r="C659" i="21"/>
  <c r="C760" i="21"/>
  <c r="C761" i="21"/>
  <c r="C762" i="21"/>
  <c r="C800" i="21"/>
  <c r="C984" i="21"/>
  <c r="C1108" i="21"/>
  <c r="C1693" i="21"/>
  <c r="C1864" i="21"/>
  <c r="Q2"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K2" i="1"/>
  <c r="L2"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A70" i="18"/>
  <c r="A71" i="18"/>
  <c r="A72" i="18"/>
  <c r="A73" i="18"/>
  <c r="A74" i="18"/>
  <c r="A75" i="18"/>
  <c r="A76" i="18"/>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A104" i="18"/>
  <c r="C4" i="21"/>
  <c r="C7" i="21"/>
  <c r="C8" i="21"/>
  <c r="C9" i="21"/>
  <c r="C10" i="21"/>
  <c r="C11" i="21"/>
  <c r="C12" i="21"/>
  <c r="C13" i="21"/>
  <c r="C14" i="21"/>
  <c r="C15" i="21"/>
  <c r="C16" i="21"/>
  <c r="C19" i="21"/>
  <c r="C20" i="21"/>
  <c r="C21" i="21"/>
  <c r="C22" i="21"/>
  <c r="C23" i="21"/>
  <c r="C24" i="21"/>
  <c r="D24" i="21"/>
  <c r="C25" i="21"/>
  <c r="C26" i="21"/>
  <c r="C27" i="21"/>
  <c r="C28" i="21"/>
  <c r="C29" i="21"/>
  <c r="C30" i="21"/>
  <c r="C32" i="21"/>
  <c r="C33" i="21"/>
  <c r="C34" i="21"/>
  <c r="C36" i="21"/>
  <c r="C37" i="21"/>
  <c r="C38" i="21"/>
  <c r="C39" i="21"/>
  <c r="C40" i="21"/>
  <c r="C41" i="21"/>
  <c r="C44" i="21"/>
  <c r="C43" i="21"/>
  <c r="C45" i="21"/>
  <c r="C47" i="21"/>
  <c r="C48" i="21"/>
  <c r="C49" i="21"/>
  <c r="C50" i="21"/>
  <c r="C51" i="21"/>
  <c r="C52" i="21"/>
  <c r="C53" i="21"/>
  <c r="C54" i="21"/>
  <c r="C57" i="21"/>
  <c r="C58" i="21"/>
  <c r="C59" i="21"/>
  <c r="C60" i="21"/>
  <c r="C62" i="21"/>
  <c r="C63" i="21"/>
  <c r="C64" i="21"/>
  <c r="C66" i="21"/>
  <c r="C67" i="21"/>
  <c r="C68" i="21"/>
  <c r="C69" i="21"/>
  <c r="C70" i="21"/>
  <c r="C76" i="21"/>
  <c r="C71" i="21"/>
  <c r="C72" i="21"/>
  <c r="C73" i="21"/>
  <c r="C74" i="21"/>
  <c r="C75" i="21"/>
  <c r="C77" i="21"/>
  <c r="C79" i="21"/>
  <c r="C81" i="21"/>
  <c r="C83" i="21"/>
  <c r="C84" i="21"/>
  <c r="C85" i="21"/>
  <c r="C86" i="21"/>
  <c r="C88" i="21"/>
  <c r="C89" i="21"/>
  <c r="C90" i="21"/>
  <c r="C92" i="21"/>
  <c r="C93" i="21"/>
  <c r="C94" i="21"/>
  <c r="C95" i="21"/>
  <c r="C98" i="21"/>
  <c r="C100" i="21"/>
  <c r="C101" i="21"/>
  <c r="C102" i="21"/>
  <c r="C103" i="21"/>
  <c r="C104" i="21"/>
  <c r="C106" i="21"/>
  <c r="C109" i="21"/>
  <c r="C110" i="21"/>
  <c r="C111" i="21"/>
  <c r="C112" i="21"/>
  <c r="C113" i="21"/>
  <c r="C114" i="21"/>
  <c r="C115" i="21"/>
  <c r="C107" i="21"/>
  <c r="C116" i="21"/>
  <c r="C119" i="21"/>
  <c r="C120" i="21"/>
  <c r="C121" i="21"/>
  <c r="C122" i="21"/>
  <c r="C123" i="21"/>
  <c r="C117" i="21"/>
  <c r="C124" i="21"/>
  <c r="C125" i="21"/>
  <c r="C126" i="21"/>
  <c r="C127" i="21"/>
  <c r="D127" i="21"/>
  <c r="C128" i="21"/>
  <c r="C129" i="21"/>
  <c r="C130" i="21"/>
  <c r="C131" i="21"/>
  <c r="C132" i="21"/>
  <c r="C133" i="21"/>
  <c r="C134" i="21"/>
  <c r="C135" i="21"/>
  <c r="C136" i="21"/>
  <c r="C137" i="21"/>
  <c r="C138" i="21"/>
  <c r="C139" i="21"/>
  <c r="C142" i="21"/>
  <c r="C143" i="21"/>
  <c r="C144" i="21"/>
  <c r="C145" i="21"/>
  <c r="C146" i="21"/>
  <c r="C147" i="21"/>
  <c r="C151" i="21"/>
  <c r="C152" i="21"/>
  <c r="C153" i="21"/>
  <c r="C154" i="21"/>
  <c r="C155" i="21"/>
  <c r="C156" i="21"/>
  <c r="C159" i="21"/>
  <c r="C166" i="21"/>
  <c r="C174" i="21"/>
  <c r="C175" i="21"/>
  <c r="C176" i="21"/>
  <c r="C177" i="21"/>
  <c r="C178" i="21"/>
  <c r="C180" i="21"/>
  <c r="C181" i="21"/>
  <c r="C187" i="21"/>
  <c r="C184" i="21"/>
  <c r="C186" i="21"/>
  <c r="C188" i="21"/>
  <c r="C189" i="21"/>
  <c r="C191" i="21"/>
  <c r="C192" i="21"/>
  <c r="C195" i="21"/>
  <c r="D195" i="21"/>
  <c r="C196" i="21"/>
  <c r="C198" i="21"/>
  <c r="C199" i="21"/>
  <c r="C200" i="21"/>
  <c r="C201" i="21"/>
  <c r="C202" i="21"/>
  <c r="C206" i="21"/>
  <c r="C207" i="21"/>
  <c r="C208" i="21"/>
  <c r="C209" i="21"/>
  <c r="C210" i="21"/>
  <c r="C212" i="21"/>
  <c r="C214" i="21"/>
  <c r="C216" i="21"/>
  <c r="C217" i="21"/>
  <c r="C218" i="21"/>
  <c r="C219" i="21"/>
  <c r="C220" i="21"/>
  <c r="C221" i="21"/>
  <c r="C222" i="21"/>
  <c r="C223" i="21"/>
  <c r="C224" i="21"/>
  <c r="C225" i="21"/>
  <c r="C226" i="21"/>
  <c r="C227" i="21"/>
  <c r="C228" i="21"/>
  <c r="C229" i="21"/>
  <c r="C230" i="21"/>
  <c r="C231" i="21"/>
  <c r="C234" i="21"/>
  <c r="C235" i="21"/>
  <c r="C236" i="21"/>
  <c r="C239" i="21"/>
  <c r="C244" i="21"/>
  <c r="C243" i="21"/>
  <c r="C245" i="21"/>
  <c r="C246" i="21"/>
  <c r="C240" i="21"/>
  <c r="C241" i="21"/>
  <c r="C247" i="21"/>
  <c r="C248" i="21"/>
  <c r="C249" i="21"/>
  <c r="C250" i="21"/>
  <c r="C254" i="21"/>
  <c r="C259" i="21"/>
  <c r="C260" i="21"/>
  <c r="C261" i="21"/>
  <c r="C262" i="21"/>
  <c r="C263" i="21"/>
  <c r="C264" i="21"/>
  <c r="C265" i="21"/>
  <c r="C251" i="21"/>
  <c r="C255" i="21"/>
  <c r="C267" i="21"/>
  <c r="C268" i="21"/>
  <c r="C269" i="21"/>
  <c r="C270" i="21"/>
  <c r="C271" i="21"/>
  <c r="C272" i="21"/>
  <c r="C273" i="21"/>
  <c r="C274" i="21"/>
  <c r="C275" i="21"/>
  <c r="C276" i="21"/>
  <c r="C277" i="21"/>
  <c r="C278" i="21"/>
  <c r="C279" i="21"/>
  <c r="C281" i="21"/>
  <c r="C282" i="21"/>
  <c r="C283" i="21"/>
  <c r="C284" i="21"/>
  <c r="C285" i="21"/>
  <c r="C286" i="21"/>
  <c r="C287" i="21"/>
  <c r="C288" i="21"/>
  <c r="C289" i="21"/>
  <c r="C290" i="21"/>
  <c r="C291" i="21"/>
  <c r="C292" i="21"/>
  <c r="C293" i="21"/>
  <c r="C294" i="21"/>
  <c r="C295" i="21"/>
  <c r="C297" i="21"/>
  <c r="C296" i="21"/>
  <c r="C298" i="21"/>
  <c r="C299" i="21"/>
  <c r="C301" i="21"/>
  <c r="C302" i="21"/>
  <c r="C303" i="21"/>
  <c r="C307" i="21"/>
  <c r="C308" i="21"/>
  <c r="C309" i="21"/>
  <c r="C310" i="21"/>
  <c r="C313" i="21"/>
  <c r="C314" i="21"/>
  <c r="C315" i="21"/>
  <c r="C316" i="21"/>
  <c r="C317" i="21"/>
  <c r="C318" i="21"/>
  <c r="C319" i="21"/>
  <c r="C323" i="21"/>
  <c r="C324" i="21"/>
  <c r="C325" i="21"/>
  <c r="C326" i="21"/>
  <c r="C327" i="21"/>
  <c r="C328" i="21"/>
  <c r="C329" i="21"/>
  <c r="C330" i="21"/>
  <c r="C331" i="21"/>
  <c r="C332" i="21"/>
  <c r="C333" i="21"/>
  <c r="C336" i="21"/>
  <c r="C337" i="21"/>
  <c r="C338" i="21"/>
  <c r="C340" i="21"/>
  <c r="C341" i="21"/>
  <c r="C342" i="21"/>
  <c r="C343" i="21"/>
  <c r="C345" i="21"/>
  <c r="C344" i="21"/>
  <c r="C346" i="21"/>
  <c r="C347" i="21"/>
  <c r="C349" i="21"/>
  <c r="C350" i="21"/>
  <c r="C351" i="21"/>
  <c r="C352" i="21"/>
  <c r="C353" i="21"/>
  <c r="C354" i="21"/>
  <c r="C355" i="21"/>
  <c r="C357" i="21"/>
  <c r="C356" i="21"/>
  <c r="C358" i="21"/>
  <c r="C359" i="21"/>
  <c r="C360" i="21"/>
  <c r="C361" i="21"/>
  <c r="C362" i="21"/>
  <c r="C363" i="21"/>
  <c r="C366" i="21"/>
  <c r="C367" i="21"/>
  <c r="C369" i="21"/>
  <c r="C370" i="21"/>
  <c r="C371" i="21"/>
  <c r="C372" i="21"/>
  <c r="C374" i="21"/>
  <c r="C375" i="21"/>
  <c r="C376" i="21"/>
  <c r="C377" i="21"/>
  <c r="C378" i="21"/>
  <c r="C382" i="21"/>
  <c r="C383" i="21"/>
  <c r="C384" i="21"/>
  <c r="C385" i="21"/>
  <c r="C386" i="21"/>
  <c r="C388" i="21"/>
  <c r="C389" i="21"/>
  <c r="C390" i="21"/>
  <c r="C391" i="21"/>
  <c r="C392" i="21"/>
  <c r="C387" i="21"/>
  <c r="C393" i="21"/>
  <c r="C394" i="21"/>
  <c r="C395" i="21"/>
  <c r="C411" i="21"/>
  <c r="C412" i="21"/>
  <c r="D412" i="21"/>
  <c r="C414" i="21"/>
  <c r="C417" i="21"/>
  <c r="C418" i="21"/>
  <c r="C419" i="21"/>
  <c r="C421" i="21"/>
  <c r="C420" i="21"/>
  <c r="C424" i="21"/>
  <c r="C425" i="21"/>
  <c r="C426" i="21"/>
  <c r="C427" i="21"/>
  <c r="C428" i="21"/>
  <c r="C429" i="21"/>
  <c r="C430" i="21"/>
  <c r="C431" i="21"/>
  <c r="C432" i="21"/>
  <c r="C433" i="21"/>
  <c r="C434" i="21"/>
  <c r="C437" i="21"/>
  <c r="C440" i="21"/>
  <c r="C441" i="21"/>
  <c r="C442" i="21"/>
  <c r="C443" i="21"/>
  <c r="C444" i="21"/>
  <c r="C448" i="21"/>
  <c r="C449" i="21"/>
  <c r="C446" i="21"/>
  <c r="C450" i="21"/>
  <c r="C451" i="21"/>
  <c r="C452" i="21"/>
  <c r="C453" i="21"/>
  <c r="C455" i="21"/>
  <c r="C454" i="21"/>
  <c r="C456" i="21"/>
  <c r="C460" i="21"/>
  <c r="C461" i="21"/>
  <c r="C462" i="21"/>
  <c r="C601" i="21"/>
  <c r="C463" i="21"/>
  <c r="C464" i="21"/>
  <c r="C465" i="21"/>
  <c r="C466" i="21"/>
  <c r="C467" i="21"/>
  <c r="C468" i="21"/>
  <c r="C471" i="21"/>
  <c r="C469" i="21"/>
  <c r="C470" i="21"/>
  <c r="C472" i="21"/>
  <c r="C473" i="21"/>
  <c r="C474" i="21"/>
  <c r="C475" i="21"/>
  <c r="C477" i="21"/>
  <c r="C480" i="21"/>
  <c r="C481" i="21"/>
  <c r="C483" i="21"/>
  <c r="C485" i="21"/>
  <c r="C487" i="21"/>
  <c r="C488" i="21"/>
  <c r="C489" i="21"/>
  <c r="C490" i="21"/>
  <c r="C491" i="21"/>
  <c r="C492" i="21"/>
  <c r="C495" i="21"/>
  <c r="C496" i="21"/>
  <c r="C497" i="21"/>
  <c r="C498" i="21"/>
  <c r="C499" i="21"/>
  <c r="C500" i="21"/>
  <c r="C501" i="21"/>
  <c r="C502" i="21"/>
  <c r="C505" i="21"/>
  <c r="C506" i="21"/>
  <c r="C508" i="21"/>
  <c r="C512" i="21"/>
  <c r="C513" i="21"/>
  <c r="C515" i="21"/>
  <c r="C516" i="21"/>
  <c r="C518" i="21"/>
  <c r="C520" i="21"/>
  <c r="C522" i="21"/>
  <c r="C524" i="21"/>
  <c r="C525" i="21"/>
  <c r="C526" i="21"/>
  <c r="C527" i="21"/>
  <c r="C517" i="21"/>
  <c r="C519" i="21"/>
  <c r="C521" i="21"/>
  <c r="C523" i="21"/>
  <c r="C528" i="21"/>
  <c r="C530" i="21"/>
  <c r="C531" i="21"/>
  <c r="C532" i="21"/>
  <c r="C533" i="21"/>
  <c r="C534" i="21"/>
  <c r="C537" i="21"/>
  <c r="C538" i="21"/>
  <c r="C539" i="21"/>
  <c r="C540" i="21"/>
  <c r="C543" i="21"/>
  <c r="C544" i="21"/>
  <c r="C545" i="21"/>
  <c r="C546" i="21"/>
  <c r="C547" i="21"/>
  <c r="C548" i="21"/>
  <c r="C549" i="21"/>
  <c r="C553" i="21"/>
  <c r="C554" i="21"/>
  <c r="C555" i="21"/>
  <c r="C560" i="21"/>
  <c r="C556" i="21"/>
  <c r="C564" i="21"/>
  <c r="C565" i="21"/>
  <c r="C566" i="21"/>
  <c r="C567" i="21"/>
  <c r="C569" i="21"/>
  <c r="C570" i="21"/>
  <c r="C571" i="21"/>
  <c r="C572" i="21"/>
  <c r="C573" i="21"/>
  <c r="C576" i="21"/>
  <c r="C579" i="21"/>
  <c r="C580" i="21"/>
  <c r="C581" i="21"/>
  <c r="C582" i="21"/>
  <c r="C583" i="21"/>
  <c r="C584" i="21"/>
  <c r="C585" i="21"/>
  <c r="C577" i="21"/>
  <c r="C586" i="21"/>
  <c r="C589" i="21"/>
  <c r="C590" i="21"/>
  <c r="C591" i="21"/>
  <c r="C592" i="21"/>
  <c r="C593" i="21"/>
  <c r="C587" i="21"/>
  <c r="C594" i="21"/>
  <c r="C596" i="21"/>
  <c r="C597" i="21"/>
  <c r="C595" i="21"/>
  <c r="C598" i="21"/>
  <c r="C599" i="21"/>
  <c r="C600" i="21"/>
  <c r="C602" i="21"/>
  <c r="C603" i="21"/>
  <c r="C604" i="21"/>
  <c r="C605" i="21"/>
  <c r="C606" i="21"/>
  <c r="C610" i="21"/>
  <c r="C618" i="21"/>
  <c r="C619" i="21"/>
  <c r="C621" i="21"/>
  <c r="C622" i="21"/>
  <c r="C624" i="21"/>
  <c r="C625" i="21"/>
  <c r="C626" i="21"/>
  <c r="C627" i="21"/>
  <c r="C628" i="21"/>
  <c r="C629" i="21"/>
  <c r="C630" i="21"/>
  <c r="C632" i="21"/>
  <c r="C633" i="21"/>
  <c r="C634" i="21"/>
  <c r="C635" i="21"/>
  <c r="C636" i="21"/>
  <c r="C637" i="21"/>
  <c r="C638" i="21"/>
  <c r="C639" i="21"/>
  <c r="C640" i="21"/>
  <c r="C644" i="21"/>
  <c r="C646" i="21"/>
  <c r="C648" i="21"/>
  <c r="C649" i="21"/>
  <c r="C650" i="21"/>
  <c r="C651" i="21"/>
  <c r="C652" i="21"/>
  <c r="C653" i="21"/>
  <c r="C654" i="21"/>
  <c r="C655" i="21"/>
  <c r="C660" i="21"/>
  <c r="C661" i="21"/>
  <c r="C662" i="21"/>
  <c r="C663" i="21"/>
  <c r="C664" i="21"/>
  <c r="C666" i="21"/>
  <c r="C669" i="21"/>
  <c r="C671" i="21"/>
  <c r="C672" i="21"/>
  <c r="C673" i="21"/>
  <c r="C674" i="21"/>
  <c r="C675" i="21"/>
  <c r="C676" i="21"/>
  <c r="C677" i="21"/>
  <c r="C678" i="21"/>
  <c r="C679" i="21"/>
  <c r="C682" i="21"/>
  <c r="C688" i="21"/>
  <c r="C689" i="21"/>
  <c r="C690" i="21"/>
  <c r="C691" i="21"/>
  <c r="C692" i="21"/>
  <c r="C693" i="21"/>
  <c r="C695" i="21"/>
  <c r="C696" i="21"/>
  <c r="C703" i="21"/>
  <c r="C706" i="21"/>
  <c r="C707" i="21"/>
  <c r="C711" i="21"/>
  <c r="C714" i="21"/>
  <c r="C715" i="21"/>
  <c r="C716" i="21"/>
  <c r="C717" i="21"/>
  <c r="C718" i="21"/>
  <c r="C719" i="21"/>
  <c r="C720" i="21"/>
  <c r="C697" i="21"/>
  <c r="C721" i="21"/>
  <c r="C722" i="21"/>
  <c r="C698" i="21"/>
  <c r="C723" i="21"/>
  <c r="C724" i="21"/>
  <c r="C725" i="21"/>
  <c r="C726" i="21"/>
  <c r="C687" i="21"/>
  <c r="C727" i="21"/>
  <c r="C728" i="21"/>
  <c r="C730" i="21"/>
  <c r="C733" i="21"/>
  <c r="C734" i="21"/>
  <c r="C736" i="21"/>
  <c r="C741" i="21"/>
  <c r="C742" i="21"/>
  <c r="C743" i="21"/>
  <c r="C744" i="21"/>
  <c r="C748" i="21"/>
  <c r="C749" i="21"/>
  <c r="C750" i="21"/>
  <c r="C753" i="21"/>
  <c r="C751" i="21"/>
  <c r="C752" i="21"/>
  <c r="C754" i="21"/>
  <c r="C757" i="21"/>
  <c r="C759" i="21"/>
  <c r="C763" i="21"/>
  <c r="C764" i="21"/>
  <c r="C765" i="21"/>
  <c r="C766" i="21"/>
  <c r="C767" i="21"/>
  <c r="C768" i="21"/>
  <c r="C769" i="21"/>
  <c r="C770" i="21"/>
  <c r="C771" i="21"/>
  <c r="C772" i="21"/>
  <c r="C773" i="21"/>
  <c r="C774" i="21"/>
  <c r="C776" i="21"/>
  <c r="C777" i="21"/>
  <c r="C745" i="21"/>
  <c r="C778" i="21"/>
  <c r="C779" i="21"/>
  <c r="C780" i="21"/>
  <c r="C781" i="21"/>
  <c r="C783" i="21"/>
  <c r="C784" i="21"/>
  <c r="C785" i="21"/>
  <c r="C786" i="21"/>
  <c r="C787" i="21"/>
  <c r="C788" i="21"/>
  <c r="C789" i="21"/>
  <c r="C790" i="21"/>
  <c r="C791" i="21"/>
  <c r="C793" i="21"/>
  <c r="C794" i="21"/>
  <c r="C795" i="21"/>
  <c r="C796" i="21"/>
  <c r="C797" i="21"/>
  <c r="C801" i="21"/>
  <c r="C802" i="21"/>
  <c r="C803" i="21"/>
  <c r="C804" i="21"/>
  <c r="C805" i="21"/>
  <c r="C806" i="21"/>
  <c r="C807" i="21"/>
  <c r="C808" i="21"/>
  <c r="C809" i="21"/>
  <c r="C810" i="21"/>
  <c r="C820" i="21"/>
  <c r="C817" i="21"/>
  <c r="C811" i="21"/>
  <c r="C812" i="21"/>
  <c r="C814" i="21"/>
  <c r="C816" i="21"/>
  <c r="C818" i="21"/>
  <c r="C819" i="21"/>
  <c r="C821" i="21"/>
  <c r="C815" i="21"/>
  <c r="C822" i="21"/>
  <c r="C823" i="21"/>
  <c r="C824" i="21"/>
  <c r="C825" i="21"/>
  <c r="C826" i="21"/>
  <c r="C827" i="21"/>
  <c r="C828" i="21"/>
  <c r="C830" i="21"/>
  <c r="C831" i="21"/>
  <c r="C833" i="21"/>
  <c r="C835" i="21"/>
  <c r="C836" i="21"/>
  <c r="C837" i="21"/>
  <c r="C838" i="21"/>
  <c r="C839" i="21"/>
  <c r="C840" i="21"/>
  <c r="C841" i="21"/>
  <c r="C843" i="21"/>
  <c r="C844" i="21"/>
  <c r="C849" i="21"/>
  <c r="C850" i="21"/>
  <c r="C851" i="21"/>
  <c r="C852" i="21"/>
  <c r="C848" i="21"/>
  <c r="C855" i="21"/>
  <c r="C856" i="21"/>
  <c r="C857" i="21"/>
  <c r="C858" i="21"/>
  <c r="C864" i="21"/>
  <c r="C865" i="21"/>
  <c r="C866" i="21"/>
  <c r="C867" i="21"/>
  <c r="C868" i="21"/>
  <c r="C869" i="21"/>
  <c r="C870" i="21"/>
  <c r="C871" i="21"/>
  <c r="C872" i="21"/>
  <c r="C874" i="21"/>
  <c r="C875" i="21"/>
  <c r="C876" i="21"/>
  <c r="C877" i="21"/>
  <c r="C878" i="21"/>
  <c r="C879" i="21"/>
  <c r="C880" i="21"/>
  <c r="C881" i="21"/>
  <c r="C882" i="21"/>
  <c r="C883" i="21"/>
  <c r="C884" i="21"/>
  <c r="C885" i="21"/>
  <c r="C886" i="21"/>
  <c r="C887" i="21"/>
  <c r="C888" i="21"/>
  <c r="C889" i="21"/>
  <c r="C890" i="21"/>
  <c r="C891" i="21"/>
  <c r="C894" i="21"/>
  <c r="C895" i="21"/>
  <c r="C897" i="21"/>
  <c r="C898" i="21"/>
  <c r="C899" i="21"/>
  <c r="C900" i="21"/>
  <c r="C902" i="21"/>
  <c r="C906" i="21"/>
  <c r="C908" i="21"/>
  <c r="C912" i="21"/>
  <c r="C913" i="21"/>
  <c r="C914" i="21"/>
  <c r="C901" i="21"/>
  <c r="C905" i="21"/>
  <c r="C907" i="21"/>
  <c r="C911" i="21"/>
  <c r="C915" i="21"/>
  <c r="C916" i="21"/>
  <c r="C917" i="21"/>
  <c r="C918" i="21"/>
  <c r="C919" i="21"/>
  <c r="C920" i="21"/>
  <c r="C921" i="21"/>
  <c r="C924" i="21"/>
  <c r="C925" i="21"/>
  <c r="C927" i="21"/>
  <c r="C928" i="21"/>
  <c r="C929" i="21"/>
  <c r="C930" i="21"/>
  <c r="C931" i="21"/>
  <c r="C932" i="21"/>
  <c r="C933" i="21"/>
  <c r="C934" i="21"/>
  <c r="C935" i="21"/>
  <c r="C936" i="21"/>
  <c r="C938" i="21"/>
  <c r="C942" i="21"/>
  <c r="C944" i="21"/>
  <c r="C937" i="21"/>
  <c r="C941" i="21"/>
  <c r="C943" i="21"/>
  <c r="C947" i="21"/>
  <c r="C948" i="21"/>
  <c r="C949" i="21"/>
  <c r="C950" i="21"/>
  <c r="C951" i="21"/>
  <c r="C952" i="21"/>
  <c r="C953" i="21"/>
  <c r="C963" i="21"/>
  <c r="C964" i="21"/>
  <c r="C965" i="21"/>
  <c r="C966" i="21"/>
  <c r="C968" i="21"/>
  <c r="C969" i="21"/>
  <c r="C970" i="21"/>
  <c r="C971" i="21"/>
  <c r="C972" i="21"/>
  <c r="C976" i="21"/>
  <c r="C977" i="21"/>
  <c r="C978" i="21"/>
  <c r="C979" i="21"/>
  <c r="C980" i="21"/>
  <c r="C981" i="21"/>
  <c r="C982" i="21"/>
  <c r="C983" i="21"/>
  <c r="C985" i="21"/>
  <c r="C986" i="21"/>
  <c r="C987" i="21"/>
  <c r="C989" i="21"/>
  <c r="C991" i="21"/>
  <c r="C992" i="21"/>
  <c r="C993" i="21"/>
  <c r="C994" i="21"/>
  <c r="C995" i="21"/>
  <c r="C996" i="21"/>
  <c r="C997" i="21"/>
  <c r="C998" i="21"/>
  <c r="C999" i="21"/>
  <c r="C1000" i="21"/>
  <c r="C1001" i="21"/>
  <c r="C1011" i="21"/>
  <c r="C1012" i="21"/>
  <c r="C1013" i="21"/>
  <c r="C1014" i="21"/>
  <c r="C1015" i="21"/>
  <c r="C1017" i="21"/>
  <c r="C1018" i="21"/>
  <c r="C1019" i="21"/>
  <c r="C1020" i="21"/>
  <c r="C1021" i="21"/>
  <c r="C1022" i="21"/>
  <c r="C1025" i="21"/>
  <c r="C1024" i="21"/>
  <c r="C1026" i="21"/>
  <c r="C1027" i="21"/>
  <c r="C1028" i="21"/>
  <c r="C1029" i="21"/>
  <c r="C1030" i="21"/>
  <c r="C1031" i="21"/>
  <c r="C1032" i="21"/>
  <c r="C1033" i="21"/>
  <c r="C1034" i="21"/>
  <c r="C1035" i="21"/>
  <c r="C1036" i="21"/>
  <c r="C1037" i="21"/>
  <c r="C1038" i="21"/>
  <c r="C1039" i="21"/>
  <c r="C1040" i="21"/>
  <c r="C1041" i="21"/>
  <c r="C1044" i="21"/>
  <c r="C1046" i="21"/>
  <c r="C1049" i="21"/>
  <c r="C1051" i="21"/>
  <c r="C1052" i="21"/>
  <c r="C1053" i="21"/>
  <c r="C1054" i="21"/>
  <c r="C1055" i="21"/>
  <c r="C1059" i="21"/>
  <c r="C1060" i="21"/>
  <c r="C1061" i="21"/>
  <c r="C1062" i="21"/>
  <c r="C1063" i="21"/>
  <c r="C1064" i="21"/>
  <c r="C1065" i="21"/>
  <c r="C1066" i="21"/>
  <c r="C1067" i="21"/>
  <c r="C1068" i="21"/>
  <c r="C1069" i="21"/>
  <c r="C1073" i="21"/>
  <c r="C1074" i="21"/>
  <c r="C1075" i="21"/>
  <c r="C1072" i="21"/>
  <c r="C1076" i="21"/>
  <c r="C1077" i="21"/>
  <c r="C1078" i="21"/>
  <c r="C1079" i="21"/>
  <c r="C1080" i="21"/>
  <c r="C1086" i="21"/>
  <c r="C1089" i="21"/>
  <c r="C1090" i="21"/>
  <c r="C1091" i="21"/>
  <c r="C1092" i="21"/>
  <c r="C1093" i="21"/>
  <c r="C1094" i="21"/>
  <c r="C1095" i="21"/>
  <c r="C1097" i="21"/>
  <c r="C1098" i="21"/>
  <c r="C1099" i="21"/>
  <c r="C1100" i="21"/>
  <c r="C1101" i="21"/>
  <c r="C1102" i="21"/>
  <c r="C1103" i="21"/>
  <c r="C1104" i="21"/>
  <c r="C1109" i="21"/>
  <c r="C1110" i="21"/>
  <c r="C1111" i="21"/>
  <c r="C1112" i="21"/>
  <c r="C1113" i="21"/>
  <c r="C1114" i="21"/>
  <c r="C1131" i="21"/>
  <c r="C1132" i="21"/>
  <c r="C1133" i="21"/>
  <c r="C1134" i="21"/>
  <c r="C1137" i="21"/>
  <c r="C1138" i="21"/>
  <c r="C1139" i="21"/>
  <c r="C1142" i="21"/>
  <c r="C1143" i="21"/>
  <c r="C1144" i="21"/>
  <c r="C1145" i="21"/>
  <c r="C1147" i="21"/>
  <c r="C1148" i="21"/>
  <c r="C1149" i="21"/>
  <c r="C1150" i="21"/>
  <c r="C1154" i="21"/>
  <c r="C1156" i="21"/>
  <c r="C1157" i="21"/>
  <c r="C1153" i="21"/>
  <c r="C1158" i="21"/>
  <c r="C1162" i="21"/>
  <c r="C1163" i="21"/>
  <c r="C1161" i="21"/>
  <c r="C1164" i="21"/>
  <c r="C1165" i="21"/>
  <c r="C1166" i="21"/>
  <c r="C1175" i="21"/>
  <c r="C1176" i="21"/>
  <c r="C1177" i="21"/>
  <c r="C1179" i="21"/>
  <c r="C1181" i="21"/>
  <c r="C1182" i="21"/>
  <c r="C1183" i="21"/>
  <c r="C1184" i="21"/>
  <c r="C1230" i="21"/>
  <c r="C1231" i="21"/>
  <c r="C1232" i="21"/>
  <c r="C1233" i="21"/>
  <c r="C1235" i="21"/>
  <c r="C1237" i="21"/>
  <c r="C1238" i="21"/>
  <c r="C1239" i="21"/>
  <c r="C1240" i="21"/>
  <c r="C1194" i="21"/>
  <c r="C1195" i="21"/>
  <c r="C1196" i="21"/>
  <c r="C1197" i="21"/>
  <c r="C1199" i="21"/>
  <c r="C1200" i="21"/>
  <c r="C1207" i="21"/>
  <c r="C1211" i="21"/>
  <c r="C1212" i="21"/>
  <c r="C1216" i="21"/>
  <c r="C1218" i="21"/>
  <c r="C1219" i="21"/>
  <c r="C1220" i="21"/>
  <c r="C1221" i="21"/>
  <c r="C1222" i="21"/>
  <c r="C1223" i="21"/>
  <c r="C1224" i="21"/>
  <c r="C1201" i="21"/>
  <c r="C1202" i="21"/>
  <c r="C1225" i="21"/>
  <c r="C1226" i="21"/>
  <c r="C1227" i="21"/>
  <c r="C1228" i="21"/>
  <c r="C1229" i="21"/>
  <c r="C1241" i="21"/>
  <c r="C1242" i="21"/>
  <c r="C1243" i="21"/>
  <c r="C1245" i="21"/>
  <c r="C1247" i="21"/>
  <c r="C1248" i="21"/>
  <c r="C1251" i="21"/>
  <c r="C1249" i="21"/>
  <c r="C1250" i="21"/>
  <c r="C1252" i="21"/>
  <c r="C1253" i="21"/>
  <c r="C1255" i="21"/>
  <c r="C1257" i="21"/>
  <c r="C1256" i="21"/>
  <c r="C1258" i="21"/>
  <c r="C1259" i="21"/>
  <c r="C1260" i="21"/>
  <c r="C1261" i="21"/>
  <c r="C1262" i="21"/>
  <c r="C1263" i="21"/>
  <c r="C1264" i="21"/>
  <c r="C1266" i="21"/>
  <c r="C1267" i="21"/>
  <c r="C1268" i="21"/>
  <c r="C1269" i="21"/>
  <c r="C1271" i="21"/>
  <c r="C1272" i="21"/>
  <c r="C1274" i="21"/>
  <c r="C1276" i="21"/>
  <c r="C1275" i="21"/>
  <c r="C1277" i="21"/>
  <c r="C1278" i="21"/>
  <c r="C1279" i="21"/>
  <c r="C1280" i="21"/>
  <c r="C1281" i="21"/>
  <c r="C1282" i="21"/>
  <c r="C1284" i="21"/>
  <c r="C1285" i="21"/>
  <c r="C1283" i="21"/>
  <c r="C1286" i="21"/>
  <c r="C1287" i="21"/>
  <c r="C1288" i="21"/>
  <c r="C1289" i="21"/>
  <c r="C1290" i="21"/>
  <c r="C1293" i="21"/>
  <c r="C1294" i="21"/>
  <c r="C1296" i="21"/>
  <c r="C1298" i="21"/>
  <c r="C1300" i="21"/>
  <c r="C1301" i="21"/>
  <c r="C1302" i="21"/>
  <c r="C1303" i="21"/>
  <c r="C1304" i="21"/>
  <c r="C1305" i="21"/>
  <c r="C1306" i="21"/>
  <c r="C1307" i="21"/>
  <c r="C1308" i="21"/>
  <c r="C1309" i="21"/>
  <c r="C1310" i="21"/>
  <c r="C1311" i="21"/>
  <c r="C1312" i="21"/>
  <c r="C1313" i="21"/>
  <c r="C1314" i="21"/>
  <c r="C1315" i="21"/>
  <c r="C1317" i="21"/>
  <c r="C1318" i="21"/>
  <c r="C1320" i="21"/>
  <c r="C1321" i="21"/>
  <c r="C1345" i="21"/>
  <c r="C1323" i="21"/>
  <c r="C1324" i="21"/>
  <c r="C1325" i="21"/>
  <c r="C1346" i="21"/>
  <c r="C1347" i="21"/>
  <c r="C1326" i="21"/>
  <c r="C1327" i="21"/>
  <c r="C1328" i="21"/>
  <c r="C1331" i="21"/>
  <c r="C1334" i="21"/>
  <c r="C1335" i="21"/>
  <c r="C1337" i="21"/>
  <c r="C1338" i="21"/>
  <c r="C1339" i="21"/>
  <c r="C1341" i="21"/>
  <c r="C1342" i="21"/>
  <c r="C1349" i="21"/>
  <c r="C1350" i="21"/>
  <c r="C1344" i="21"/>
  <c r="C1351" i="21"/>
  <c r="C1353" i="21"/>
  <c r="C1356" i="21"/>
  <c r="C1355" i="21"/>
  <c r="C1354" i="21"/>
  <c r="C1357" i="21"/>
  <c r="C1358" i="21"/>
  <c r="C1359" i="21"/>
  <c r="C1361" i="21"/>
  <c r="C1362" i="21"/>
  <c r="C1363" i="21"/>
  <c r="C1364" i="21"/>
  <c r="C1365" i="21"/>
  <c r="C1366" i="21"/>
  <c r="C1367" i="21"/>
  <c r="C1369" i="21"/>
  <c r="C1370" i="21"/>
  <c r="C1371" i="21"/>
  <c r="C1372" i="21"/>
  <c r="C1373" i="21"/>
  <c r="C1375" i="21"/>
  <c r="C1376" i="21"/>
  <c r="C1377" i="21"/>
  <c r="C1378" i="21"/>
  <c r="C1380" i="21"/>
  <c r="C1384" i="21"/>
  <c r="C1389" i="21"/>
  <c r="C1390" i="21"/>
  <c r="C1391" i="21"/>
  <c r="C1392" i="21"/>
  <c r="C1394" i="21"/>
  <c r="C1397" i="21"/>
  <c r="C1398" i="21"/>
  <c r="C1401" i="21"/>
  <c r="C1402" i="21"/>
  <c r="C1403" i="21"/>
  <c r="C1404" i="21"/>
  <c r="C1405" i="21"/>
  <c r="C1407" i="21"/>
  <c r="C1408" i="21"/>
  <c r="C1409" i="21"/>
  <c r="C1410" i="21"/>
  <c r="C1414" i="21"/>
  <c r="C1415" i="21"/>
  <c r="C1416" i="21"/>
  <c r="C1417" i="21"/>
  <c r="C1418" i="21"/>
  <c r="C1419" i="21"/>
  <c r="C1420" i="21"/>
  <c r="C1421" i="21"/>
  <c r="C1422" i="21"/>
  <c r="C1423" i="21"/>
  <c r="C1424" i="21"/>
  <c r="C1425" i="21"/>
  <c r="C1426" i="21"/>
  <c r="C1427" i="21"/>
  <c r="C1428" i="21"/>
  <c r="C1429" i="21"/>
  <c r="C1430" i="21"/>
  <c r="C1431" i="21"/>
  <c r="C1432" i="21"/>
  <c r="C1435" i="21"/>
  <c r="C1436" i="21"/>
  <c r="C1437" i="21"/>
  <c r="C1438" i="21"/>
  <c r="C1439" i="21"/>
  <c r="C1440" i="21"/>
  <c r="C1441" i="21"/>
  <c r="C1442" i="21"/>
  <c r="C1443" i="21"/>
  <c r="C1446" i="21"/>
  <c r="C1447" i="21"/>
  <c r="C1448" i="21"/>
  <c r="C1449" i="21"/>
  <c r="C1450" i="21"/>
  <c r="C1451" i="21"/>
  <c r="C1452" i="21"/>
  <c r="C1453" i="21"/>
  <c r="C1454" i="21"/>
  <c r="C1455" i="21"/>
  <c r="C1456" i="21"/>
  <c r="C1458" i="21"/>
  <c r="C1460" i="21"/>
  <c r="C1461" i="21"/>
  <c r="C1465" i="21"/>
  <c r="C1467" i="21"/>
  <c r="C1469" i="21"/>
  <c r="C1470" i="21"/>
  <c r="C1471" i="21"/>
  <c r="C1472" i="21"/>
  <c r="C1473" i="21"/>
  <c r="C1474" i="21"/>
  <c r="C1476" i="21"/>
  <c r="C1479" i="21"/>
  <c r="C1480" i="21"/>
  <c r="C1481" i="21"/>
  <c r="C1484" i="21"/>
  <c r="C1487" i="21"/>
  <c r="C1492" i="21"/>
  <c r="C1493" i="21"/>
  <c r="C1495" i="21"/>
  <c r="C1496" i="21"/>
  <c r="C1498" i="21"/>
  <c r="C1499" i="21"/>
  <c r="C1500" i="21"/>
  <c r="C1501" i="21"/>
  <c r="C1502" i="21"/>
  <c r="C1506" i="21"/>
  <c r="C1507" i="21"/>
  <c r="C1508" i="21"/>
  <c r="C1509" i="21"/>
  <c r="C1510" i="21"/>
  <c r="C1511" i="21"/>
  <c r="C1512" i="21"/>
  <c r="C1513" i="21"/>
  <c r="C1514" i="21"/>
  <c r="C1515" i="21"/>
  <c r="C1516" i="21"/>
  <c r="C1517" i="21"/>
  <c r="C1518" i="21"/>
  <c r="C1519" i="21"/>
  <c r="C1520" i="21"/>
  <c r="C1521" i="21"/>
  <c r="C1522" i="21"/>
  <c r="C1523" i="21"/>
  <c r="C1525" i="21"/>
  <c r="C1526" i="21"/>
  <c r="C1527" i="21"/>
  <c r="C1529" i="21"/>
  <c r="C1528" i="21"/>
  <c r="C1530" i="21"/>
  <c r="C1533" i="21"/>
  <c r="C1534" i="21"/>
  <c r="C1536" i="21"/>
  <c r="C1535" i="21"/>
  <c r="C1538" i="21"/>
  <c r="C1539" i="21"/>
  <c r="C1540" i="21"/>
  <c r="C1541" i="21"/>
  <c r="C1542" i="21"/>
  <c r="C1545" i="21"/>
  <c r="C1547" i="21"/>
  <c r="C1548" i="21"/>
  <c r="C1550" i="21"/>
  <c r="C1551" i="21"/>
  <c r="C1552" i="21"/>
  <c r="C1553" i="21"/>
  <c r="C1554" i="21"/>
  <c r="C1558" i="21"/>
  <c r="C1559" i="21"/>
  <c r="C1560" i="21"/>
  <c r="C1561" i="21"/>
  <c r="C1562" i="21"/>
  <c r="C1563" i="21"/>
  <c r="C1564" i="21"/>
  <c r="C1565" i="21"/>
  <c r="C1566" i="21"/>
  <c r="C1575" i="21"/>
  <c r="C1576" i="21"/>
  <c r="C1577" i="21"/>
  <c r="C1579" i="21"/>
  <c r="C1580" i="21"/>
  <c r="C1581" i="21"/>
  <c r="C1582" i="21"/>
  <c r="C1583" i="21"/>
  <c r="C1586" i="21"/>
  <c r="C1592" i="21"/>
  <c r="C1593" i="21"/>
  <c r="C1595" i="21"/>
  <c r="C1596" i="21"/>
  <c r="C1599" i="21"/>
  <c r="C1600" i="21"/>
  <c r="C1601" i="21"/>
  <c r="C1602" i="21"/>
  <c r="C1605" i="21"/>
  <c r="C1607" i="21"/>
  <c r="C1608" i="21"/>
  <c r="C1609" i="21"/>
  <c r="C1612" i="21"/>
  <c r="C1613" i="21"/>
  <c r="C1614" i="21"/>
  <c r="C1615" i="21"/>
  <c r="C1616" i="21"/>
  <c r="C1617" i="21"/>
  <c r="C1618" i="21"/>
  <c r="C1619" i="21"/>
  <c r="C1620" i="21"/>
  <c r="C1622" i="21"/>
  <c r="C1623" i="21"/>
  <c r="C1624" i="21"/>
  <c r="C1627" i="21"/>
  <c r="C1629" i="21"/>
  <c r="C1632" i="21"/>
  <c r="C1633" i="21"/>
  <c r="C1636" i="21"/>
  <c r="C1637" i="21"/>
  <c r="C1638" i="21"/>
  <c r="C1639" i="21"/>
  <c r="C1640" i="21"/>
  <c r="C1641" i="21"/>
  <c r="C1642" i="21"/>
  <c r="C1645" i="21"/>
  <c r="C1646" i="21"/>
  <c r="C1647" i="21"/>
  <c r="C1648" i="21"/>
  <c r="C1651" i="21"/>
  <c r="C1655" i="21"/>
  <c r="C1656" i="21"/>
  <c r="C1658" i="21"/>
  <c r="C1659" i="21"/>
  <c r="C1660" i="21"/>
  <c r="C1661" i="21"/>
  <c r="C1662" i="21"/>
  <c r="C1665" i="21"/>
  <c r="C1666" i="21"/>
  <c r="C1667" i="21"/>
  <c r="C1670" i="21"/>
  <c r="C1675" i="21"/>
  <c r="C1678" i="21"/>
  <c r="C1683" i="21"/>
  <c r="C1684" i="21"/>
  <c r="C1685" i="21"/>
  <c r="C1686" i="21"/>
  <c r="C1687" i="21"/>
  <c r="C1688" i="21"/>
  <c r="C1668" i="21"/>
  <c r="C1673" i="21"/>
  <c r="C1676" i="21"/>
  <c r="C1681" i="21"/>
  <c r="C1689" i="21"/>
  <c r="D1689" i="21"/>
  <c r="C1690" i="21"/>
  <c r="C1691" i="21"/>
  <c r="C1696" i="21"/>
  <c r="C1697" i="21"/>
  <c r="C1698" i="21"/>
  <c r="C1699" i="21"/>
  <c r="C1700" i="21"/>
  <c r="C1702" i="21"/>
  <c r="C1705" i="21"/>
  <c r="C1709" i="21"/>
  <c r="C1710" i="21"/>
  <c r="C1713" i="21"/>
  <c r="C1714" i="21"/>
  <c r="C1715" i="21"/>
  <c r="C1716" i="21"/>
  <c r="C1717" i="21"/>
  <c r="C1718" i="21"/>
  <c r="C1720" i="21"/>
  <c r="C1721" i="21"/>
  <c r="C1725" i="21"/>
  <c r="C1726" i="21"/>
  <c r="C1727" i="21"/>
  <c r="C1728" i="21"/>
  <c r="C1729" i="21"/>
  <c r="C1730" i="21"/>
  <c r="C1731" i="21"/>
  <c r="C1732" i="21"/>
  <c r="C1733" i="21"/>
  <c r="C1737" i="21"/>
  <c r="C1738" i="21"/>
  <c r="C1739" i="21"/>
  <c r="C1743" i="21"/>
  <c r="C1744" i="21"/>
  <c r="C1745" i="21"/>
  <c r="C1748" i="21"/>
  <c r="C1751" i="21"/>
  <c r="C1752" i="21"/>
  <c r="C1761" i="21"/>
  <c r="C1763" i="21"/>
  <c r="C1765" i="21"/>
  <c r="C1766" i="21"/>
  <c r="C1768" i="21"/>
  <c r="C1769" i="21"/>
  <c r="C1770" i="21"/>
  <c r="C1771" i="21"/>
  <c r="C1772" i="21"/>
  <c r="C1773" i="21"/>
  <c r="C1774" i="21"/>
  <c r="C1775" i="21"/>
  <c r="C1777" i="21"/>
  <c r="C1778" i="21"/>
  <c r="C1780" i="21"/>
  <c r="C1781" i="21"/>
  <c r="C1784" i="21"/>
  <c r="C1786" i="21"/>
  <c r="C1787" i="21"/>
  <c r="C1790" i="21"/>
  <c r="C1791" i="21"/>
  <c r="C1792" i="21"/>
  <c r="C1793" i="21"/>
  <c r="C1794" i="21"/>
  <c r="C1795" i="21"/>
  <c r="C1796" i="21"/>
  <c r="C1797" i="21"/>
  <c r="C1798" i="21"/>
  <c r="C1800" i="21"/>
  <c r="C1801" i="21"/>
  <c r="C1802" i="21"/>
  <c r="C1805" i="21"/>
  <c r="C1806" i="21"/>
  <c r="C1808" i="21"/>
  <c r="C1810" i="21"/>
  <c r="C1811" i="21"/>
  <c r="C1812" i="21"/>
  <c r="C1813" i="21"/>
  <c r="C1814" i="21"/>
  <c r="C1816" i="21"/>
  <c r="C1815" i="21"/>
  <c r="C1819" i="21"/>
  <c r="C1820" i="21"/>
  <c r="C1822" i="21"/>
  <c r="C1824" i="21"/>
  <c r="D1824" i="21"/>
  <c r="C1825" i="21"/>
  <c r="C1826" i="21"/>
  <c r="C1828" i="21"/>
  <c r="C1827" i="21"/>
  <c r="C1831" i="21"/>
  <c r="C1829" i="21"/>
  <c r="C1830" i="21"/>
  <c r="C1833" i="21"/>
  <c r="C1834" i="21"/>
  <c r="C1835" i="21"/>
  <c r="C1836" i="21"/>
  <c r="C1837" i="21"/>
  <c r="C1838" i="21"/>
  <c r="C1840" i="21"/>
  <c r="C1839" i="21"/>
  <c r="C1841" i="21"/>
  <c r="C1842" i="21"/>
  <c r="C1843" i="21"/>
  <c r="C1844" i="21"/>
  <c r="C1845" i="21"/>
  <c r="C1847" i="21"/>
  <c r="C1846" i="21"/>
  <c r="C1848" i="21"/>
  <c r="C1850" i="21"/>
  <c r="C1852" i="21"/>
  <c r="C1853" i="21"/>
  <c r="C1856" i="21"/>
  <c r="C1857" i="21"/>
  <c r="C1858" i="21"/>
  <c r="C1859" i="21"/>
  <c r="C1862" i="21"/>
  <c r="C1863" i="21"/>
  <c r="C1865" i="21"/>
  <c r="C1868" i="21"/>
  <c r="C173" i="21"/>
  <c r="C1701" i="21"/>
  <c r="C1704" i="21"/>
  <c r="C1746" i="21"/>
  <c r="C1799" i="21"/>
  <c r="C1485" i="21"/>
  <c r="C1486" i="21"/>
  <c r="C647" i="21"/>
  <c r="C258" i="21"/>
  <c r="C1387" i="21"/>
  <c r="C1789" i="21"/>
  <c r="C1082" i="21"/>
  <c r="C854" i="21"/>
  <c r="C1809" i="21"/>
  <c r="C482" i="21"/>
  <c r="C896" i="21"/>
  <c r="C926" i="21"/>
  <c r="C18" i="21"/>
  <c r="C65" i="21"/>
  <c r="C1254" i="21"/>
  <c r="C157" i="21"/>
  <c r="C172" i="21"/>
  <c r="C616" i="21"/>
  <c r="C615" i="21"/>
  <c r="C612" i="21"/>
  <c r="C643" i="21"/>
  <c r="C740" i="21"/>
  <c r="C1084" i="21"/>
  <c r="C1085" i="21"/>
  <c r="C1817" i="21"/>
  <c r="C1818" i="21"/>
  <c r="C1649" i="21"/>
  <c r="C1654" i="21"/>
  <c r="C1650" i="21"/>
  <c r="C402" i="21"/>
  <c r="C405" i="21"/>
  <c r="C406" i="21"/>
  <c r="C1591" i="21"/>
  <c r="C832" i="21"/>
  <c r="C847" i="21"/>
  <c r="C46" i="21"/>
  <c r="C300" i="21"/>
  <c r="C348" i="21"/>
  <c r="C631" i="21"/>
  <c r="C1374" i="21"/>
  <c r="C162" i="21"/>
  <c r="C165" i="21"/>
  <c r="C168" i="21"/>
  <c r="C164" i="21"/>
  <c r="C167" i="21"/>
  <c r="C170" i="21"/>
  <c r="C150" i="21"/>
  <c r="C149" i="21"/>
  <c r="C160" i="21"/>
  <c r="C1152" i="21"/>
  <c r="C713" i="21"/>
  <c r="C1217" i="21"/>
  <c r="C1393" i="21"/>
  <c r="C550" i="21"/>
  <c r="C182" i="21"/>
  <c r="C1459" i="21"/>
  <c r="C1742" i="21"/>
  <c r="C684" i="21"/>
  <c r="C1191" i="21"/>
  <c r="C1360" i="21"/>
  <c r="C5" i="21"/>
  <c r="C6" i="21"/>
  <c r="C1083" i="21"/>
  <c r="C1087" i="21"/>
  <c r="C1297" i="21"/>
  <c r="C608" i="21"/>
  <c r="C792" i="21"/>
  <c r="C1444" i="21"/>
  <c r="C1445" i="21"/>
  <c r="C1462" i="21"/>
  <c r="C148" i="21"/>
  <c r="C61" i="21"/>
  <c r="C99" i="21"/>
  <c r="C311" i="21"/>
  <c r="C758" i="21"/>
  <c r="C1352" i="21"/>
  <c r="C1433" i="21"/>
  <c r="C1434" i="21"/>
  <c r="C1657" i="21"/>
  <c r="C1762" i="21"/>
  <c r="C1788" i="21"/>
  <c r="C1832" i="21"/>
  <c r="C1002" i="21"/>
  <c r="C1411" i="21"/>
  <c r="C1412" i="2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S31" i="28"/>
  <c r="S32" i="28"/>
  <c r="S33" i="28"/>
  <c r="S34" i="28"/>
  <c r="S35" i="28"/>
  <c r="S36" i="28"/>
  <c r="S37" i="28"/>
  <c r="S38" i="28"/>
  <c r="S39" i="28"/>
  <c r="S30" i="28"/>
  <c r="B3" i="23"/>
  <c r="R17" i="29"/>
  <c r="R16" i="29"/>
  <c r="R15" i="29"/>
  <c r="R14" i="29"/>
  <c r="R37" i="29" s="1"/>
  <c r="R13" i="29"/>
  <c r="R36" i="29" s="1"/>
  <c r="R12" i="29"/>
  <c r="R35" i="29" s="1"/>
  <c r="R11" i="29"/>
  <c r="R34" i="29" s="1"/>
  <c r="R10" i="29"/>
  <c r="R33" i="29" s="1"/>
  <c r="R9" i="29"/>
  <c r="R32" i="29" s="1"/>
  <c r="R8" i="29"/>
  <c r="R31" i="29" s="1"/>
  <c r="R7" i="29"/>
  <c r="R30" i="29" s="1"/>
  <c r="R8" i="28"/>
  <c r="R9" i="28"/>
  <c r="R10" i="28"/>
  <c r="R11" i="28"/>
  <c r="R12" i="28"/>
  <c r="R13" i="28"/>
  <c r="R14" i="28"/>
  <c r="R15" i="28"/>
  <c r="R16" i="28"/>
  <c r="R17" i="28"/>
  <c r="R7" i="28"/>
  <c r="T84" i="28"/>
  <c r="T73" i="28"/>
  <c r="H529" i="21"/>
  <c r="H160" i="21"/>
  <c r="K121" i="21"/>
  <c r="P100" i="21"/>
  <c r="Q100" i="21" s="1"/>
  <c r="I56" i="21"/>
  <c r="K45" i="21"/>
  <c r="H41" i="21"/>
  <c r="H40" i="21"/>
  <c r="I19" i="21"/>
  <c r="J19" i="21" s="1"/>
  <c r="P12" i="21"/>
  <c r="Q12" i="21" s="1"/>
  <c r="C6" i="15"/>
  <c r="C5" i="15"/>
  <c r="C4" i="15"/>
  <c r="H27" i="9"/>
  <c r="G27" i="9"/>
  <c r="F27" i="9"/>
  <c r="D27" i="9"/>
  <c r="B27" i="9"/>
  <c r="A27" i="9"/>
  <c r="H26" i="9"/>
  <c r="G26" i="9"/>
  <c r="F26" i="9"/>
  <c r="D26" i="9"/>
  <c r="B26" i="9"/>
  <c r="A26" i="9"/>
  <c r="H25" i="9"/>
  <c r="G25" i="9"/>
  <c r="F25" i="9"/>
  <c r="D25" i="9"/>
  <c r="B25" i="9"/>
  <c r="A25" i="9"/>
  <c r="A31" i="9" s="1"/>
  <c r="H24" i="9"/>
  <c r="G24" i="9"/>
  <c r="F24" i="9"/>
  <c r="D24" i="9"/>
  <c r="B24" i="9"/>
  <c r="A24" i="9"/>
  <c r="H23" i="9"/>
  <c r="G23" i="9"/>
  <c r="F23" i="9"/>
  <c r="D23" i="9"/>
  <c r="B23" i="9"/>
  <c r="A23" i="9"/>
  <c r="B8" i="9"/>
  <c r="H6" i="9"/>
  <c r="H7" i="9"/>
  <c r="H8" i="9"/>
  <c r="H9" i="9"/>
  <c r="H10" i="9"/>
  <c r="H11" i="9"/>
  <c r="H12" i="9"/>
  <c r="H13" i="9"/>
  <c r="H14" i="9"/>
  <c r="H5" i="9"/>
  <c r="G6" i="9"/>
  <c r="G7" i="9"/>
  <c r="G8" i="9"/>
  <c r="G9" i="9"/>
  <c r="G10" i="9"/>
  <c r="G11" i="9"/>
  <c r="G12" i="9"/>
  <c r="G13" i="9"/>
  <c r="G14" i="9"/>
  <c r="G5" i="9"/>
  <c r="F6" i="9"/>
  <c r="F7" i="9"/>
  <c r="F8" i="9"/>
  <c r="F9" i="9"/>
  <c r="F10" i="9"/>
  <c r="F11" i="9"/>
  <c r="F12" i="9"/>
  <c r="F13" i="9"/>
  <c r="F14" i="9"/>
  <c r="F5" i="9"/>
  <c r="D6" i="9"/>
  <c r="D7" i="9"/>
  <c r="D8" i="9"/>
  <c r="D9" i="9"/>
  <c r="D10" i="9"/>
  <c r="D11" i="9"/>
  <c r="D12" i="9"/>
  <c r="D13" i="9"/>
  <c r="D14" i="9"/>
  <c r="D5" i="9"/>
  <c r="B6" i="9"/>
  <c r="B7" i="9"/>
  <c r="B9" i="9"/>
  <c r="B10" i="9"/>
  <c r="B11" i="9"/>
  <c r="B12" i="9"/>
  <c r="B13" i="9"/>
  <c r="B14" i="9"/>
  <c r="B5" i="9"/>
  <c r="A6" i="9"/>
  <c r="A7" i="9"/>
  <c r="A8" i="9"/>
  <c r="A9" i="9"/>
  <c r="A10" i="9"/>
  <c r="A11" i="9"/>
  <c r="A12" i="9"/>
  <c r="A13" i="9"/>
  <c r="A14" i="9"/>
  <c r="A5" i="9"/>
  <c r="A69" i="18"/>
  <c r="N208" i="4" l="1"/>
  <c r="N216" i="4"/>
  <c r="N224" i="4"/>
  <c r="N232" i="4"/>
  <c r="N240" i="4"/>
  <c r="N248" i="4"/>
  <c r="N256" i="4"/>
  <c r="N264" i="4"/>
  <c r="N272" i="4"/>
  <c r="N280" i="4"/>
  <c r="N288" i="4"/>
  <c r="N296" i="4"/>
  <c r="N304" i="4"/>
  <c r="N312" i="4"/>
  <c r="N320" i="4"/>
  <c r="N328" i="4"/>
  <c r="N336" i="4"/>
  <c r="N344" i="4"/>
  <c r="N352" i="4"/>
  <c r="N360" i="4"/>
  <c r="N368" i="4"/>
  <c r="N376" i="4"/>
  <c r="N384" i="4"/>
  <c r="N392" i="4"/>
  <c r="N400" i="4"/>
  <c r="N408" i="4"/>
  <c r="N416" i="4"/>
  <c r="N424" i="4"/>
  <c r="N432" i="4"/>
  <c r="N440" i="4"/>
  <c r="N448" i="4"/>
  <c r="N456" i="4"/>
  <c r="N464" i="4"/>
  <c r="N472" i="4"/>
  <c r="N480" i="4"/>
  <c r="N488" i="4"/>
  <c r="N496" i="4"/>
  <c r="N504" i="4"/>
  <c r="N512" i="4"/>
  <c r="N520" i="4"/>
  <c r="N528" i="4"/>
  <c r="N536" i="4"/>
  <c r="N544" i="4"/>
  <c r="N552" i="4"/>
  <c r="N559" i="4"/>
  <c r="N567" i="4"/>
  <c r="N575" i="4"/>
  <c r="O211" i="4"/>
  <c r="O219" i="4"/>
  <c r="O227" i="4"/>
  <c r="O235" i="4"/>
  <c r="O243" i="4"/>
  <c r="O251" i="4"/>
  <c r="O259" i="4"/>
  <c r="O267" i="4"/>
  <c r="O275" i="4"/>
  <c r="O283" i="4"/>
  <c r="O291" i="4"/>
  <c r="O299" i="4"/>
  <c r="O307" i="4"/>
  <c r="O315" i="4"/>
  <c r="O323" i="4"/>
  <c r="O331" i="4"/>
  <c r="O339" i="4"/>
  <c r="O347" i="4"/>
  <c r="O355" i="4"/>
  <c r="O363" i="4"/>
  <c r="O371" i="4"/>
  <c r="O379" i="4"/>
  <c r="O387" i="4"/>
  <c r="O395" i="4"/>
  <c r="O403" i="4"/>
  <c r="O411" i="4"/>
  <c r="O419" i="4"/>
  <c r="O427" i="4"/>
  <c r="O435" i="4"/>
  <c r="O443" i="4"/>
  <c r="O451" i="4"/>
  <c r="N209" i="4"/>
  <c r="N217" i="4"/>
  <c r="N225" i="4"/>
  <c r="N233" i="4"/>
  <c r="N241" i="4"/>
  <c r="N249" i="4"/>
  <c r="N257" i="4"/>
  <c r="N265" i="4"/>
  <c r="N273" i="4"/>
  <c r="N281" i="4"/>
  <c r="N289" i="4"/>
  <c r="N297" i="4"/>
  <c r="N305" i="4"/>
  <c r="N313" i="4"/>
  <c r="N321" i="4"/>
  <c r="N329" i="4"/>
  <c r="N337" i="4"/>
  <c r="N345" i="4"/>
  <c r="N353" i="4"/>
  <c r="N361" i="4"/>
  <c r="N369" i="4"/>
  <c r="N377" i="4"/>
  <c r="N385" i="4"/>
  <c r="N393" i="4"/>
  <c r="N401" i="4"/>
  <c r="N409" i="4"/>
  <c r="N417" i="4"/>
  <c r="N425" i="4"/>
  <c r="N433" i="4"/>
  <c r="N441" i="4"/>
  <c r="N449" i="4"/>
  <c r="N457" i="4"/>
  <c r="N465" i="4"/>
  <c r="N473" i="4"/>
  <c r="N481" i="4"/>
  <c r="N489" i="4"/>
  <c r="N497" i="4"/>
  <c r="N505" i="4"/>
  <c r="N513" i="4"/>
  <c r="N521" i="4"/>
  <c r="N529" i="4"/>
  <c r="N537" i="4"/>
  <c r="N545" i="4"/>
  <c r="N553" i="4"/>
  <c r="N560" i="4"/>
  <c r="N568" i="4"/>
  <c r="N576" i="4"/>
  <c r="O204" i="4"/>
  <c r="O212" i="4"/>
  <c r="O220" i="4"/>
  <c r="O228" i="4"/>
  <c r="O236" i="4"/>
  <c r="O244" i="4"/>
  <c r="O252" i="4"/>
  <c r="O260" i="4"/>
  <c r="O268" i="4"/>
  <c r="O276" i="4"/>
  <c r="O284" i="4"/>
  <c r="O292" i="4"/>
  <c r="O300" i="4"/>
  <c r="O308" i="4"/>
  <c r="O316" i="4"/>
  <c r="O324" i="4"/>
  <c r="O332" i="4"/>
  <c r="O340" i="4"/>
  <c r="O348" i="4"/>
  <c r="O356" i="4"/>
  <c r="O364" i="4"/>
  <c r="O372" i="4"/>
  <c r="O380" i="4"/>
  <c r="O388" i="4"/>
  <c r="O396" i="4"/>
  <c r="O404" i="4"/>
  <c r="O412" i="4"/>
  <c r="O420" i="4"/>
  <c r="O428" i="4"/>
  <c r="O436" i="4"/>
  <c r="O444" i="4"/>
  <c r="O452" i="4"/>
  <c r="N210" i="4"/>
  <c r="N218" i="4"/>
  <c r="N226" i="4"/>
  <c r="N234" i="4"/>
  <c r="N242" i="4"/>
  <c r="N250" i="4"/>
  <c r="N211" i="4"/>
  <c r="N219" i="4"/>
  <c r="N227" i="4"/>
  <c r="N235" i="4"/>
  <c r="N243" i="4"/>
  <c r="N251" i="4"/>
  <c r="N259" i="4"/>
  <c r="N267" i="4"/>
  <c r="N275" i="4"/>
  <c r="N283" i="4"/>
  <c r="N291" i="4"/>
  <c r="N299" i="4"/>
  <c r="N307" i="4"/>
  <c r="N315" i="4"/>
  <c r="N323" i="4"/>
  <c r="N331" i="4"/>
  <c r="N339" i="4"/>
  <c r="N347" i="4"/>
  <c r="N355" i="4"/>
  <c r="N363" i="4"/>
  <c r="N371" i="4"/>
  <c r="N379" i="4"/>
  <c r="N387" i="4"/>
  <c r="N395" i="4"/>
  <c r="N403" i="4"/>
  <c r="N411" i="4"/>
  <c r="N419" i="4"/>
  <c r="N427" i="4"/>
  <c r="N435" i="4"/>
  <c r="N443" i="4"/>
  <c r="N451" i="4"/>
  <c r="N459" i="4"/>
  <c r="N467" i="4"/>
  <c r="N475" i="4"/>
  <c r="N483" i="4"/>
  <c r="N491" i="4"/>
  <c r="N499" i="4"/>
  <c r="N507" i="4"/>
  <c r="N515" i="4"/>
  <c r="N523" i="4"/>
  <c r="N531" i="4"/>
  <c r="N539" i="4"/>
  <c r="N547" i="4"/>
  <c r="N555" i="4"/>
  <c r="N562" i="4"/>
  <c r="N570" i="4"/>
  <c r="N578" i="4"/>
  <c r="O206" i="4"/>
  <c r="O214" i="4"/>
  <c r="O222" i="4"/>
  <c r="O230" i="4"/>
  <c r="O238" i="4"/>
  <c r="O246" i="4"/>
  <c r="O254" i="4"/>
  <c r="O262" i="4"/>
  <c r="O270" i="4"/>
  <c r="O278" i="4"/>
  <c r="O286" i="4"/>
  <c r="O294" i="4"/>
  <c r="O302" i="4"/>
  <c r="O310" i="4"/>
  <c r="O318" i="4"/>
  <c r="O326" i="4"/>
  <c r="O334" i="4"/>
  <c r="O342" i="4"/>
  <c r="O350" i="4"/>
  <c r="O358" i="4"/>
  <c r="O366" i="4"/>
  <c r="O374" i="4"/>
  <c r="O382" i="4"/>
  <c r="O390" i="4"/>
  <c r="O398" i="4"/>
  <c r="O406" i="4"/>
  <c r="O414" i="4"/>
  <c r="O422" i="4"/>
  <c r="O430" i="4"/>
  <c r="O438" i="4"/>
  <c r="O446" i="4"/>
  <c r="O454" i="4"/>
  <c r="N204" i="4"/>
  <c r="N212" i="4"/>
  <c r="N220" i="4"/>
  <c r="N228" i="4"/>
  <c r="N236" i="4"/>
  <c r="N244" i="4"/>
  <c r="N252" i="4"/>
  <c r="N260" i="4"/>
  <c r="N268" i="4"/>
  <c r="N276" i="4"/>
  <c r="N284" i="4"/>
  <c r="N292" i="4"/>
  <c r="N300" i="4"/>
  <c r="N308" i="4"/>
  <c r="N316" i="4"/>
  <c r="N324" i="4"/>
  <c r="N332" i="4"/>
  <c r="N340" i="4"/>
  <c r="N348" i="4"/>
  <c r="N356" i="4"/>
  <c r="N364" i="4"/>
  <c r="N372" i="4"/>
  <c r="N380" i="4"/>
  <c r="N388" i="4"/>
  <c r="N396" i="4"/>
  <c r="N404" i="4"/>
  <c r="N412" i="4"/>
  <c r="N420" i="4"/>
  <c r="N428" i="4"/>
  <c r="N436" i="4"/>
  <c r="N444" i="4"/>
  <c r="N452" i="4"/>
  <c r="N460" i="4"/>
  <c r="N468" i="4"/>
  <c r="N476" i="4"/>
  <c r="N484" i="4"/>
  <c r="N492" i="4"/>
  <c r="N500" i="4"/>
  <c r="N508" i="4"/>
  <c r="N516" i="4"/>
  <c r="N524" i="4"/>
  <c r="N532" i="4"/>
  <c r="N540" i="4"/>
  <c r="N548" i="4"/>
  <c r="N556" i="4"/>
  <c r="N563" i="4"/>
  <c r="N571" i="4"/>
  <c r="N579" i="4"/>
  <c r="N205" i="4"/>
  <c r="N213" i="4"/>
  <c r="N221" i="4"/>
  <c r="N229" i="4"/>
  <c r="N237" i="4"/>
  <c r="N245" i="4"/>
  <c r="N253" i="4"/>
  <c r="N261" i="4"/>
  <c r="N269" i="4"/>
  <c r="N277" i="4"/>
  <c r="N285" i="4"/>
  <c r="N293" i="4"/>
  <c r="N301" i="4"/>
  <c r="N309" i="4"/>
  <c r="N317" i="4"/>
  <c r="N325" i="4"/>
  <c r="N333" i="4"/>
  <c r="N341" i="4"/>
  <c r="N349" i="4"/>
  <c r="N357" i="4"/>
  <c r="N365" i="4"/>
  <c r="N373" i="4"/>
  <c r="N381" i="4"/>
  <c r="N389" i="4"/>
  <c r="N397" i="4"/>
  <c r="N405" i="4"/>
  <c r="N413" i="4"/>
  <c r="N421" i="4"/>
  <c r="N429" i="4"/>
  <c r="N437" i="4"/>
  <c r="N445" i="4"/>
  <c r="N453" i="4"/>
  <c r="N461" i="4"/>
  <c r="N469" i="4"/>
  <c r="N477" i="4"/>
  <c r="N485" i="4"/>
  <c r="N493" i="4"/>
  <c r="N501" i="4"/>
  <c r="N509" i="4"/>
  <c r="N517" i="4"/>
  <c r="N525" i="4"/>
  <c r="N533" i="4"/>
  <c r="N541" i="4"/>
  <c r="N549" i="4"/>
  <c r="N564" i="4"/>
  <c r="N572" i="4"/>
  <c r="N580" i="4"/>
  <c r="O208" i="4"/>
  <c r="O216" i="4"/>
  <c r="O224" i="4"/>
  <c r="O232" i="4"/>
  <c r="O240" i="4"/>
  <c r="O248" i="4"/>
  <c r="O256" i="4"/>
  <c r="O264" i="4"/>
  <c r="O272" i="4"/>
  <c r="O280" i="4"/>
  <c r="O288" i="4"/>
  <c r="O296" i="4"/>
  <c r="O304" i="4"/>
  <c r="O312" i="4"/>
  <c r="O320" i="4"/>
  <c r="O328" i="4"/>
  <c r="O336" i="4"/>
  <c r="O344" i="4"/>
  <c r="O352" i="4"/>
  <c r="O360" i="4"/>
  <c r="O368" i="4"/>
  <c r="O376" i="4"/>
  <c r="O384" i="4"/>
  <c r="O392" i="4"/>
  <c r="O400" i="4"/>
  <c r="O408" i="4"/>
  <c r="O416" i="4"/>
  <c r="O424" i="4"/>
  <c r="N206" i="4"/>
  <c r="N214" i="4"/>
  <c r="N222" i="4"/>
  <c r="N230" i="4"/>
  <c r="N238" i="4"/>
  <c r="N246" i="4"/>
  <c r="N254" i="4"/>
  <c r="N262" i="4"/>
  <c r="N270" i="4"/>
  <c r="N278" i="4"/>
  <c r="N286" i="4"/>
  <c r="N294" i="4"/>
  <c r="N302" i="4"/>
  <c r="N310" i="4"/>
  <c r="N318" i="4"/>
  <c r="N326" i="4"/>
  <c r="N334" i="4"/>
  <c r="N342" i="4"/>
  <c r="N350" i="4"/>
  <c r="N358" i="4"/>
  <c r="N366" i="4"/>
  <c r="N374" i="4"/>
  <c r="N382" i="4"/>
  <c r="N390" i="4"/>
  <c r="N398" i="4"/>
  <c r="N406" i="4"/>
  <c r="N414" i="4"/>
  <c r="N422" i="4"/>
  <c r="N430" i="4"/>
  <c r="N438" i="4"/>
  <c r="N446" i="4"/>
  <c r="N454" i="4"/>
  <c r="N462" i="4"/>
  <c r="N470" i="4"/>
  <c r="N478" i="4"/>
  <c r="N486" i="4"/>
  <c r="N494" i="4"/>
  <c r="N502" i="4"/>
  <c r="N510" i="4"/>
  <c r="N518" i="4"/>
  <c r="N526" i="4"/>
  <c r="N534" i="4"/>
  <c r="N542" i="4"/>
  <c r="N550" i="4"/>
  <c r="N557" i="4"/>
  <c r="N565" i="4"/>
  <c r="N573" i="4"/>
  <c r="O209" i="4"/>
  <c r="O217" i="4"/>
  <c r="O225" i="4"/>
  <c r="O233" i="4"/>
  <c r="O241" i="4"/>
  <c r="O249" i="4"/>
  <c r="O257" i="4"/>
  <c r="O265" i="4"/>
  <c r="O273" i="4"/>
  <c r="O281" i="4"/>
  <c r="O289" i="4"/>
  <c r="O297" i="4"/>
  <c r="O305" i="4"/>
  <c r="N239" i="4"/>
  <c r="N279" i="4"/>
  <c r="N311" i="4"/>
  <c r="N343" i="4"/>
  <c r="N375" i="4"/>
  <c r="N407" i="4"/>
  <c r="N439" i="4"/>
  <c r="N471" i="4"/>
  <c r="N503" i="4"/>
  <c r="N535" i="4"/>
  <c r="N566" i="4"/>
  <c r="O215" i="4"/>
  <c r="O237" i="4"/>
  <c r="O258" i="4"/>
  <c r="O279" i="4"/>
  <c r="O301" i="4"/>
  <c r="O319" i="4"/>
  <c r="O335" i="4"/>
  <c r="O351" i="4"/>
  <c r="O367" i="4"/>
  <c r="O383" i="4"/>
  <c r="O399" i="4"/>
  <c r="O415" i="4"/>
  <c r="O431" i="4"/>
  <c r="O442" i="4"/>
  <c r="O456" i="4"/>
  <c r="O464" i="4"/>
  <c r="O472" i="4"/>
  <c r="O480" i="4"/>
  <c r="O488" i="4"/>
  <c r="O496" i="4"/>
  <c r="O504" i="4"/>
  <c r="O512" i="4"/>
  <c r="O520" i="4"/>
  <c r="O528" i="4"/>
  <c r="O536" i="4"/>
  <c r="O544" i="4"/>
  <c r="O552" i="4"/>
  <c r="O559" i="4"/>
  <c r="O567" i="4"/>
  <c r="O575" i="4"/>
  <c r="N298" i="4"/>
  <c r="N522" i="4"/>
  <c r="O207" i="4"/>
  <c r="O313" i="4"/>
  <c r="O393" i="4"/>
  <c r="O469" i="4"/>
  <c r="O509" i="4"/>
  <c r="N335" i="4"/>
  <c r="N495" i="4"/>
  <c r="O210" i="4"/>
  <c r="O295" i="4"/>
  <c r="O346" i="4"/>
  <c r="O394" i="4"/>
  <c r="O470" i="4"/>
  <c r="O502" i="4"/>
  <c r="O542" i="4"/>
  <c r="N247" i="4"/>
  <c r="N282" i="4"/>
  <c r="N314" i="4"/>
  <c r="N346" i="4"/>
  <c r="N378" i="4"/>
  <c r="N410" i="4"/>
  <c r="N442" i="4"/>
  <c r="N474" i="4"/>
  <c r="N506" i="4"/>
  <c r="N538" i="4"/>
  <c r="N569" i="4"/>
  <c r="O218" i="4"/>
  <c r="O239" i="4"/>
  <c r="O261" i="4"/>
  <c r="O282" i="4"/>
  <c r="O303" i="4"/>
  <c r="O321" i="4"/>
  <c r="O337" i="4"/>
  <c r="O353" i="4"/>
  <c r="O369" i="4"/>
  <c r="O385" i="4"/>
  <c r="O401" i="4"/>
  <c r="O417" i="4"/>
  <c r="O432" i="4"/>
  <c r="O445" i="4"/>
  <c r="O457" i="4"/>
  <c r="O465" i="4"/>
  <c r="O473" i="4"/>
  <c r="O481" i="4"/>
  <c r="O489" i="4"/>
  <c r="O497" i="4"/>
  <c r="O505" i="4"/>
  <c r="O513" i="4"/>
  <c r="O521" i="4"/>
  <c r="O529" i="4"/>
  <c r="O537" i="4"/>
  <c r="O545" i="4"/>
  <c r="O553" i="4"/>
  <c r="O560" i="4"/>
  <c r="O568" i="4"/>
  <c r="O576" i="4"/>
  <c r="N266" i="4"/>
  <c r="N490" i="4"/>
  <c r="O293" i="4"/>
  <c r="O409" i="4"/>
  <c r="O461" i="4"/>
  <c r="O517" i="4"/>
  <c r="O564" i="4"/>
  <c r="N303" i="4"/>
  <c r="N463" i="4"/>
  <c r="O253" i="4"/>
  <c r="O330" i="4"/>
  <c r="O426" i="4"/>
  <c r="O478" i="4"/>
  <c r="O534" i="4"/>
  <c r="N255" i="4"/>
  <c r="N287" i="4"/>
  <c r="N319" i="4"/>
  <c r="N351" i="4"/>
  <c r="N383" i="4"/>
  <c r="N415" i="4"/>
  <c r="N447" i="4"/>
  <c r="N479" i="4"/>
  <c r="N511" i="4"/>
  <c r="N543" i="4"/>
  <c r="N574" i="4"/>
  <c r="O221" i="4"/>
  <c r="O242" i="4"/>
  <c r="O263" i="4"/>
  <c r="O285" i="4"/>
  <c r="O306" i="4"/>
  <c r="O322" i="4"/>
  <c r="O338" i="4"/>
  <c r="O354" i="4"/>
  <c r="O370" i="4"/>
  <c r="O386" i="4"/>
  <c r="O402" i="4"/>
  <c r="O418" i="4"/>
  <c r="O433" i="4"/>
  <c r="O447" i="4"/>
  <c r="O458" i="4"/>
  <c r="O466" i="4"/>
  <c r="O474" i="4"/>
  <c r="O482" i="4"/>
  <c r="O490" i="4"/>
  <c r="O498" i="4"/>
  <c r="O506" i="4"/>
  <c r="O514" i="4"/>
  <c r="O522" i="4"/>
  <c r="O530" i="4"/>
  <c r="O538" i="4"/>
  <c r="O546" i="4"/>
  <c r="O554" i="4"/>
  <c r="O561" i="4"/>
  <c r="O569" i="4"/>
  <c r="O577" i="4"/>
  <c r="N362" i="4"/>
  <c r="O229" i="4"/>
  <c r="O329" i="4"/>
  <c r="O439" i="4"/>
  <c r="O501" i="4"/>
  <c r="O572" i="4"/>
  <c r="N399" i="4"/>
  <c r="O410" i="4"/>
  <c r="O510" i="4"/>
  <c r="O550" i="4"/>
  <c r="N258" i="4"/>
  <c r="N290" i="4"/>
  <c r="N322" i="4"/>
  <c r="N354" i="4"/>
  <c r="N386" i="4"/>
  <c r="N418" i="4"/>
  <c r="N450" i="4"/>
  <c r="N482" i="4"/>
  <c r="N514" i="4"/>
  <c r="N546" i="4"/>
  <c r="N577" i="4"/>
  <c r="O223" i="4"/>
  <c r="O245" i="4"/>
  <c r="O266" i="4"/>
  <c r="O287" i="4"/>
  <c r="O309" i="4"/>
  <c r="O325" i="4"/>
  <c r="O341" i="4"/>
  <c r="O357" i="4"/>
  <c r="O373" i="4"/>
  <c r="O389" i="4"/>
  <c r="O405" i="4"/>
  <c r="O421" i="4"/>
  <c r="O434" i="4"/>
  <c r="O448" i="4"/>
  <c r="O459" i="4"/>
  <c r="O467" i="4"/>
  <c r="O475" i="4"/>
  <c r="O483" i="4"/>
  <c r="O491" i="4"/>
  <c r="O499" i="4"/>
  <c r="O507" i="4"/>
  <c r="O515" i="4"/>
  <c r="O523" i="4"/>
  <c r="O531" i="4"/>
  <c r="O539" i="4"/>
  <c r="O547" i="4"/>
  <c r="O555" i="4"/>
  <c r="O562" i="4"/>
  <c r="O570" i="4"/>
  <c r="O578" i="4"/>
  <c r="N215" i="4"/>
  <c r="N426" i="4"/>
  <c r="N554" i="4"/>
  <c r="O271" i="4"/>
  <c r="O345" i="4"/>
  <c r="O425" i="4"/>
  <c r="O477" i="4"/>
  <c r="O533" i="4"/>
  <c r="O541" i="4"/>
  <c r="N223" i="4"/>
  <c r="N431" i="4"/>
  <c r="N558" i="4"/>
  <c r="O274" i="4"/>
  <c r="O378" i="4"/>
  <c r="O462" i="4"/>
  <c r="O494" i="4"/>
  <c r="O518" i="4"/>
  <c r="O557" i="4"/>
  <c r="N207" i="4"/>
  <c r="N263" i="4"/>
  <c r="N295" i="4"/>
  <c r="N327" i="4"/>
  <c r="N359" i="4"/>
  <c r="N391" i="4"/>
  <c r="N423" i="4"/>
  <c r="N455" i="4"/>
  <c r="N487" i="4"/>
  <c r="N519" i="4"/>
  <c r="N551" i="4"/>
  <c r="O205" i="4"/>
  <c r="O226" i="4"/>
  <c r="O247" i="4"/>
  <c r="O269" i="4"/>
  <c r="O290" i="4"/>
  <c r="O311" i="4"/>
  <c r="O327" i="4"/>
  <c r="O343" i="4"/>
  <c r="O359" i="4"/>
  <c r="O375" i="4"/>
  <c r="O391" i="4"/>
  <c r="O407" i="4"/>
  <c r="O423" i="4"/>
  <c r="O437" i="4"/>
  <c r="O449" i="4"/>
  <c r="O460" i="4"/>
  <c r="O468" i="4"/>
  <c r="O476" i="4"/>
  <c r="O484" i="4"/>
  <c r="O492" i="4"/>
  <c r="O500" i="4"/>
  <c r="O508" i="4"/>
  <c r="O516" i="4"/>
  <c r="O524" i="4"/>
  <c r="O532" i="4"/>
  <c r="O540" i="4"/>
  <c r="O548" i="4"/>
  <c r="O556" i="4"/>
  <c r="O563" i="4"/>
  <c r="O571" i="4"/>
  <c r="O579" i="4"/>
  <c r="N394" i="4"/>
  <c r="O377" i="4"/>
  <c r="O493" i="4"/>
  <c r="O580" i="4"/>
  <c r="N367" i="4"/>
  <c r="O440" i="4"/>
  <c r="O565" i="4"/>
  <c r="N231" i="4"/>
  <c r="N274" i="4"/>
  <c r="N306" i="4"/>
  <c r="N338" i="4"/>
  <c r="N370" i="4"/>
  <c r="N402" i="4"/>
  <c r="N434" i="4"/>
  <c r="N466" i="4"/>
  <c r="N498" i="4"/>
  <c r="N530" i="4"/>
  <c r="N561" i="4"/>
  <c r="O213" i="4"/>
  <c r="O234" i="4"/>
  <c r="O255" i="4"/>
  <c r="O277" i="4"/>
  <c r="O298" i="4"/>
  <c r="O317" i="4"/>
  <c r="O333" i="4"/>
  <c r="O349" i="4"/>
  <c r="O365" i="4"/>
  <c r="O381" i="4"/>
  <c r="O397" i="4"/>
  <c r="O413" i="4"/>
  <c r="O429" i="4"/>
  <c r="O441" i="4"/>
  <c r="O455" i="4"/>
  <c r="O463" i="4"/>
  <c r="O471" i="4"/>
  <c r="O479" i="4"/>
  <c r="O487" i="4"/>
  <c r="O495" i="4"/>
  <c r="O503" i="4"/>
  <c r="O511" i="4"/>
  <c r="O519" i="4"/>
  <c r="O527" i="4"/>
  <c r="O535" i="4"/>
  <c r="O543" i="4"/>
  <c r="O551" i="4"/>
  <c r="O558" i="4"/>
  <c r="O566" i="4"/>
  <c r="O574" i="4"/>
  <c r="N330" i="4"/>
  <c r="N458" i="4"/>
  <c r="O250" i="4"/>
  <c r="O361" i="4"/>
  <c r="O450" i="4"/>
  <c r="O485" i="4"/>
  <c r="O525" i="4"/>
  <c r="O549" i="4"/>
  <c r="N271" i="4"/>
  <c r="N527" i="4"/>
  <c r="O231" i="4"/>
  <c r="O314" i="4"/>
  <c r="O362" i="4"/>
  <c r="O453" i="4"/>
  <c r="O486" i="4"/>
  <c r="O526" i="4"/>
  <c r="O573" i="4"/>
  <c r="N336" i="1"/>
  <c r="N344" i="1"/>
  <c r="N352" i="1"/>
  <c r="N360" i="1"/>
  <c r="N368" i="1"/>
  <c r="N376" i="1"/>
  <c r="N384" i="1"/>
  <c r="N392" i="1"/>
  <c r="N400" i="1"/>
  <c r="N408" i="1"/>
  <c r="N416" i="1"/>
  <c r="N424" i="1"/>
  <c r="N432" i="1"/>
  <c r="N440" i="1"/>
  <c r="N448" i="1"/>
  <c r="N456" i="1"/>
  <c r="N464" i="1"/>
  <c r="N472" i="1"/>
  <c r="N480" i="1"/>
  <c r="N488" i="1"/>
  <c r="N496" i="1"/>
  <c r="N504" i="1"/>
  <c r="N512" i="1"/>
  <c r="N520" i="1"/>
  <c r="N528" i="1"/>
  <c r="N536" i="1"/>
  <c r="N544" i="1"/>
  <c r="N552" i="1"/>
  <c r="N560" i="1"/>
  <c r="N568" i="1"/>
  <c r="N576" i="1"/>
  <c r="N584" i="1"/>
  <c r="N592" i="1"/>
  <c r="N600" i="1"/>
  <c r="N608" i="1"/>
  <c r="N616" i="1"/>
  <c r="N624" i="1"/>
  <c r="O339" i="1"/>
  <c r="O347" i="1"/>
  <c r="O355" i="1"/>
  <c r="O363" i="1"/>
  <c r="O371" i="1"/>
  <c r="O379" i="1"/>
  <c r="O387" i="1"/>
  <c r="O395" i="1"/>
  <c r="O403" i="1"/>
  <c r="O411" i="1"/>
  <c r="O419" i="1"/>
  <c r="O427" i="1"/>
  <c r="O435" i="1"/>
  <c r="O443" i="1"/>
  <c r="O451" i="1"/>
  <c r="O459" i="1"/>
  <c r="O467" i="1"/>
  <c r="O475" i="1"/>
  <c r="O483" i="1"/>
  <c r="O491" i="1"/>
  <c r="O499" i="1"/>
  <c r="O507" i="1"/>
  <c r="O515" i="1"/>
  <c r="O523" i="1"/>
  <c r="O531" i="1"/>
  <c r="O539" i="1"/>
  <c r="O547" i="1"/>
  <c r="O555" i="1"/>
  <c r="O563" i="1"/>
  <c r="O571" i="1"/>
  <c r="O579" i="1"/>
  <c r="O587" i="1"/>
  <c r="O595" i="1"/>
  <c r="O603" i="1"/>
  <c r="O611" i="1"/>
  <c r="O619" i="1"/>
  <c r="O627" i="1"/>
  <c r="N337" i="1"/>
  <c r="N345" i="1"/>
  <c r="N353" i="1"/>
  <c r="N361" i="1"/>
  <c r="N369" i="1"/>
  <c r="N377" i="1"/>
  <c r="N385" i="1"/>
  <c r="N393" i="1"/>
  <c r="N401" i="1"/>
  <c r="N409" i="1"/>
  <c r="N417" i="1"/>
  <c r="N425" i="1"/>
  <c r="N433" i="1"/>
  <c r="N441" i="1"/>
  <c r="N449" i="1"/>
  <c r="N457" i="1"/>
  <c r="N465" i="1"/>
  <c r="N473" i="1"/>
  <c r="N481" i="1"/>
  <c r="N489" i="1"/>
  <c r="N497" i="1"/>
  <c r="N505" i="1"/>
  <c r="N513" i="1"/>
  <c r="N521" i="1"/>
  <c r="N529" i="1"/>
  <c r="N537" i="1"/>
  <c r="N545" i="1"/>
  <c r="N553" i="1"/>
  <c r="N561" i="1"/>
  <c r="N569" i="1"/>
  <c r="N577" i="1"/>
  <c r="N585" i="1"/>
  <c r="N593" i="1"/>
  <c r="N601" i="1"/>
  <c r="N609" i="1"/>
  <c r="N617" i="1"/>
  <c r="N625" i="1"/>
  <c r="O332" i="1"/>
  <c r="O340" i="1"/>
  <c r="O348" i="1"/>
  <c r="O356" i="1"/>
  <c r="O364" i="1"/>
  <c r="O372" i="1"/>
  <c r="O380" i="1"/>
  <c r="O388" i="1"/>
  <c r="O396" i="1"/>
  <c r="O404" i="1"/>
  <c r="O412" i="1"/>
  <c r="O420" i="1"/>
  <c r="O428" i="1"/>
  <c r="O436" i="1"/>
  <c r="O444" i="1"/>
  <c r="O452" i="1"/>
  <c r="O460" i="1"/>
  <c r="O468" i="1"/>
  <c r="O476" i="1"/>
  <c r="O484" i="1"/>
  <c r="O492" i="1"/>
  <c r="O500" i="1"/>
  <c r="O508" i="1"/>
  <c r="O516" i="1"/>
  <c r="O524" i="1"/>
  <c r="O532" i="1"/>
  <c r="O540" i="1"/>
  <c r="O548" i="1"/>
  <c r="O556" i="1"/>
  <c r="N338" i="1"/>
  <c r="N346" i="1"/>
  <c r="N354" i="1"/>
  <c r="N362" i="1"/>
  <c r="N370" i="1"/>
  <c r="N378" i="1"/>
  <c r="N386" i="1"/>
  <c r="N394" i="1"/>
  <c r="N402" i="1"/>
  <c r="N410" i="1"/>
  <c r="N418" i="1"/>
  <c r="N426" i="1"/>
  <c r="N434" i="1"/>
  <c r="N442" i="1"/>
  <c r="N450" i="1"/>
  <c r="N458" i="1"/>
  <c r="N466" i="1"/>
  <c r="N474" i="1"/>
  <c r="N482" i="1"/>
  <c r="N490" i="1"/>
  <c r="N498" i="1"/>
  <c r="N506" i="1"/>
  <c r="N514" i="1"/>
  <c r="N522" i="1"/>
  <c r="N530" i="1"/>
  <c r="N538" i="1"/>
  <c r="N546" i="1"/>
  <c r="N554" i="1"/>
  <c r="N562" i="1"/>
  <c r="N570" i="1"/>
  <c r="N578" i="1"/>
  <c r="N586" i="1"/>
  <c r="N594" i="1"/>
  <c r="N602" i="1"/>
  <c r="N610" i="1"/>
  <c r="N618" i="1"/>
  <c r="N626" i="1"/>
  <c r="O333" i="1"/>
  <c r="O341" i="1"/>
  <c r="O349" i="1"/>
  <c r="O357" i="1"/>
  <c r="O365" i="1"/>
  <c r="O373" i="1"/>
  <c r="O381" i="1"/>
  <c r="O389" i="1"/>
  <c r="O397" i="1"/>
  <c r="O405" i="1"/>
  <c r="O413" i="1"/>
  <c r="O421" i="1"/>
  <c r="O429" i="1"/>
  <c r="O437" i="1"/>
  <c r="O445" i="1"/>
  <c r="O453" i="1"/>
  <c r="O461" i="1"/>
  <c r="O469" i="1"/>
  <c r="O477" i="1"/>
  <c r="O485" i="1"/>
  <c r="O493" i="1"/>
  <c r="O501" i="1"/>
  <c r="O509" i="1"/>
  <c r="O517" i="1"/>
  <c r="O525" i="1"/>
  <c r="O533" i="1"/>
  <c r="O541" i="1"/>
  <c r="O549" i="1"/>
  <c r="O557" i="1"/>
  <c r="O565" i="1"/>
  <c r="O573" i="1"/>
  <c r="O581" i="1"/>
  <c r="O589" i="1"/>
  <c r="O597" i="1"/>
  <c r="O605" i="1"/>
  <c r="O613" i="1"/>
  <c r="O621" i="1"/>
  <c r="N339" i="1"/>
  <c r="N347" i="1"/>
  <c r="N355" i="1"/>
  <c r="N363" i="1"/>
  <c r="N371" i="1"/>
  <c r="N379" i="1"/>
  <c r="N387" i="1"/>
  <c r="N395" i="1"/>
  <c r="N403" i="1"/>
  <c r="N411" i="1"/>
  <c r="N419" i="1"/>
  <c r="N427" i="1"/>
  <c r="N435" i="1"/>
  <c r="N443" i="1"/>
  <c r="N451" i="1"/>
  <c r="N459" i="1"/>
  <c r="N467" i="1"/>
  <c r="N475" i="1"/>
  <c r="N483" i="1"/>
  <c r="N491" i="1"/>
  <c r="N499" i="1"/>
  <c r="N507" i="1"/>
  <c r="N515" i="1"/>
  <c r="N523" i="1"/>
  <c r="N531" i="1"/>
  <c r="N539" i="1"/>
  <c r="N547" i="1"/>
  <c r="N555" i="1"/>
  <c r="N563" i="1"/>
  <c r="N571" i="1"/>
  <c r="N579" i="1"/>
  <c r="N587" i="1"/>
  <c r="N595" i="1"/>
  <c r="N603" i="1"/>
  <c r="N611" i="1"/>
  <c r="N619" i="1"/>
  <c r="N627" i="1"/>
  <c r="O334" i="1"/>
  <c r="O342" i="1"/>
  <c r="O350" i="1"/>
  <c r="O358" i="1"/>
  <c r="O366" i="1"/>
  <c r="O374" i="1"/>
  <c r="O382" i="1"/>
  <c r="O390" i="1"/>
  <c r="O398" i="1"/>
  <c r="O406" i="1"/>
  <c r="O414" i="1"/>
  <c r="O422" i="1"/>
  <c r="O430" i="1"/>
  <c r="O438" i="1"/>
  <c r="O446" i="1"/>
  <c r="O454" i="1"/>
  <c r="O462" i="1"/>
  <c r="O470" i="1"/>
  <c r="O478" i="1"/>
  <c r="O486" i="1"/>
  <c r="O494" i="1"/>
  <c r="O502" i="1"/>
  <c r="O510" i="1"/>
  <c r="O518" i="1"/>
  <c r="O526" i="1"/>
  <c r="O534" i="1"/>
  <c r="O542" i="1"/>
  <c r="O550" i="1"/>
  <c r="O558" i="1"/>
  <c r="O566" i="1"/>
  <c r="O574" i="1"/>
  <c r="O582" i="1"/>
  <c r="O590" i="1"/>
  <c r="O598" i="1"/>
  <c r="O606" i="1"/>
  <c r="O614" i="1"/>
  <c r="N332" i="1"/>
  <c r="N340" i="1"/>
  <c r="N348" i="1"/>
  <c r="N356" i="1"/>
  <c r="N364" i="1"/>
  <c r="N372" i="1"/>
  <c r="N380" i="1"/>
  <c r="N388" i="1"/>
  <c r="N396" i="1"/>
  <c r="N404" i="1"/>
  <c r="N412" i="1"/>
  <c r="N420" i="1"/>
  <c r="N428" i="1"/>
  <c r="N436" i="1"/>
  <c r="N444" i="1"/>
  <c r="N452" i="1"/>
  <c r="N460" i="1"/>
  <c r="N468" i="1"/>
  <c r="N476" i="1"/>
  <c r="N484" i="1"/>
  <c r="N492" i="1"/>
  <c r="N500" i="1"/>
  <c r="N508" i="1"/>
  <c r="N516" i="1"/>
  <c r="N524" i="1"/>
  <c r="N532" i="1"/>
  <c r="N540" i="1"/>
  <c r="N548" i="1"/>
  <c r="N556" i="1"/>
  <c r="N564" i="1"/>
  <c r="N572" i="1"/>
  <c r="N580" i="1"/>
  <c r="N588" i="1"/>
  <c r="N596" i="1"/>
  <c r="N604" i="1"/>
  <c r="N612" i="1"/>
  <c r="N620" i="1"/>
  <c r="N628" i="1"/>
  <c r="O335" i="1"/>
  <c r="O343" i="1"/>
  <c r="O351" i="1"/>
  <c r="O359" i="1"/>
  <c r="O367" i="1"/>
  <c r="O375" i="1"/>
  <c r="O383" i="1"/>
  <c r="O391" i="1"/>
  <c r="O399" i="1"/>
  <c r="O407" i="1"/>
  <c r="O415" i="1"/>
  <c r="O423" i="1"/>
  <c r="O431" i="1"/>
  <c r="O439" i="1"/>
  <c r="O447" i="1"/>
  <c r="O455" i="1"/>
  <c r="O463" i="1"/>
  <c r="O471" i="1"/>
  <c r="O479" i="1"/>
  <c r="O487" i="1"/>
  <c r="O495" i="1"/>
  <c r="O503" i="1"/>
  <c r="O511" i="1"/>
  <c r="O519" i="1"/>
  <c r="O527" i="1"/>
  <c r="O535" i="1"/>
  <c r="O543" i="1"/>
  <c r="O551" i="1"/>
  <c r="O559" i="1"/>
  <c r="O567" i="1"/>
  <c r="O575" i="1"/>
  <c r="O583" i="1"/>
  <c r="O591" i="1"/>
  <c r="O599" i="1"/>
  <c r="O607" i="1"/>
  <c r="O615" i="1"/>
  <c r="O623" i="1"/>
  <c r="N335" i="1"/>
  <c r="N343" i="1"/>
  <c r="N351" i="1"/>
  <c r="N359" i="1"/>
  <c r="N367" i="1"/>
  <c r="N375" i="1"/>
  <c r="N383" i="1"/>
  <c r="N391" i="1"/>
  <c r="N399" i="1"/>
  <c r="N407" i="1"/>
  <c r="N415" i="1"/>
  <c r="N423" i="1"/>
  <c r="N431" i="1"/>
  <c r="N439" i="1"/>
  <c r="N447" i="1"/>
  <c r="N455" i="1"/>
  <c r="N463" i="1"/>
  <c r="N471" i="1"/>
  <c r="N479" i="1"/>
  <c r="N487" i="1"/>
  <c r="N495" i="1"/>
  <c r="N503" i="1"/>
  <c r="N511" i="1"/>
  <c r="N519" i="1"/>
  <c r="N527" i="1"/>
  <c r="N535" i="1"/>
  <c r="N543" i="1"/>
  <c r="N551" i="1"/>
  <c r="N559" i="1"/>
  <c r="N567" i="1"/>
  <c r="N575" i="1"/>
  <c r="N583" i="1"/>
  <c r="N591" i="1"/>
  <c r="N599" i="1"/>
  <c r="N607" i="1"/>
  <c r="N615" i="1"/>
  <c r="N623" i="1"/>
  <c r="O338" i="1"/>
  <c r="O346" i="1"/>
  <c r="O354" i="1"/>
  <c r="O362" i="1"/>
  <c r="O370" i="1"/>
  <c r="O378" i="1"/>
  <c r="O386" i="1"/>
  <c r="O394" i="1"/>
  <c r="O402" i="1"/>
  <c r="O410" i="1"/>
  <c r="O418" i="1"/>
  <c r="O426" i="1"/>
  <c r="O434" i="1"/>
  <c r="O442" i="1"/>
  <c r="O450" i="1"/>
  <c r="O458" i="1"/>
  <c r="O466" i="1"/>
  <c r="O474" i="1"/>
  <c r="O482" i="1"/>
  <c r="O490" i="1"/>
  <c r="O498" i="1"/>
  <c r="O506" i="1"/>
  <c r="O514" i="1"/>
  <c r="O522" i="1"/>
  <c r="O530" i="1"/>
  <c r="O538" i="1"/>
  <c r="O546" i="1"/>
  <c r="O554" i="1"/>
  <c r="O562" i="1"/>
  <c r="O570" i="1"/>
  <c r="O578" i="1"/>
  <c r="O586" i="1"/>
  <c r="O594" i="1"/>
  <c r="O602" i="1"/>
  <c r="O610" i="1"/>
  <c r="O618" i="1"/>
  <c r="O626" i="1"/>
  <c r="N349" i="1"/>
  <c r="N381" i="1"/>
  <c r="N413" i="1"/>
  <c r="N445" i="1"/>
  <c r="N477" i="1"/>
  <c r="N509" i="1"/>
  <c r="N541" i="1"/>
  <c r="N573" i="1"/>
  <c r="N605" i="1"/>
  <c r="O360" i="1"/>
  <c r="O392" i="1"/>
  <c r="O424" i="1"/>
  <c r="O456" i="1"/>
  <c r="O488" i="1"/>
  <c r="O520" i="1"/>
  <c r="O552" i="1"/>
  <c r="O576" i="1"/>
  <c r="O596" i="1"/>
  <c r="O617" i="1"/>
  <c r="N256" i="1"/>
  <c r="N264" i="1"/>
  <c r="N272" i="1"/>
  <c r="N280" i="1"/>
  <c r="N288" i="1"/>
  <c r="N296" i="1"/>
  <c r="N304" i="1"/>
  <c r="N312" i="1"/>
  <c r="N320" i="1"/>
  <c r="N328" i="1"/>
  <c r="O259" i="1"/>
  <c r="O267" i="1"/>
  <c r="O275" i="1"/>
  <c r="O283" i="1"/>
  <c r="O291" i="1"/>
  <c r="O299" i="1"/>
  <c r="O315" i="1"/>
  <c r="O331" i="1"/>
  <c r="N366" i="1"/>
  <c r="N462" i="1"/>
  <c r="N622" i="1"/>
  <c r="O377" i="1"/>
  <c r="O505" i="1"/>
  <c r="O588" i="1"/>
  <c r="N277" i="1"/>
  <c r="N309" i="1"/>
  <c r="O256" i="1"/>
  <c r="O280" i="1"/>
  <c r="O312" i="1"/>
  <c r="N405" i="1"/>
  <c r="N469" i="1"/>
  <c r="N597" i="1"/>
  <c r="O384" i="1"/>
  <c r="O480" i="1"/>
  <c r="O544" i="1"/>
  <c r="N278" i="1"/>
  <c r="N294" i="1"/>
  <c r="N326" i="1"/>
  <c r="O281" i="1"/>
  <c r="O329" i="1"/>
  <c r="N350" i="1"/>
  <c r="N382" i="1"/>
  <c r="N414" i="1"/>
  <c r="N446" i="1"/>
  <c r="N478" i="1"/>
  <c r="N510" i="1"/>
  <c r="N542" i="1"/>
  <c r="N574" i="1"/>
  <c r="N606" i="1"/>
  <c r="O361" i="1"/>
  <c r="O393" i="1"/>
  <c r="O425" i="1"/>
  <c r="O457" i="1"/>
  <c r="O489" i="1"/>
  <c r="O521" i="1"/>
  <c r="O553" i="1"/>
  <c r="O577" i="1"/>
  <c r="O600" i="1"/>
  <c r="O620" i="1"/>
  <c r="N257" i="1"/>
  <c r="N265" i="1"/>
  <c r="N273" i="1"/>
  <c r="N281" i="1"/>
  <c r="N289" i="1"/>
  <c r="N297" i="1"/>
  <c r="N305" i="1"/>
  <c r="N313" i="1"/>
  <c r="N321" i="1"/>
  <c r="N329" i="1"/>
  <c r="O260" i="1"/>
  <c r="O268" i="1"/>
  <c r="O276" i="1"/>
  <c r="O284" i="1"/>
  <c r="O292" i="1"/>
  <c r="O300" i="1"/>
  <c r="O308" i="1"/>
  <c r="O316" i="1"/>
  <c r="O324" i="1"/>
  <c r="N357" i="1"/>
  <c r="N389" i="1"/>
  <c r="N421" i="1"/>
  <c r="N453" i="1"/>
  <c r="N485" i="1"/>
  <c r="N517" i="1"/>
  <c r="N549" i="1"/>
  <c r="N581" i="1"/>
  <c r="N613" i="1"/>
  <c r="O336" i="1"/>
  <c r="O368" i="1"/>
  <c r="O400" i="1"/>
  <c r="O432" i="1"/>
  <c r="O464" i="1"/>
  <c r="O496" i="1"/>
  <c r="O528" i="1"/>
  <c r="O560" i="1"/>
  <c r="O580" i="1"/>
  <c r="O601" i="1"/>
  <c r="O622" i="1"/>
  <c r="N258" i="1"/>
  <c r="N266" i="1"/>
  <c r="N274" i="1"/>
  <c r="N282" i="1"/>
  <c r="N290" i="1"/>
  <c r="N298" i="1"/>
  <c r="N306" i="1"/>
  <c r="N314" i="1"/>
  <c r="N322" i="1"/>
  <c r="N330" i="1"/>
  <c r="O261" i="1"/>
  <c r="O269" i="1"/>
  <c r="O277" i="1"/>
  <c r="O285" i="1"/>
  <c r="O293" i="1"/>
  <c r="O301" i="1"/>
  <c r="O309" i="1"/>
  <c r="O317" i="1"/>
  <c r="O568" i="1"/>
  <c r="O612" i="1"/>
  <c r="O289" i="1"/>
  <c r="N358" i="1"/>
  <c r="N390" i="1"/>
  <c r="N422" i="1"/>
  <c r="N454" i="1"/>
  <c r="N486" i="1"/>
  <c r="N518" i="1"/>
  <c r="N550" i="1"/>
  <c r="N582" i="1"/>
  <c r="N614" i="1"/>
  <c r="O337" i="1"/>
  <c r="O369" i="1"/>
  <c r="O401" i="1"/>
  <c r="O433" i="1"/>
  <c r="O465" i="1"/>
  <c r="O497" i="1"/>
  <c r="O529" i="1"/>
  <c r="O561" i="1"/>
  <c r="O584" i="1"/>
  <c r="O604" i="1"/>
  <c r="O624" i="1"/>
  <c r="N259" i="1"/>
  <c r="N267" i="1"/>
  <c r="N275" i="1"/>
  <c r="N283" i="1"/>
  <c r="N291" i="1"/>
  <c r="N299" i="1"/>
  <c r="N307" i="1"/>
  <c r="N315" i="1"/>
  <c r="N323" i="1"/>
  <c r="N331" i="1"/>
  <c r="O262" i="1"/>
  <c r="O270" i="1"/>
  <c r="O278" i="1"/>
  <c r="O286" i="1"/>
  <c r="O294" i="1"/>
  <c r="O302" i="1"/>
  <c r="O310" i="1"/>
  <c r="O318" i="1"/>
  <c r="O326" i="1"/>
  <c r="N398" i="1"/>
  <c r="N494" i="1"/>
  <c r="N590" i="1"/>
  <c r="O409" i="1"/>
  <c r="O537" i="1"/>
  <c r="N285" i="1"/>
  <c r="N317" i="1"/>
  <c r="O272" i="1"/>
  <c r="O288" i="1"/>
  <c r="O328" i="1"/>
  <c r="N437" i="1"/>
  <c r="N565" i="1"/>
  <c r="O448" i="1"/>
  <c r="O592" i="1"/>
  <c r="N270" i="1"/>
  <c r="N318" i="1"/>
  <c r="O265" i="1"/>
  <c r="O297" i="1"/>
  <c r="O321" i="1"/>
  <c r="N333" i="1"/>
  <c r="N365" i="1"/>
  <c r="N397" i="1"/>
  <c r="N429" i="1"/>
  <c r="N461" i="1"/>
  <c r="N493" i="1"/>
  <c r="N525" i="1"/>
  <c r="N557" i="1"/>
  <c r="N589" i="1"/>
  <c r="N621" i="1"/>
  <c r="O344" i="1"/>
  <c r="O376" i="1"/>
  <c r="O408" i="1"/>
  <c r="O440" i="1"/>
  <c r="O472" i="1"/>
  <c r="O504" i="1"/>
  <c r="O536" i="1"/>
  <c r="O564" i="1"/>
  <c r="O585" i="1"/>
  <c r="O608" i="1"/>
  <c r="O625" i="1"/>
  <c r="N260" i="1"/>
  <c r="N268" i="1"/>
  <c r="N276" i="1"/>
  <c r="N284" i="1"/>
  <c r="N292" i="1"/>
  <c r="N300" i="1"/>
  <c r="N308" i="1"/>
  <c r="N316" i="1"/>
  <c r="N324" i="1"/>
  <c r="O255" i="1"/>
  <c r="O263" i="1"/>
  <c r="O271" i="1"/>
  <c r="O279" i="1"/>
  <c r="O287" i="1"/>
  <c r="O295" i="1"/>
  <c r="O303" i="1"/>
  <c r="O311" i="1"/>
  <c r="O319" i="1"/>
  <c r="O327" i="1"/>
  <c r="N430" i="1"/>
  <c r="N526" i="1"/>
  <c r="O345" i="1"/>
  <c r="O441" i="1"/>
  <c r="O628" i="1"/>
  <c r="N261" i="1"/>
  <c r="N301" i="1"/>
  <c r="O264" i="1"/>
  <c r="O296" i="1"/>
  <c r="N373" i="1"/>
  <c r="N501" i="1"/>
  <c r="O352" i="1"/>
  <c r="O512" i="1"/>
  <c r="N262" i="1"/>
  <c r="N302" i="1"/>
  <c r="O257" i="1"/>
  <c r="O313" i="1"/>
  <c r="N342" i="1"/>
  <c r="N374" i="1"/>
  <c r="N406" i="1"/>
  <c r="N438" i="1"/>
  <c r="N470" i="1"/>
  <c r="N502" i="1"/>
  <c r="N534" i="1"/>
  <c r="N566" i="1"/>
  <c r="N598" i="1"/>
  <c r="O353" i="1"/>
  <c r="O385" i="1"/>
  <c r="O417" i="1"/>
  <c r="O449" i="1"/>
  <c r="O481" i="1"/>
  <c r="O513" i="1"/>
  <c r="O545" i="1"/>
  <c r="O572" i="1"/>
  <c r="O593" i="1"/>
  <c r="O616" i="1"/>
  <c r="N255" i="1"/>
  <c r="N263" i="1"/>
  <c r="N271" i="1"/>
  <c r="N279" i="1"/>
  <c r="N287" i="1"/>
  <c r="N295" i="1"/>
  <c r="N303" i="1"/>
  <c r="N311" i="1"/>
  <c r="N319" i="1"/>
  <c r="N327" i="1"/>
  <c r="O258" i="1"/>
  <c r="O266" i="1"/>
  <c r="O274" i="1"/>
  <c r="O282" i="1"/>
  <c r="O290" i="1"/>
  <c r="O298" i="1"/>
  <c r="O306" i="1"/>
  <c r="O314" i="1"/>
  <c r="O322" i="1"/>
  <c r="O330" i="1"/>
  <c r="O307" i="1"/>
  <c r="O323" i="1"/>
  <c r="O325" i="1"/>
  <c r="N334" i="1"/>
  <c r="N558" i="1"/>
  <c r="O473" i="1"/>
  <c r="O609" i="1"/>
  <c r="N269" i="1"/>
  <c r="N293" i="1"/>
  <c r="N325" i="1"/>
  <c r="O304" i="1"/>
  <c r="O320" i="1"/>
  <c r="N341" i="1"/>
  <c r="N533" i="1"/>
  <c r="O416" i="1"/>
  <c r="O569" i="1"/>
  <c r="N286" i="1"/>
  <c r="N310" i="1"/>
  <c r="O273" i="1"/>
  <c r="O305" i="1"/>
  <c r="N201" i="1"/>
  <c r="N209" i="1"/>
  <c r="N217" i="1"/>
  <c r="N225" i="1"/>
  <c r="N233" i="1"/>
  <c r="N241" i="1"/>
  <c r="N249" i="1"/>
  <c r="O211" i="1"/>
  <c r="O227" i="1"/>
  <c r="O243" i="1"/>
  <c r="N202" i="1"/>
  <c r="N210" i="1"/>
  <c r="N218" i="1"/>
  <c r="N226" i="1"/>
  <c r="N234" i="1"/>
  <c r="N242" i="1"/>
  <c r="N250" i="1"/>
  <c r="O204" i="1"/>
  <c r="O212" i="1"/>
  <c r="O220" i="1"/>
  <c r="O228" i="1"/>
  <c r="O236" i="1"/>
  <c r="O244" i="1"/>
  <c r="O252" i="1"/>
  <c r="O231" i="1"/>
  <c r="N215" i="1"/>
  <c r="O209" i="1"/>
  <c r="N203" i="1"/>
  <c r="N211" i="1"/>
  <c r="N219" i="1"/>
  <c r="N227" i="1"/>
  <c r="N235" i="1"/>
  <c r="N243" i="1"/>
  <c r="N251" i="1"/>
  <c r="O205" i="1"/>
  <c r="O213" i="1"/>
  <c r="O221" i="1"/>
  <c r="O229" i="1"/>
  <c r="O237" i="1"/>
  <c r="O245" i="1"/>
  <c r="O253" i="1"/>
  <c r="O239" i="1"/>
  <c r="N223" i="1"/>
  <c r="O217" i="1"/>
  <c r="N204" i="1"/>
  <c r="N212" i="1"/>
  <c r="N220" i="1"/>
  <c r="N228" i="1"/>
  <c r="N236" i="1"/>
  <c r="N244" i="1"/>
  <c r="N252" i="1"/>
  <c r="O206" i="1"/>
  <c r="O214" i="1"/>
  <c r="O222" i="1"/>
  <c r="O230" i="1"/>
  <c r="O238" i="1"/>
  <c r="O246" i="1"/>
  <c r="O254" i="1"/>
  <c r="O223" i="1"/>
  <c r="N239" i="1"/>
  <c r="O201" i="1"/>
  <c r="O249" i="1"/>
  <c r="N205" i="1"/>
  <c r="N213" i="1"/>
  <c r="N221" i="1"/>
  <c r="N229" i="1"/>
  <c r="N237" i="1"/>
  <c r="N245" i="1"/>
  <c r="N253" i="1"/>
  <c r="O207" i="1"/>
  <c r="O215" i="1"/>
  <c r="O247" i="1"/>
  <c r="N247" i="1"/>
  <c r="O233" i="1"/>
  <c r="N206" i="1"/>
  <c r="N214" i="1"/>
  <c r="N222" i="1"/>
  <c r="N230" i="1"/>
  <c r="N238" i="1"/>
  <c r="N246" i="1"/>
  <c r="N254" i="1"/>
  <c r="O200" i="1"/>
  <c r="O208" i="1"/>
  <c r="O216" i="1"/>
  <c r="O224" i="1"/>
  <c r="O232" i="1"/>
  <c r="O240" i="1"/>
  <c r="O248" i="1"/>
  <c r="N207" i="1"/>
  <c r="N231" i="1"/>
  <c r="O225" i="1"/>
  <c r="N200" i="1"/>
  <c r="N208" i="1"/>
  <c r="N216" i="1"/>
  <c r="N224" i="1"/>
  <c r="N232" i="1"/>
  <c r="N240" i="1"/>
  <c r="N248" i="1"/>
  <c r="O202" i="1"/>
  <c r="O210" i="1"/>
  <c r="O218" i="1"/>
  <c r="O226" i="1"/>
  <c r="O234" i="1"/>
  <c r="O242" i="1"/>
  <c r="O250" i="1"/>
  <c r="O203" i="1"/>
  <c r="O219" i="1"/>
  <c r="O235" i="1"/>
  <c r="O251" i="1"/>
  <c r="O241" i="1"/>
  <c r="N144" i="4"/>
  <c r="N152" i="4"/>
  <c r="N160" i="4"/>
  <c r="N168" i="4"/>
  <c r="N176" i="4"/>
  <c r="N184" i="4"/>
  <c r="N192" i="4"/>
  <c r="N200" i="4"/>
  <c r="O147" i="4"/>
  <c r="O155" i="4"/>
  <c r="O163" i="4"/>
  <c r="O171" i="4"/>
  <c r="O179" i="4"/>
  <c r="O187" i="4"/>
  <c r="O195" i="4"/>
  <c r="O203" i="4"/>
  <c r="N145" i="4"/>
  <c r="N153" i="4"/>
  <c r="N161" i="4"/>
  <c r="N169" i="4"/>
  <c r="N177" i="4"/>
  <c r="N185" i="4"/>
  <c r="N193" i="4"/>
  <c r="N201" i="4"/>
  <c r="O164" i="4"/>
  <c r="O180" i="4"/>
  <c r="N146" i="4"/>
  <c r="N154" i="4"/>
  <c r="N162" i="4"/>
  <c r="N170" i="4"/>
  <c r="N178" i="4"/>
  <c r="N186" i="4"/>
  <c r="N194" i="4"/>
  <c r="N202" i="4"/>
  <c r="O149" i="4"/>
  <c r="O157" i="4"/>
  <c r="O165" i="4"/>
  <c r="O173" i="4"/>
  <c r="O181" i="4"/>
  <c r="O189" i="4"/>
  <c r="O197" i="4"/>
  <c r="N147" i="4"/>
  <c r="N155" i="4"/>
  <c r="N171" i="4"/>
  <c r="N179" i="4"/>
  <c r="N195" i="4"/>
  <c r="N203" i="4"/>
  <c r="O150" i="4"/>
  <c r="O166" i="4"/>
  <c r="O174" i="4"/>
  <c r="O190" i="4"/>
  <c r="N173" i="4"/>
  <c r="N197" i="4"/>
  <c r="O160" i="4"/>
  <c r="O176" i="4"/>
  <c r="O200" i="4"/>
  <c r="N143" i="4"/>
  <c r="N175" i="4"/>
  <c r="N191" i="4"/>
  <c r="O154" i="4"/>
  <c r="O178" i="4"/>
  <c r="O196" i="4"/>
  <c r="N163" i="4"/>
  <c r="N187" i="4"/>
  <c r="O158" i="4"/>
  <c r="O182" i="4"/>
  <c r="O198" i="4"/>
  <c r="N189" i="4"/>
  <c r="N148" i="4"/>
  <c r="N156" i="4"/>
  <c r="N164" i="4"/>
  <c r="N172" i="4"/>
  <c r="N180" i="4"/>
  <c r="N188" i="4"/>
  <c r="N196" i="4"/>
  <c r="O143" i="4"/>
  <c r="O151" i="4"/>
  <c r="O159" i="4"/>
  <c r="O167" i="4"/>
  <c r="O175" i="4"/>
  <c r="O183" i="4"/>
  <c r="O191" i="4"/>
  <c r="O199" i="4"/>
  <c r="N149" i="4"/>
  <c r="N165" i="4"/>
  <c r="N181" i="4"/>
  <c r="O144" i="4"/>
  <c r="O168" i="4"/>
  <c r="O192" i="4"/>
  <c r="N159" i="4"/>
  <c r="N183" i="4"/>
  <c r="O146" i="4"/>
  <c r="O170" i="4"/>
  <c r="O202" i="4"/>
  <c r="O156" i="4"/>
  <c r="N157" i="4"/>
  <c r="O152" i="4"/>
  <c r="O184" i="4"/>
  <c r="O194" i="4"/>
  <c r="O172" i="4"/>
  <c r="N150" i="4"/>
  <c r="N158" i="4"/>
  <c r="N166" i="4"/>
  <c r="N174" i="4"/>
  <c r="N182" i="4"/>
  <c r="N190" i="4"/>
  <c r="N198" i="4"/>
  <c r="O145" i="4"/>
  <c r="O153" i="4"/>
  <c r="O161" i="4"/>
  <c r="O169" i="4"/>
  <c r="O177" i="4"/>
  <c r="O185" i="4"/>
  <c r="O193" i="4"/>
  <c r="O201" i="4"/>
  <c r="N151" i="4"/>
  <c r="N167" i="4"/>
  <c r="N199" i="4"/>
  <c r="O162" i="4"/>
  <c r="O186" i="4"/>
  <c r="O148" i="4"/>
  <c r="O188" i="4"/>
  <c r="J27" i="9"/>
  <c r="O9" i="4"/>
  <c r="O17" i="4"/>
  <c r="O25" i="4"/>
  <c r="O33" i="4"/>
  <c r="O41" i="4"/>
  <c r="O49" i="4"/>
  <c r="O57" i="4"/>
  <c r="O65" i="4"/>
  <c r="O73" i="4"/>
  <c r="O81" i="4"/>
  <c r="O89" i="4"/>
  <c r="O97" i="4"/>
  <c r="O105" i="4"/>
  <c r="O113" i="4"/>
  <c r="O121" i="4"/>
  <c r="O129" i="4"/>
  <c r="O137" i="4"/>
  <c r="O2" i="4"/>
  <c r="O10" i="4"/>
  <c r="O18" i="4"/>
  <c r="O26" i="4"/>
  <c r="O34" i="4"/>
  <c r="O42" i="4"/>
  <c r="O50" i="4"/>
  <c r="O58" i="4"/>
  <c r="O66" i="4"/>
  <c r="O74" i="4"/>
  <c r="O82" i="4"/>
  <c r="O90" i="4"/>
  <c r="O98" i="4"/>
  <c r="O106" i="4"/>
  <c r="O114" i="4"/>
  <c r="O122" i="4"/>
  <c r="O130" i="4"/>
  <c r="O138" i="4"/>
  <c r="O3" i="4"/>
  <c r="O11" i="4"/>
  <c r="O19" i="4"/>
  <c r="O27" i="4"/>
  <c r="O35" i="4"/>
  <c r="O43" i="4"/>
  <c r="O51" i="4"/>
  <c r="O59" i="4"/>
  <c r="O67" i="4"/>
  <c r="O75" i="4"/>
  <c r="O83" i="4"/>
  <c r="O91" i="4"/>
  <c r="O99" i="4"/>
  <c r="O107" i="4"/>
  <c r="O115" i="4"/>
  <c r="O123" i="4"/>
  <c r="O131" i="4"/>
  <c r="O139" i="4"/>
  <c r="O4" i="4"/>
  <c r="O12" i="4"/>
  <c r="O20" i="4"/>
  <c r="O28" i="4"/>
  <c r="O36" i="4"/>
  <c r="O44" i="4"/>
  <c r="O52" i="4"/>
  <c r="O60" i="4"/>
  <c r="O68" i="4"/>
  <c r="O76" i="4"/>
  <c r="O84" i="4"/>
  <c r="O92" i="4"/>
  <c r="O100" i="4"/>
  <c r="O108" i="4"/>
  <c r="O116" i="4"/>
  <c r="O124" i="4"/>
  <c r="O132" i="4"/>
  <c r="O140" i="4"/>
  <c r="O5" i="4"/>
  <c r="O13" i="4"/>
  <c r="O21" i="4"/>
  <c r="O29" i="4"/>
  <c r="O37" i="4"/>
  <c r="O45" i="4"/>
  <c r="O53" i="4"/>
  <c r="O61" i="4"/>
  <c r="O69" i="4"/>
  <c r="O77" i="4"/>
  <c r="O85" i="4"/>
  <c r="O93" i="4"/>
  <c r="O101" i="4"/>
  <c r="O109" i="4"/>
  <c r="O117" i="4"/>
  <c r="O125" i="4"/>
  <c r="O133" i="4"/>
  <c r="O141" i="4"/>
  <c r="H18" i="9"/>
  <c r="O6" i="4"/>
  <c r="O14" i="4"/>
  <c r="O22" i="4"/>
  <c r="O30" i="4"/>
  <c r="O38" i="4"/>
  <c r="O46" i="4"/>
  <c r="O54" i="4"/>
  <c r="O62" i="4"/>
  <c r="O70" i="4"/>
  <c r="O78" i="4"/>
  <c r="O86" i="4"/>
  <c r="O94" i="4"/>
  <c r="O102" i="4"/>
  <c r="O110" i="4"/>
  <c r="O118" i="4"/>
  <c r="O126" i="4"/>
  <c r="O134" i="4"/>
  <c r="O142" i="4"/>
  <c r="O7" i="4"/>
  <c r="O15" i="4"/>
  <c r="O23" i="4"/>
  <c r="O31" i="4"/>
  <c r="O39" i="4"/>
  <c r="O47" i="4"/>
  <c r="O55" i="4"/>
  <c r="O63" i="4"/>
  <c r="O71" i="4"/>
  <c r="O79" i="4"/>
  <c r="O87" i="4"/>
  <c r="O95" i="4"/>
  <c r="O103" i="4"/>
  <c r="O111" i="4"/>
  <c r="O119" i="4"/>
  <c r="O127" i="4"/>
  <c r="O135" i="4"/>
  <c r="O64" i="4"/>
  <c r="O128" i="4"/>
  <c r="N8" i="4"/>
  <c r="N16" i="4"/>
  <c r="N24" i="4"/>
  <c r="N32" i="4"/>
  <c r="N40" i="4"/>
  <c r="N48" i="4"/>
  <c r="N56" i="4"/>
  <c r="N64" i="4"/>
  <c r="N72" i="4"/>
  <c r="N80" i="4"/>
  <c r="N88" i="4"/>
  <c r="N96" i="4"/>
  <c r="N104" i="4"/>
  <c r="N112" i="4"/>
  <c r="N120" i="4"/>
  <c r="N128" i="4"/>
  <c r="N136" i="4"/>
  <c r="O8" i="4"/>
  <c r="O72" i="4"/>
  <c r="O136" i="4"/>
  <c r="N9" i="4"/>
  <c r="N17" i="4"/>
  <c r="N25" i="4"/>
  <c r="N33" i="4"/>
  <c r="N41" i="4"/>
  <c r="N49" i="4"/>
  <c r="N57" i="4"/>
  <c r="N65" i="4"/>
  <c r="N73" i="4"/>
  <c r="N81" i="4"/>
  <c r="N89" i="4"/>
  <c r="N97" i="4"/>
  <c r="N105" i="4"/>
  <c r="N113" i="4"/>
  <c r="N121" i="4"/>
  <c r="N129" i="4"/>
  <c r="N137" i="4"/>
  <c r="O16" i="4"/>
  <c r="O80" i="4"/>
  <c r="N2" i="4"/>
  <c r="N10" i="4"/>
  <c r="N18" i="4"/>
  <c r="N26" i="4"/>
  <c r="N34" i="4"/>
  <c r="N42" i="4"/>
  <c r="N50" i="4"/>
  <c r="N58" i="4"/>
  <c r="N66" i="4"/>
  <c r="N74" i="4"/>
  <c r="N82" i="4"/>
  <c r="N90" i="4"/>
  <c r="N98" i="4"/>
  <c r="N106" i="4"/>
  <c r="N114" i="4"/>
  <c r="N122" i="4"/>
  <c r="N130" i="4"/>
  <c r="N138" i="4"/>
  <c r="O24" i="4"/>
  <c r="O88" i="4"/>
  <c r="N3" i="4"/>
  <c r="N11" i="4"/>
  <c r="N19" i="4"/>
  <c r="N27" i="4"/>
  <c r="N35" i="4"/>
  <c r="N43" i="4"/>
  <c r="N51" i="4"/>
  <c r="N59" i="4"/>
  <c r="N67" i="4"/>
  <c r="N75" i="4"/>
  <c r="N83" i="4"/>
  <c r="N91" i="4"/>
  <c r="N99" i="4"/>
  <c r="N107" i="4"/>
  <c r="N115" i="4"/>
  <c r="N123" i="4"/>
  <c r="N131" i="4"/>
  <c r="N139" i="4"/>
  <c r="O32" i="4"/>
  <c r="O96" i="4"/>
  <c r="N4" i="4"/>
  <c r="N12" i="4"/>
  <c r="N20" i="4"/>
  <c r="N28" i="4"/>
  <c r="N36" i="4"/>
  <c r="N44" i="4"/>
  <c r="N52" i="4"/>
  <c r="N60" i="4"/>
  <c r="N68" i="4"/>
  <c r="N76" i="4"/>
  <c r="N84" i="4"/>
  <c r="N92" i="4"/>
  <c r="N100" i="4"/>
  <c r="N108" i="4"/>
  <c r="N116" i="4"/>
  <c r="N124" i="4"/>
  <c r="N132" i="4"/>
  <c r="N140" i="4"/>
  <c r="O40" i="4"/>
  <c r="O104" i="4"/>
  <c r="N5" i="4"/>
  <c r="N13" i="4"/>
  <c r="N21" i="4"/>
  <c r="N29" i="4"/>
  <c r="N37" i="4"/>
  <c r="N45" i="4"/>
  <c r="N53" i="4"/>
  <c r="N61" i="4"/>
  <c r="N69" i="4"/>
  <c r="N77" i="4"/>
  <c r="N85" i="4"/>
  <c r="N93" i="4"/>
  <c r="N101" i="4"/>
  <c r="N109" i="4"/>
  <c r="N117" i="4"/>
  <c r="N125" i="4"/>
  <c r="N133" i="4"/>
  <c r="N141" i="4"/>
  <c r="N7" i="4"/>
  <c r="N39" i="4"/>
  <c r="N71" i="4"/>
  <c r="N103" i="4"/>
  <c r="N135" i="4"/>
  <c r="O48" i="4"/>
  <c r="N14" i="4"/>
  <c r="N46" i="4"/>
  <c r="N78" i="4"/>
  <c r="N110" i="4"/>
  <c r="N142" i="4"/>
  <c r="O56" i="4"/>
  <c r="N15" i="4"/>
  <c r="N47" i="4"/>
  <c r="N79" i="4"/>
  <c r="N111" i="4"/>
  <c r="O112" i="4"/>
  <c r="N22" i="4"/>
  <c r="N54" i="4"/>
  <c r="N86" i="4"/>
  <c r="N118" i="4"/>
  <c r="O120" i="4"/>
  <c r="N23" i="4"/>
  <c r="N55" i="4"/>
  <c r="N87" i="4"/>
  <c r="N119" i="4"/>
  <c r="N30" i="4"/>
  <c r="N62" i="4"/>
  <c r="N94" i="4"/>
  <c r="N126" i="4"/>
  <c r="N70" i="4"/>
  <c r="N95" i="4"/>
  <c r="N102" i="4"/>
  <c r="N127" i="4"/>
  <c r="N6" i="4"/>
  <c r="N134" i="4"/>
  <c r="N31" i="4"/>
  <c r="N38" i="4"/>
  <c r="N63" i="4"/>
  <c r="L21" i="1"/>
  <c r="L191" i="1"/>
  <c r="L175" i="1"/>
  <c r="L159" i="1"/>
  <c r="L151" i="1"/>
  <c r="L143" i="1"/>
  <c r="L135" i="1"/>
  <c r="L127" i="1"/>
  <c r="L119" i="1"/>
  <c r="L115" i="1"/>
  <c r="L107" i="1"/>
  <c r="L91" i="1"/>
  <c r="L83" i="1"/>
  <c r="L75" i="1"/>
  <c r="L67" i="1"/>
  <c r="L59" i="1"/>
  <c r="L51" i="1"/>
  <c r="L43" i="1"/>
  <c r="L35" i="1"/>
  <c r="L27" i="1"/>
  <c r="L19" i="1"/>
  <c r="L11" i="1"/>
  <c r="L3" i="1"/>
  <c r="L198" i="1"/>
  <c r="L190" i="1"/>
  <c r="L182" i="1"/>
  <c r="L174" i="1"/>
  <c r="L166" i="1"/>
  <c r="L158" i="1"/>
  <c r="L150" i="1"/>
  <c r="L142" i="1"/>
  <c r="L134" i="1"/>
  <c r="L126" i="1"/>
  <c r="L118" i="1"/>
  <c r="L114" i="1"/>
  <c r="L106" i="1"/>
  <c r="L98" i="1"/>
  <c r="L90" i="1"/>
  <c r="L82" i="1"/>
  <c r="L74" i="1"/>
  <c r="L66" i="1"/>
  <c r="L58" i="1"/>
  <c r="L50" i="1"/>
  <c r="L42" i="1"/>
  <c r="L34" i="1"/>
  <c r="L26" i="1"/>
  <c r="L18" i="1"/>
  <c r="L10" i="1"/>
  <c r="L199" i="1"/>
  <c r="L183" i="1"/>
  <c r="L167" i="1"/>
  <c r="L99" i="1"/>
  <c r="L197" i="1"/>
  <c r="L189" i="1"/>
  <c r="L181" i="1"/>
  <c r="L173" i="1"/>
  <c r="L165" i="1"/>
  <c r="L157" i="1"/>
  <c r="L149" i="1"/>
  <c r="L141" i="1"/>
  <c r="L133" i="1"/>
  <c r="L125" i="1"/>
  <c r="L113" i="1"/>
  <c r="L105" i="1"/>
  <c r="L97" i="1"/>
  <c r="L89" i="1"/>
  <c r="L81" i="1"/>
  <c r="L73" i="1"/>
  <c r="L65" i="1"/>
  <c r="L57" i="1"/>
  <c r="L49" i="1"/>
  <c r="L41" i="1"/>
  <c r="L33" i="1"/>
  <c r="L25" i="1"/>
  <c r="L17" i="1"/>
  <c r="L9" i="1"/>
  <c r="L180" i="1"/>
  <c r="L148" i="1"/>
  <c r="L124" i="1"/>
  <c r="L112" i="1"/>
  <c r="L88" i="1"/>
  <c r="L80" i="1"/>
  <c r="L64" i="1"/>
  <c r="L48" i="1"/>
  <c r="L40" i="1"/>
  <c r="L32" i="1"/>
  <c r="L24" i="1"/>
  <c r="L8" i="1"/>
  <c r="L195" i="1"/>
  <c r="L187" i="1"/>
  <c r="L179" i="1"/>
  <c r="L171" i="1"/>
  <c r="L163" i="1"/>
  <c r="L155" i="1"/>
  <c r="L147" i="1"/>
  <c r="L139" i="1"/>
  <c r="L131" i="1"/>
  <c r="L123" i="1"/>
  <c r="L111" i="1"/>
  <c r="L103" i="1"/>
  <c r="L95" i="1"/>
  <c r="L87" i="1"/>
  <c r="L79" i="1"/>
  <c r="L71" i="1"/>
  <c r="L63" i="1"/>
  <c r="L55" i="1"/>
  <c r="L47" i="1"/>
  <c r="L39" i="1"/>
  <c r="L31" i="1"/>
  <c r="L23" i="1"/>
  <c r="L15" i="1"/>
  <c r="L7" i="1"/>
  <c r="L196" i="1"/>
  <c r="L172" i="1"/>
  <c r="L164" i="1"/>
  <c r="L140" i="1"/>
  <c r="L104" i="1"/>
  <c r="L96" i="1"/>
  <c r="L72" i="1"/>
  <c r="L56" i="1"/>
  <c r="L194" i="1"/>
  <c r="L186" i="1"/>
  <c r="L178" i="1"/>
  <c r="L170" i="1"/>
  <c r="L162" i="1"/>
  <c r="L154" i="1"/>
  <c r="L146" i="1"/>
  <c r="L138" i="1"/>
  <c r="L130" i="1"/>
  <c r="L122" i="1"/>
  <c r="L110" i="1"/>
  <c r="L102" i="1"/>
  <c r="L94" i="1"/>
  <c r="L86" i="1"/>
  <c r="L78" i="1"/>
  <c r="L70" i="1"/>
  <c r="L62" i="1"/>
  <c r="L54" i="1"/>
  <c r="L46" i="1"/>
  <c r="L38" i="1"/>
  <c r="L30" i="1"/>
  <c r="L22" i="1"/>
  <c r="L14" i="1"/>
  <c r="L6" i="1"/>
  <c r="L188" i="1"/>
  <c r="L156" i="1"/>
  <c r="L132" i="1"/>
  <c r="L16" i="1"/>
  <c r="L193" i="1"/>
  <c r="L185" i="1"/>
  <c r="L177" i="1"/>
  <c r="L169" i="1"/>
  <c r="L161" i="1"/>
  <c r="L153" i="1"/>
  <c r="L145" i="1"/>
  <c r="L137" i="1"/>
  <c r="L129" i="1"/>
  <c r="L121" i="1"/>
  <c r="L117" i="1"/>
  <c r="L109" i="1"/>
  <c r="L101" i="1"/>
  <c r="L93" i="1"/>
  <c r="L85" i="1"/>
  <c r="L77" i="1"/>
  <c r="L69" i="1"/>
  <c r="L61" i="1"/>
  <c r="L53" i="1"/>
  <c r="L45" i="1"/>
  <c r="L37" i="1"/>
  <c r="L29" i="1"/>
  <c r="L13" i="1"/>
  <c r="L5" i="1"/>
  <c r="L192" i="1"/>
  <c r="L184" i="1"/>
  <c r="L176" i="1"/>
  <c r="L168" i="1"/>
  <c r="L160" i="1"/>
  <c r="L152" i="1"/>
  <c r="L144" i="1"/>
  <c r="L136" i="1"/>
  <c r="L128" i="1"/>
  <c r="L120" i="1"/>
  <c r="L116" i="1"/>
  <c r="L108" i="1"/>
  <c r="L100" i="1"/>
  <c r="L92" i="1"/>
  <c r="L84" i="1"/>
  <c r="L76" i="1"/>
  <c r="L68" i="1"/>
  <c r="L60" i="1"/>
  <c r="L52" i="1"/>
  <c r="L44" i="1"/>
  <c r="L36" i="1"/>
  <c r="L28" i="1"/>
  <c r="L20" i="1"/>
  <c r="L12" i="1"/>
  <c r="L4" i="1"/>
  <c r="E27" i="9"/>
  <c r="B32" i="9"/>
  <c r="B31" i="9"/>
  <c r="C27" i="9"/>
  <c r="C5" i="9"/>
  <c r="C6" i="9"/>
  <c r="C12" i="9"/>
  <c r="C8" i="9"/>
  <c r="E23" i="9"/>
  <c r="I5" i="9"/>
  <c r="J23" i="9"/>
  <c r="I12" i="9"/>
  <c r="E12" i="9"/>
  <c r="I10" i="9"/>
  <c r="F28" i="9"/>
  <c r="E7" i="9"/>
  <c r="E10" i="9"/>
  <c r="I8" i="9"/>
  <c r="E8" i="9"/>
  <c r="E26" i="9"/>
  <c r="C25" i="9"/>
  <c r="I14" i="9"/>
  <c r="I6" i="9"/>
  <c r="C23" i="9"/>
  <c r="C7" i="9"/>
  <c r="E9" i="9"/>
  <c r="I7" i="9"/>
  <c r="J25" i="9"/>
  <c r="H28" i="9"/>
  <c r="K25" i="9" s="1"/>
  <c r="C11" i="9"/>
  <c r="B28" i="9"/>
  <c r="C28" i="9" s="1"/>
  <c r="J26" i="9"/>
  <c r="C10" i="9"/>
  <c r="L11" i="9"/>
  <c r="C8" i="15"/>
  <c r="E11" i="9"/>
  <c r="C14" i="9"/>
  <c r="E5" i="9"/>
  <c r="I13" i="9"/>
  <c r="C24" i="9"/>
  <c r="C13" i="9"/>
  <c r="E14" i="9"/>
  <c r="E6" i="9"/>
  <c r="D28" i="9"/>
  <c r="D29" i="9" s="1"/>
  <c r="I11" i="9"/>
  <c r="E13" i="9"/>
  <c r="E25" i="9"/>
  <c r="C26" i="9"/>
  <c r="G28" i="9"/>
  <c r="O87" i="1"/>
  <c r="N125" i="1"/>
  <c r="O188" i="1"/>
  <c r="O33" i="1"/>
  <c r="O177" i="1"/>
  <c r="O73" i="1"/>
  <c r="O161" i="1"/>
  <c r="O46" i="1"/>
  <c r="O22" i="1"/>
  <c r="O113" i="1"/>
  <c r="O5" i="1"/>
  <c r="O147" i="1"/>
  <c r="O75" i="1"/>
  <c r="N165" i="1"/>
  <c r="N97" i="1"/>
  <c r="O105" i="1"/>
  <c r="O163" i="1"/>
  <c r="N98" i="1"/>
  <c r="O156" i="1"/>
  <c r="O41" i="1"/>
  <c r="O129" i="1"/>
  <c r="O36" i="1"/>
  <c r="O109" i="1"/>
  <c r="O14" i="1"/>
  <c r="O194" i="1"/>
  <c r="O97" i="1"/>
  <c r="O24" i="1"/>
  <c r="O135" i="1"/>
  <c r="O67" i="1"/>
  <c r="N158" i="1"/>
  <c r="N66" i="1"/>
  <c r="O172" i="1"/>
  <c r="N182" i="1"/>
  <c r="O117" i="1"/>
  <c r="O197" i="1"/>
  <c r="O30" i="1"/>
  <c r="O112" i="1"/>
  <c r="O181" i="1"/>
  <c r="O9" i="1"/>
  <c r="O185" i="1"/>
  <c r="O88" i="1"/>
  <c r="O173" i="1"/>
  <c r="O86" i="1"/>
  <c r="O20" i="1"/>
  <c r="O131" i="1"/>
  <c r="O43" i="1"/>
  <c r="N157" i="1"/>
  <c r="N65" i="1"/>
  <c r="O18" i="1"/>
  <c r="O89" i="1"/>
  <c r="O126" i="1"/>
  <c r="O125" i="1"/>
  <c r="O106" i="1"/>
  <c r="O186" i="1"/>
  <c r="O17" i="1"/>
  <c r="O90" i="1"/>
  <c r="O170" i="1"/>
  <c r="O169" i="1"/>
  <c r="O82" i="1"/>
  <c r="O168" i="1"/>
  <c r="O76" i="1"/>
  <c r="O12" i="1"/>
  <c r="O195" i="1"/>
  <c r="O127" i="1"/>
  <c r="O39" i="1"/>
  <c r="N150" i="1"/>
  <c r="N34" i="1"/>
  <c r="O74" i="1"/>
  <c r="O165" i="1"/>
  <c r="O48" i="1"/>
  <c r="O138" i="1"/>
  <c r="O158" i="1"/>
  <c r="O77" i="1"/>
  <c r="O152" i="1"/>
  <c r="O70" i="1"/>
  <c r="O191" i="1"/>
  <c r="O35" i="1"/>
  <c r="N197" i="1"/>
  <c r="N133" i="1"/>
  <c r="N33" i="1"/>
  <c r="O128" i="1"/>
  <c r="O66" i="1"/>
  <c r="O136" i="1"/>
  <c r="O99" i="1"/>
  <c r="O27" i="1"/>
  <c r="N190" i="1"/>
  <c r="N126" i="1"/>
  <c r="N105" i="1"/>
  <c r="N41" i="1"/>
  <c r="O40" i="1"/>
  <c r="O64" i="1"/>
  <c r="O154" i="1"/>
  <c r="O37" i="1"/>
  <c r="O148" i="1"/>
  <c r="O54" i="1"/>
  <c r="O183" i="1"/>
  <c r="O198" i="1"/>
  <c r="O32" i="1"/>
  <c r="O116" i="1"/>
  <c r="O193" i="1"/>
  <c r="O26" i="1"/>
  <c r="O100" i="1"/>
  <c r="O142" i="1"/>
  <c r="O45" i="1"/>
  <c r="O130" i="1"/>
  <c r="O44" i="1"/>
  <c r="O179" i="1"/>
  <c r="O91" i="1"/>
  <c r="O11" i="1"/>
  <c r="N189" i="1"/>
  <c r="N18" i="18"/>
  <c r="M18" i="18"/>
  <c r="N51" i="18"/>
  <c r="M51" i="18"/>
  <c r="L9" i="9"/>
  <c r="M26" i="9"/>
  <c r="L14" i="9"/>
  <c r="L7" i="9"/>
  <c r="L12" i="9"/>
  <c r="C9" i="9"/>
  <c r="L5" i="9"/>
  <c r="L8" i="9"/>
  <c r="M27" i="9"/>
  <c r="J24" i="9"/>
  <c r="I531" i="21"/>
  <c r="I529" i="21"/>
  <c r="J529" i="21" s="1"/>
  <c r="I9" i="9"/>
  <c r="L6" i="9"/>
  <c r="E24" i="9"/>
  <c r="M25" i="9"/>
  <c r="M24" i="9"/>
  <c r="N90" i="1"/>
  <c r="N26" i="1"/>
  <c r="N73" i="1"/>
  <c r="N9" i="1"/>
  <c r="N2" i="1"/>
  <c r="N118" i="1"/>
  <c r="N58" i="1"/>
  <c r="N3" i="1"/>
  <c r="N11" i="1"/>
  <c r="N19" i="1"/>
  <c r="N27" i="1"/>
  <c r="N35" i="1"/>
  <c r="N43" i="1"/>
  <c r="N51" i="1"/>
  <c r="N59" i="1"/>
  <c r="N67" i="1"/>
  <c r="N75" i="1"/>
  <c r="N83" i="1"/>
  <c r="N91" i="1"/>
  <c r="N99" i="1"/>
  <c r="N107" i="1"/>
  <c r="N115" i="1"/>
  <c r="N119" i="1"/>
  <c r="N127" i="1"/>
  <c r="N135" i="1"/>
  <c r="N143" i="1"/>
  <c r="N151" i="1"/>
  <c r="N159" i="1"/>
  <c r="N167" i="1"/>
  <c r="N175" i="1"/>
  <c r="N183" i="1"/>
  <c r="N191" i="1"/>
  <c r="N199" i="1"/>
  <c r="N4" i="1"/>
  <c r="N12" i="1"/>
  <c r="N20" i="1"/>
  <c r="N28" i="1"/>
  <c r="N36" i="1"/>
  <c r="N44" i="1"/>
  <c r="N52" i="1"/>
  <c r="N60" i="1"/>
  <c r="N68" i="1"/>
  <c r="N76" i="1"/>
  <c r="N84" i="1"/>
  <c r="N92" i="1"/>
  <c r="N100" i="1"/>
  <c r="N108" i="1"/>
  <c r="N116" i="1"/>
  <c r="N120" i="1"/>
  <c r="N128" i="1"/>
  <c r="N136" i="1"/>
  <c r="N144" i="1"/>
  <c r="N152" i="1"/>
  <c r="N160" i="1"/>
  <c r="N168" i="1"/>
  <c r="N176" i="1"/>
  <c r="N184" i="1"/>
  <c r="N192" i="1"/>
  <c r="O15" i="1"/>
  <c r="O47" i="1"/>
  <c r="O79" i="1"/>
  <c r="O111" i="1"/>
  <c r="O139" i="1"/>
  <c r="O171" i="1"/>
  <c r="O13" i="1"/>
  <c r="O60" i="1"/>
  <c r="O102" i="1"/>
  <c r="O141" i="1"/>
  <c r="O184" i="1"/>
  <c r="O50" i="1"/>
  <c r="O93" i="1"/>
  <c r="O132" i="1"/>
  <c r="O174" i="1"/>
  <c r="O68" i="1"/>
  <c r="O149" i="1"/>
  <c r="O58" i="1"/>
  <c r="O140" i="1"/>
  <c r="O52" i="1"/>
  <c r="O133" i="1"/>
  <c r="O42" i="1"/>
  <c r="O124" i="1"/>
  <c r="N5" i="1"/>
  <c r="N13" i="1"/>
  <c r="N21" i="1"/>
  <c r="N29" i="1"/>
  <c r="N37" i="1"/>
  <c r="N45" i="1"/>
  <c r="N53" i="1"/>
  <c r="N61" i="1"/>
  <c r="N69" i="1"/>
  <c r="N77" i="1"/>
  <c r="N85" i="1"/>
  <c r="N93" i="1"/>
  <c r="N101" i="1"/>
  <c r="N109" i="1"/>
  <c r="N117" i="1"/>
  <c r="N121" i="1"/>
  <c r="N129" i="1"/>
  <c r="N137" i="1"/>
  <c r="N145" i="1"/>
  <c r="N153" i="1"/>
  <c r="N161" i="1"/>
  <c r="N169" i="1"/>
  <c r="N177" i="1"/>
  <c r="N185" i="1"/>
  <c r="N193" i="1"/>
  <c r="O19" i="1"/>
  <c r="O51" i="1"/>
  <c r="O83" i="1"/>
  <c r="O115" i="1"/>
  <c r="O143" i="1"/>
  <c r="O175" i="1"/>
  <c r="O4" i="1"/>
  <c r="O21" i="1"/>
  <c r="O65" i="1"/>
  <c r="O108" i="1"/>
  <c r="O146" i="1"/>
  <c r="O189" i="1"/>
  <c r="O6" i="1"/>
  <c r="O56" i="1"/>
  <c r="O98" i="1"/>
  <c r="O137" i="1"/>
  <c r="O180" i="1"/>
  <c r="O78" i="1"/>
  <c r="O160" i="1"/>
  <c r="O69" i="1"/>
  <c r="O150" i="1"/>
  <c r="O62" i="1"/>
  <c r="O144" i="1"/>
  <c r="O53" i="1"/>
  <c r="O134" i="1"/>
  <c r="N6" i="1"/>
  <c r="N14" i="1"/>
  <c r="N22" i="1"/>
  <c r="N30" i="1"/>
  <c r="N38" i="1"/>
  <c r="N46" i="1"/>
  <c r="N54" i="1"/>
  <c r="N62" i="1"/>
  <c r="N70" i="1"/>
  <c r="N78" i="1"/>
  <c r="N86" i="1"/>
  <c r="N94" i="1"/>
  <c r="N102" i="1"/>
  <c r="N110" i="1"/>
  <c r="N122" i="1"/>
  <c r="N130" i="1"/>
  <c r="N138" i="1"/>
  <c r="N146" i="1"/>
  <c r="N154" i="1"/>
  <c r="N162" i="1"/>
  <c r="N170" i="1"/>
  <c r="N178" i="1"/>
  <c r="N186" i="1"/>
  <c r="N194" i="1"/>
  <c r="N7" i="1"/>
  <c r="N15" i="1"/>
  <c r="N23" i="1"/>
  <c r="N31" i="1"/>
  <c r="N39" i="1"/>
  <c r="N47" i="1"/>
  <c r="N55" i="1"/>
  <c r="N63" i="1"/>
  <c r="N71" i="1"/>
  <c r="N79" i="1"/>
  <c r="N87" i="1"/>
  <c r="N95" i="1"/>
  <c r="N103" i="1"/>
  <c r="N111" i="1"/>
  <c r="N123" i="1"/>
  <c r="N131" i="1"/>
  <c r="N139" i="1"/>
  <c r="N147" i="1"/>
  <c r="N155" i="1"/>
  <c r="N163" i="1"/>
  <c r="N171" i="1"/>
  <c r="N179" i="1"/>
  <c r="N187" i="1"/>
  <c r="N195" i="1"/>
  <c r="N8" i="1"/>
  <c r="N16" i="1"/>
  <c r="N24" i="1"/>
  <c r="N32" i="1"/>
  <c r="N40" i="1"/>
  <c r="N48" i="1"/>
  <c r="N56" i="1"/>
  <c r="N64" i="1"/>
  <c r="N72" i="1"/>
  <c r="N80" i="1"/>
  <c r="N88" i="1"/>
  <c r="N96" i="1"/>
  <c r="N104" i="1"/>
  <c r="N112" i="1"/>
  <c r="N124" i="1"/>
  <c r="N132" i="1"/>
  <c r="N140" i="1"/>
  <c r="N148" i="1"/>
  <c r="N156" i="1"/>
  <c r="N164" i="1"/>
  <c r="N172" i="1"/>
  <c r="N180" i="1"/>
  <c r="N188" i="1"/>
  <c r="N196" i="1"/>
  <c r="O31" i="1"/>
  <c r="O63" i="1"/>
  <c r="O95" i="1"/>
  <c r="O123" i="1"/>
  <c r="O155" i="1"/>
  <c r="O187" i="1"/>
  <c r="O16" i="1"/>
  <c r="O38" i="1"/>
  <c r="O81" i="1"/>
  <c r="O120" i="1"/>
  <c r="O162" i="1"/>
  <c r="O29" i="1"/>
  <c r="O72" i="1"/>
  <c r="O114" i="1"/>
  <c r="O153" i="1"/>
  <c r="O196" i="1"/>
  <c r="O25" i="1"/>
  <c r="O110" i="1"/>
  <c r="O192" i="1"/>
  <c r="O10" i="1"/>
  <c r="O101" i="1"/>
  <c r="O182" i="1"/>
  <c r="O94" i="1"/>
  <c r="O176" i="1"/>
  <c r="O85" i="1"/>
  <c r="O166" i="1"/>
  <c r="O145" i="1"/>
  <c r="O2" i="1"/>
  <c r="O122" i="1"/>
  <c r="O118" i="1"/>
  <c r="O190" i="1"/>
  <c r="O121" i="1"/>
  <c r="O61" i="1"/>
  <c r="O178" i="1"/>
  <c r="O49" i="1"/>
  <c r="O8" i="1"/>
  <c r="O167" i="1"/>
  <c r="O119" i="1"/>
  <c r="O71" i="1"/>
  <c r="O23" i="1"/>
  <c r="N181" i="1"/>
  <c r="N149" i="1"/>
  <c r="N89" i="1"/>
  <c r="N57" i="1"/>
  <c r="N25" i="1"/>
  <c r="N174" i="1"/>
  <c r="N142" i="1"/>
  <c r="N114" i="1"/>
  <c r="N82" i="1"/>
  <c r="N50" i="1"/>
  <c r="N18" i="1"/>
  <c r="O159" i="1"/>
  <c r="O107" i="1"/>
  <c r="O59" i="1"/>
  <c r="O7" i="1"/>
  <c r="N173" i="1"/>
  <c r="N141" i="1"/>
  <c r="N113" i="1"/>
  <c r="N81" i="1"/>
  <c r="N49" i="1"/>
  <c r="N17" i="1"/>
  <c r="L15" i="9"/>
  <c r="O96" i="1"/>
  <c r="O84" i="1"/>
  <c r="O80" i="1"/>
  <c r="O57" i="1"/>
  <c r="O164" i="1"/>
  <c r="O104" i="1"/>
  <c r="O34" i="1"/>
  <c r="O157" i="1"/>
  <c r="O92" i="1"/>
  <c r="O28" i="1"/>
  <c r="O199" i="1"/>
  <c r="O151" i="1"/>
  <c r="O103" i="1"/>
  <c r="O55" i="1"/>
  <c r="O3" i="1"/>
  <c r="N198" i="1"/>
  <c r="N166" i="1"/>
  <c r="N134" i="1"/>
  <c r="N106" i="1"/>
  <c r="N74" i="1"/>
  <c r="N42" i="1"/>
  <c r="N10" i="1"/>
  <c r="N6" i="9"/>
  <c r="N5" i="9"/>
  <c r="L13" i="9" l="1"/>
  <c r="M23" i="9"/>
  <c r="L10" i="9"/>
  <c r="B15" i="9"/>
  <c r="B16" i="9" s="1"/>
  <c r="C16" i="9" s="1"/>
  <c r="G15" i="9"/>
  <c r="G16" i="9" s="1"/>
  <c r="F15" i="9"/>
  <c r="F16" i="9" s="1"/>
  <c r="D15" i="9"/>
  <c r="D16" i="9" s="1"/>
  <c r="E16" i="9" s="1"/>
  <c r="H15" i="9"/>
  <c r="H16" i="9" s="1"/>
  <c r="J7" i="9" s="1"/>
  <c r="K7" i="9" s="1"/>
  <c r="B29" i="9"/>
  <c r="K27" i="9"/>
  <c r="L27" i="9" s="1"/>
  <c r="K24" i="9"/>
  <c r="L24" i="9" s="1"/>
  <c r="I23" i="9"/>
  <c r="E28" i="9"/>
  <c r="I26" i="9"/>
  <c r="L25" i="9"/>
  <c r="K23" i="9"/>
  <c r="I27" i="9"/>
  <c r="I24" i="9"/>
  <c r="I25" i="9"/>
  <c r="K26" i="9"/>
  <c r="L26" i="9" s="1"/>
  <c r="F63" i="18"/>
  <c r="E63" i="18"/>
  <c r="F90" i="18"/>
  <c r="E90" i="18"/>
  <c r="M64" i="18"/>
  <c r="N64" i="18"/>
  <c r="E52" i="18"/>
  <c r="F52" i="18"/>
  <c r="F13" i="18"/>
  <c r="E13" i="18"/>
  <c r="E83" i="18"/>
  <c r="F83" i="18"/>
  <c r="E40" i="18"/>
  <c r="F40" i="18"/>
  <c r="M69" i="18"/>
  <c r="N69" i="18"/>
  <c r="M87" i="18"/>
  <c r="N87" i="18"/>
  <c r="F103" i="18"/>
  <c r="E103" i="18"/>
  <c r="E60" i="18"/>
  <c r="F60" i="18"/>
  <c r="E9" i="18"/>
  <c r="F9" i="18"/>
  <c r="N31" i="18"/>
  <c r="M31" i="18"/>
  <c r="E80" i="18"/>
  <c r="F80" i="18"/>
  <c r="E38" i="18"/>
  <c r="F38" i="18"/>
  <c r="N46" i="18"/>
  <c r="M46" i="18"/>
  <c r="M65" i="18"/>
  <c r="N65" i="18"/>
  <c r="E85" i="18"/>
  <c r="F85" i="18"/>
  <c r="E53" i="18"/>
  <c r="F53" i="18"/>
  <c r="F16" i="18"/>
  <c r="E16" i="18"/>
  <c r="N54" i="18"/>
  <c r="M54" i="18"/>
  <c r="N104" i="18"/>
  <c r="M104" i="18"/>
  <c r="N24" i="18"/>
  <c r="M24" i="18"/>
  <c r="E100" i="18"/>
  <c r="F100" i="18"/>
  <c r="M26" i="18"/>
  <c r="N26" i="18"/>
  <c r="M48" i="18"/>
  <c r="N27" i="18"/>
  <c r="M27" i="18"/>
  <c r="E84" i="18"/>
  <c r="F84" i="18"/>
  <c r="N57" i="18"/>
  <c r="M57" i="18"/>
  <c r="M88" i="18"/>
  <c r="N88" i="18"/>
  <c r="E74" i="18"/>
  <c r="F74" i="18"/>
  <c r="F78" i="18"/>
  <c r="E78" i="18"/>
  <c r="E35" i="18"/>
  <c r="F35" i="18"/>
  <c r="N62" i="18"/>
  <c r="M62" i="18"/>
  <c r="M80" i="18"/>
  <c r="N80" i="18"/>
  <c r="F98" i="18"/>
  <c r="E98" i="18"/>
  <c r="E55" i="18"/>
  <c r="F55" i="18"/>
  <c r="M92" i="18"/>
  <c r="N92" i="18"/>
  <c r="E22" i="18"/>
  <c r="F22" i="18"/>
  <c r="E75" i="18"/>
  <c r="F75" i="18"/>
  <c r="E32" i="18"/>
  <c r="F32" i="18"/>
  <c r="M38" i="18"/>
  <c r="N38" i="18"/>
  <c r="N28" i="18"/>
  <c r="M28" i="18"/>
  <c r="E81" i="18"/>
  <c r="F81" i="18"/>
  <c r="F49" i="18"/>
  <c r="E49" i="18"/>
  <c r="F11" i="18"/>
  <c r="E11" i="18"/>
  <c r="M49" i="18"/>
  <c r="N49" i="18"/>
  <c r="N95" i="18"/>
  <c r="M95" i="18"/>
  <c r="M7" i="18"/>
  <c r="N7" i="18"/>
  <c r="N23" i="18"/>
  <c r="M23" i="18"/>
  <c r="N74" i="18"/>
  <c r="M74" i="18"/>
  <c r="M103" i="18"/>
  <c r="N103" i="18"/>
  <c r="F27" i="18"/>
  <c r="E27" i="18"/>
  <c r="N29" i="18"/>
  <c r="M29" i="18"/>
  <c r="M20" i="18"/>
  <c r="N20" i="18"/>
  <c r="F77" i="18"/>
  <c r="E77" i="18"/>
  <c r="F45" i="18"/>
  <c r="E45" i="18"/>
  <c r="M100" i="18"/>
  <c r="N100" i="18"/>
  <c r="N37" i="18"/>
  <c r="M37" i="18"/>
  <c r="N90" i="18"/>
  <c r="M90" i="18"/>
  <c r="M44" i="18"/>
  <c r="N44" i="18"/>
  <c r="F95" i="18"/>
  <c r="E95" i="18"/>
  <c r="F67" i="18"/>
  <c r="E67" i="18"/>
  <c r="E24" i="18"/>
  <c r="F24" i="18"/>
  <c r="M56" i="18"/>
  <c r="N56" i="18"/>
  <c r="F87" i="18"/>
  <c r="E87" i="18"/>
  <c r="E44" i="18"/>
  <c r="F44" i="18"/>
  <c r="N67" i="18"/>
  <c r="M67" i="18"/>
  <c r="M97" i="18"/>
  <c r="N97" i="18"/>
  <c r="F7" i="18"/>
  <c r="E7" i="18"/>
  <c r="E64" i="18"/>
  <c r="F64" i="18"/>
  <c r="N102" i="18"/>
  <c r="M102" i="18"/>
  <c r="E21" i="18"/>
  <c r="F21" i="18"/>
  <c r="F5" i="18"/>
  <c r="E5" i="18"/>
  <c r="F73" i="18"/>
  <c r="E73" i="18"/>
  <c r="F41" i="18"/>
  <c r="E41" i="18"/>
  <c r="M91" i="18"/>
  <c r="N91" i="18"/>
  <c r="M30" i="18"/>
  <c r="N30" i="18"/>
  <c r="M81" i="18"/>
  <c r="N81" i="18"/>
  <c r="N70" i="18"/>
  <c r="M70" i="18"/>
  <c r="N6" i="18"/>
  <c r="M6" i="18"/>
  <c r="N9" i="18"/>
  <c r="M9" i="18"/>
  <c r="N82" i="18"/>
  <c r="M82" i="18"/>
  <c r="F30" i="18"/>
  <c r="E30" i="18"/>
  <c r="F50" i="18"/>
  <c r="E50" i="18"/>
  <c r="N52" i="18"/>
  <c r="M52" i="18"/>
  <c r="M34" i="18"/>
  <c r="N34" i="18"/>
  <c r="N36" i="18"/>
  <c r="M36" i="18"/>
  <c r="N10" i="18"/>
  <c r="M10" i="18"/>
  <c r="M76" i="18"/>
  <c r="N76" i="18"/>
  <c r="N83" i="18"/>
  <c r="M83" i="18"/>
  <c r="E104" i="18"/>
  <c r="F104" i="18"/>
  <c r="F62" i="18"/>
  <c r="E62" i="18"/>
  <c r="F18" i="18"/>
  <c r="E18" i="18"/>
  <c r="F23" i="18"/>
  <c r="E23" i="18"/>
  <c r="M41" i="18"/>
  <c r="N41" i="18"/>
  <c r="F82" i="18"/>
  <c r="E82" i="18"/>
  <c r="E39" i="18"/>
  <c r="F39" i="18"/>
  <c r="M61" i="18"/>
  <c r="N61" i="18"/>
  <c r="N79" i="18"/>
  <c r="M79" i="18"/>
  <c r="F102" i="18"/>
  <c r="E102" i="18"/>
  <c r="E59" i="18"/>
  <c r="F59" i="18"/>
  <c r="N84" i="18"/>
  <c r="M84" i="18"/>
  <c r="E14" i="18"/>
  <c r="F14" i="18"/>
  <c r="E101" i="18"/>
  <c r="F101" i="18"/>
  <c r="E69" i="18"/>
  <c r="F69" i="18"/>
  <c r="E37" i="18"/>
  <c r="F37" i="18"/>
  <c r="N86" i="18"/>
  <c r="M86" i="18"/>
  <c r="M17" i="18"/>
  <c r="N17" i="18"/>
  <c r="M72" i="18"/>
  <c r="N72" i="18"/>
  <c r="N94" i="18"/>
  <c r="M94" i="18"/>
  <c r="N14" i="18"/>
  <c r="M14" i="18"/>
  <c r="N85" i="18"/>
  <c r="M85" i="18"/>
  <c r="N19" i="18"/>
  <c r="M19" i="18"/>
  <c r="N39" i="18"/>
  <c r="M39" i="18"/>
  <c r="M32" i="18"/>
  <c r="N32" i="18"/>
  <c r="N101" i="18"/>
  <c r="M101" i="18"/>
  <c r="E26" i="18"/>
  <c r="F26" i="18"/>
  <c r="E99" i="18"/>
  <c r="F99" i="18"/>
  <c r="E56" i="18"/>
  <c r="F56" i="18"/>
  <c r="N99" i="18"/>
  <c r="M99" i="18"/>
  <c r="E12" i="18"/>
  <c r="F12" i="18"/>
  <c r="M33" i="18"/>
  <c r="N33" i="18"/>
  <c r="E76" i="18"/>
  <c r="F76" i="18"/>
  <c r="E34" i="18"/>
  <c r="F34" i="18"/>
  <c r="N47" i="18"/>
  <c r="M47" i="18"/>
  <c r="N73" i="18"/>
  <c r="M73" i="18"/>
  <c r="E96" i="18"/>
  <c r="F96" i="18"/>
  <c r="F54" i="18"/>
  <c r="E54" i="18"/>
  <c r="N78" i="18"/>
  <c r="M78" i="18"/>
  <c r="N96" i="18"/>
  <c r="M96" i="18"/>
  <c r="F97" i="18"/>
  <c r="E97" i="18"/>
  <c r="F65" i="18"/>
  <c r="E65" i="18"/>
  <c r="F33" i="18"/>
  <c r="E33" i="18"/>
  <c r="N77" i="18"/>
  <c r="M77" i="18"/>
  <c r="E20" i="18"/>
  <c r="F20" i="18"/>
  <c r="N63" i="18"/>
  <c r="M63" i="18"/>
  <c r="E36" i="18"/>
  <c r="F36" i="18"/>
  <c r="E6" i="18"/>
  <c r="F6" i="18"/>
  <c r="E72" i="18"/>
  <c r="F72" i="18"/>
  <c r="E70" i="18"/>
  <c r="F70" i="18"/>
  <c r="N40" i="18"/>
  <c r="M40" i="18"/>
  <c r="N45" i="18"/>
  <c r="M45" i="18"/>
  <c r="N21" i="18"/>
  <c r="M21" i="18"/>
  <c r="M15" i="18"/>
  <c r="N15" i="18"/>
  <c r="N12" i="18"/>
  <c r="M12" i="18"/>
  <c r="F19" i="18"/>
  <c r="E19" i="18"/>
  <c r="F47" i="18"/>
  <c r="E47" i="18"/>
  <c r="N35" i="18"/>
  <c r="M35" i="18"/>
  <c r="F94" i="18"/>
  <c r="E94" i="18"/>
  <c r="E51" i="18"/>
  <c r="F51" i="18"/>
  <c r="M93" i="18"/>
  <c r="N93" i="18"/>
  <c r="M5" i="18"/>
  <c r="N5" i="18"/>
  <c r="M25" i="18"/>
  <c r="N25" i="18"/>
  <c r="E71" i="18"/>
  <c r="F71" i="18"/>
  <c r="E28" i="18"/>
  <c r="F28" i="18"/>
  <c r="N22" i="18"/>
  <c r="M22" i="18"/>
  <c r="N66" i="18"/>
  <c r="M66" i="18"/>
  <c r="F91" i="18"/>
  <c r="E91" i="18"/>
  <c r="E48" i="18"/>
  <c r="F48" i="18"/>
  <c r="M60" i="18"/>
  <c r="N60" i="18"/>
  <c r="M89" i="18"/>
  <c r="N89" i="18"/>
  <c r="F93" i="18"/>
  <c r="E93" i="18"/>
  <c r="F61" i="18"/>
  <c r="E61" i="18"/>
  <c r="F29" i="18"/>
  <c r="E29" i="18"/>
  <c r="N68" i="18"/>
  <c r="M68" i="18"/>
  <c r="F15" i="18"/>
  <c r="E15" i="18"/>
  <c r="N58" i="18"/>
  <c r="M58" i="18"/>
  <c r="F58" i="18"/>
  <c r="E58" i="18"/>
  <c r="E92" i="18"/>
  <c r="F92" i="18"/>
  <c r="N16" i="18"/>
  <c r="M16" i="18"/>
  <c r="M50" i="18"/>
  <c r="N50" i="18"/>
  <c r="N8" i="18"/>
  <c r="M8" i="18"/>
  <c r="M11" i="18"/>
  <c r="N11" i="18"/>
  <c r="E42" i="18"/>
  <c r="F42" i="18"/>
  <c r="E68" i="18"/>
  <c r="F68" i="18"/>
  <c r="F31" i="18"/>
  <c r="E31" i="18"/>
  <c r="N43" i="18"/>
  <c r="M43" i="18"/>
  <c r="E88" i="18"/>
  <c r="F88" i="18"/>
  <c r="F46" i="18"/>
  <c r="E46" i="18"/>
  <c r="M75" i="18"/>
  <c r="N75" i="18"/>
  <c r="N98" i="18"/>
  <c r="M98" i="18"/>
  <c r="E8" i="18"/>
  <c r="F8" i="18"/>
  <c r="E66" i="18"/>
  <c r="F66" i="18"/>
  <c r="E17" i="18"/>
  <c r="F17" i="18"/>
  <c r="M13" i="18"/>
  <c r="N13" i="18"/>
  <c r="N55" i="18"/>
  <c r="M55" i="18"/>
  <c r="E86" i="18"/>
  <c r="F86" i="18"/>
  <c r="E43" i="18"/>
  <c r="F43" i="18"/>
  <c r="N53" i="18"/>
  <c r="M53" i="18"/>
  <c r="N71" i="18"/>
  <c r="M71" i="18"/>
  <c r="F89" i="18"/>
  <c r="E89" i="18"/>
  <c r="F57" i="18"/>
  <c r="E57" i="18"/>
  <c r="F25" i="18"/>
  <c r="E25" i="18"/>
  <c r="N59" i="18"/>
  <c r="M59" i="18"/>
  <c r="F10" i="18"/>
  <c r="E10" i="18"/>
  <c r="N42" i="18"/>
  <c r="M42" i="18"/>
  <c r="F79" i="18"/>
  <c r="E79" i="18"/>
  <c r="I48" i="18" l="1"/>
  <c r="I19" i="18"/>
  <c r="I50" i="18"/>
  <c r="I42" i="18"/>
  <c r="I22" i="18"/>
  <c r="I37" i="18"/>
  <c r="I24" i="18"/>
  <c r="I17" i="18"/>
  <c r="I27" i="18"/>
  <c r="I33" i="18"/>
  <c r="I16" i="18"/>
  <c r="I39" i="18"/>
  <c r="I14" i="18"/>
  <c r="I36" i="18"/>
  <c r="I6" i="18"/>
  <c r="I7" i="18"/>
  <c r="I31" i="18"/>
  <c r="I13" i="18"/>
  <c r="I11" i="18"/>
  <c r="I34" i="18"/>
  <c r="I15" i="18"/>
  <c r="I20" i="18"/>
  <c r="I8" i="18"/>
  <c r="I35" i="18"/>
  <c r="I49" i="18"/>
  <c r="I32" i="18"/>
  <c r="I30" i="18"/>
  <c r="I28" i="18"/>
  <c r="I41" i="18"/>
  <c r="I44" i="18"/>
  <c r="I26" i="18"/>
  <c r="I45" i="18"/>
  <c r="I43" i="18"/>
  <c r="I12" i="18"/>
  <c r="I40" i="18"/>
  <c r="I47" i="18"/>
  <c r="I46" i="18"/>
  <c r="I21" i="18"/>
  <c r="I10" i="18"/>
  <c r="I9" i="18"/>
  <c r="I29" i="18"/>
  <c r="I23" i="18"/>
  <c r="I38" i="18"/>
  <c r="I18" i="18"/>
  <c r="I53" i="18"/>
  <c r="I64" i="18"/>
  <c r="I74" i="18"/>
  <c r="I75" i="18"/>
  <c r="I60" i="18"/>
  <c r="I72" i="18"/>
  <c r="I76" i="18"/>
  <c r="I63" i="18"/>
  <c r="I52" i="18"/>
  <c r="I62" i="18"/>
  <c r="I65" i="18"/>
  <c r="I58" i="18"/>
  <c r="I56" i="18"/>
  <c r="I59" i="18"/>
  <c r="I71" i="18"/>
  <c r="I55" i="18"/>
  <c r="I73" i="18"/>
  <c r="I54" i="18"/>
  <c r="I68" i="18"/>
  <c r="I66" i="18"/>
  <c r="I70" i="18"/>
  <c r="I67" i="18"/>
  <c r="I61" i="18"/>
  <c r="I57" i="18"/>
  <c r="I69" i="18"/>
  <c r="I51" i="18"/>
  <c r="A56" i="18"/>
  <c r="A66" i="18"/>
  <c r="A68" i="18"/>
  <c r="A55" i="18"/>
  <c r="A63" i="18"/>
  <c r="A59" i="18"/>
  <c r="A64" i="18"/>
  <c r="A57" i="18"/>
  <c r="A58" i="18"/>
  <c r="A65" i="18"/>
  <c r="A67" i="18"/>
  <c r="A60" i="18"/>
  <c r="A61" i="18"/>
  <c r="A62" i="18"/>
  <c r="I84" i="18"/>
  <c r="I92" i="18"/>
  <c r="I100" i="18"/>
  <c r="I77" i="18"/>
  <c r="I85" i="18"/>
  <c r="I93" i="18"/>
  <c r="I101" i="18"/>
  <c r="I78" i="18"/>
  <c r="I86" i="18"/>
  <c r="I94" i="18"/>
  <c r="I102" i="18"/>
  <c r="I79" i="18"/>
  <c r="I87" i="18"/>
  <c r="I95" i="18"/>
  <c r="I103" i="18"/>
  <c r="I98" i="18"/>
  <c r="I80" i="18"/>
  <c r="I88" i="18"/>
  <c r="I96" i="18"/>
  <c r="I104" i="18"/>
  <c r="I81" i="18"/>
  <c r="I89" i="18"/>
  <c r="I97" i="18"/>
  <c r="I82" i="18"/>
  <c r="I90" i="18"/>
  <c r="I83" i="18"/>
  <c r="I91" i="18"/>
  <c r="I99" i="18"/>
  <c r="I5" i="18"/>
  <c r="A52" i="18"/>
  <c r="A54" i="18"/>
  <c r="A53" i="18"/>
  <c r="A50" i="18"/>
  <c r="A49" i="18"/>
  <c r="A51" i="18"/>
  <c r="L23" i="9"/>
  <c r="T16" i="29"/>
  <c r="T17" i="29"/>
  <c r="T7" i="29"/>
  <c r="B18" i="9"/>
  <c r="T10" i="29"/>
  <c r="T13" i="28"/>
  <c r="T15" i="29"/>
  <c r="T12" i="28"/>
  <c r="T16" i="28"/>
  <c r="U16" i="28" s="1"/>
  <c r="T17" i="28"/>
  <c r="T14" i="28"/>
  <c r="T10" i="28"/>
  <c r="T15" i="28"/>
  <c r="U15" i="28" s="1"/>
  <c r="T9" i="28"/>
  <c r="T11" i="29"/>
  <c r="T14" i="29"/>
  <c r="U14" i="29" s="1"/>
  <c r="T9" i="29"/>
  <c r="T13" i="29"/>
  <c r="U13" i="29" s="1"/>
  <c r="T11" i="28"/>
  <c r="T12" i="29"/>
  <c r="T7" i="28"/>
  <c r="T8" i="29"/>
  <c r="T8" i="28"/>
  <c r="J9" i="9"/>
  <c r="K9" i="9" s="1"/>
  <c r="S12" i="29"/>
  <c r="S16" i="29"/>
  <c r="S8" i="28"/>
  <c r="S14" i="28"/>
  <c r="S13" i="28"/>
  <c r="S9" i="29"/>
  <c r="S17" i="29"/>
  <c r="C9" i="58"/>
  <c r="C14" i="58"/>
  <c r="C7" i="58"/>
  <c r="C4" i="57"/>
  <c r="C8" i="58"/>
  <c r="C5" i="58"/>
  <c r="C11" i="57"/>
  <c r="C13" i="57"/>
  <c r="C4" i="58"/>
  <c r="C12" i="58"/>
  <c r="C12" i="57"/>
  <c r="C6" i="58"/>
  <c r="C5" i="57"/>
  <c r="C13" i="58"/>
  <c r="C15" i="58"/>
  <c r="C10" i="58"/>
  <c r="J6" i="9"/>
  <c r="K6" i="9" s="1"/>
  <c r="S9" i="28"/>
  <c r="S12" i="28"/>
  <c r="I16" i="9"/>
  <c r="C10" i="57"/>
  <c r="C8" i="57"/>
  <c r="C6" i="57"/>
  <c r="J12" i="9"/>
  <c r="K12" i="9" s="1"/>
  <c r="J11" i="9"/>
  <c r="K11" i="9" s="1"/>
  <c r="J5" i="9"/>
  <c r="K5" i="9" s="1"/>
  <c r="S7" i="28"/>
  <c r="S17" i="28"/>
  <c r="S8" i="29"/>
  <c r="S11" i="29"/>
  <c r="S10" i="29"/>
  <c r="S10" i="28"/>
  <c r="S11" i="28"/>
  <c r="J8" i="9"/>
  <c r="K8" i="9" s="1"/>
  <c r="C3" i="57"/>
  <c r="C7" i="57"/>
  <c r="C9" i="57"/>
  <c r="J13" i="9"/>
  <c r="K13" i="9" s="1"/>
  <c r="J10" i="9"/>
  <c r="K10" i="9" s="1"/>
  <c r="J14" i="9"/>
  <c r="K14" i="9" s="1"/>
  <c r="S15" i="29"/>
  <c r="S7" i="29"/>
  <c r="C11" i="58"/>
  <c r="A25" i="18"/>
  <c r="A26" i="18"/>
  <c r="A7" i="18"/>
  <c r="A31" i="18"/>
  <c r="A36" i="18"/>
  <c r="A12" i="18"/>
  <c r="A23" i="18"/>
  <c r="A21" i="18"/>
  <c r="A11" i="18"/>
  <c r="A40" i="18"/>
  <c r="A39" i="18"/>
  <c r="A45" i="18"/>
  <c r="A27" i="18"/>
  <c r="A32" i="18"/>
  <c r="A35" i="18"/>
  <c r="A33" i="18"/>
  <c r="A10" i="18"/>
  <c r="A46" i="18"/>
  <c r="A29" i="18"/>
  <c r="A34" i="18"/>
  <c r="A18" i="18"/>
  <c r="A24" i="18"/>
  <c r="A15" i="18"/>
  <c r="A19" i="18"/>
  <c r="A43" i="18"/>
  <c r="A17" i="18"/>
  <c r="A37" i="18"/>
  <c r="A8" i="18"/>
  <c r="A42" i="18"/>
  <c r="A48" i="18"/>
  <c r="A28" i="18"/>
  <c r="A30" i="18"/>
  <c r="A41" i="18"/>
  <c r="A47" i="18"/>
  <c r="A20" i="18"/>
  <c r="A44" i="18"/>
  <c r="A6" i="18"/>
  <c r="A14" i="18"/>
  <c r="A22" i="18"/>
  <c r="A16" i="18"/>
  <c r="A13" i="18"/>
  <c r="A38" i="18"/>
  <c r="A9" i="18"/>
  <c r="A5" i="18"/>
  <c r="S18" i="29" l="1"/>
  <c r="U12" i="28"/>
  <c r="U16" i="29"/>
  <c r="U17" i="29"/>
  <c r="U15" i="29"/>
  <c r="U10" i="28"/>
  <c r="U7" i="28"/>
  <c r="U12" i="29"/>
  <c r="U9" i="29"/>
  <c r="U9" i="28"/>
  <c r="U10" i="29"/>
  <c r="U13" i="28"/>
  <c r="T18" i="28"/>
  <c r="V7" i="28" s="1"/>
  <c r="U17" i="28"/>
  <c r="T18" i="29"/>
  <c r="V7" i="29" s="1"/>
  <c r="U11" i="29"/>
  <c r="U14" i="28"/>
  <c r="U8" i="28"/>
  <c r="U8" i="29"/>
  <c r="U11" i="28"/>
  <c r="S18" i="28"/>
  <c r="U7" i="29"/>
  <c r="U18" i="29" l="1"/>
  <c r="U18"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Helen Wright</author>
  </authors>
  <commentList>
    <comment ref="F1768" authorId="0" shapeId="0" xr:uid="{00000000-0006-0000-0100-000001000000}">
      <text>
        <r>
          <rPr>
            <b/>
            <sz val="9"/>
            <color indexed="81"/>
            <rFont val="Tahoma"/>
            <family val="2"/>
          </rPr>
          <t>Helen Wright:</t>
        </r>
        <r>
          <rPr>
            <sz val="9"/>
            <color indexed="81"/>
            <rFont val="Tahoma"/>
            <family val="2"/>
          </rPr>
          <t xml:space="preserve">
Needs to be updated with new One Year in TV World documents - 99.5% of 26,547,000 = 26,414,265</t>
        </r>
      </text>
    </comment>
  </commentList>
</comments>
</file>

<file path=xl/sharedStrings.xml><?xml version="1.0" encoding="utf-8"?>
<sst xmlns="http://schemas.openxmlformats.org/spreadsheetml/2006/main" count="13514" uniqueCount="1875">
  <si>
    <t>Net Value</t>
  </si>
  <si>
    <t>Brand Impact Score</t>
  </si>
  <si>
    <t>Actual Country Name</t>
  </si>
  <si>
    <t>Continent</t>
  </si>
  <si>
    <t>Appendix Market</t>
  </si>
  <si>
    <t>Markets within</t>
  </si>
  <si>
    <t>Albania</t>
  </si>
  <si>
    <t>Europe</t>
  </si>
  <si>
    <t>Pan Asia</t>
  </si>
  <si>
    <t xml:space="preserve">Brunei, Cambodia, East Timor, Guam, Hong Kong, Indonesia, Laos, Macau, Malaysia, Micronesia, Mongolia, Myanmar, Papua New Guinea, Philippines, South Korea, Taiwan, Thailand and Vietnam. </t>
  </si>
  <si>
    <t>Andorra</t>
  </si>
  <si>
    <t>Pan C&amp;S America (Latin America)</t>
  </si>
  <si>
    <t>Argentina, Brazil, Bolivia, Chile, Colombia, Costa Rica, Dominican Republic, Ecuador, El Salvador, Guatemala, Honduras, Mexico, Nicaragua, Other Caribbean (includes Anguilla, Antigua, Aruba, Ascension Island, Bahamas, Barbados, Barbuda, Bermuda, Bonaire, British Virgin Islands, Cayman Islands, Cuba, Curacao, Dominica, Falkland Islands, French Guiana, Grenada, Guadeloupe, Guyana, Haiti, Jamaica, Martinique, Montserrat, Puerto Rico, St Barthelemy, St Kitts &amp; Nevis, St Lucia, St Maarten, Suriname, Trinidad &amp; Tobago and Turks &amp; Caicos), Panama, Paraguay, Peru, Uruguay and Venezuela.</t>
  </si>
  <si>
    <t>Argentina</t>
  </si>
  <si>
    <t>Central &amp; South America</t>
  </si>
  <si>
    <t>Pan Africa (Sub Sahara)</t>
  </si>
  <si>
    <t>Angola, Benin, Botswana, Burkina Faso, Burundi, Cameroon, Cape Verde, Central Africa Republic, Congo, Democratic Republic of Congo, Equatorial Guinea, Eritrea, Ethiopia, Gabon, Gambia, Ghana, Guinea, Guinea Bissau, Ivory Coast, Kenya, Liberia, Madagascar, Malawi, Mali, Mozambique, Namibia, Niger, Nigeria, Rwanda, Sao Tome &amp; Principe, Senegal, Seychelles, Sierra Leone, Swaziland, Tanzania, Togo, Uganda, Zambia and Zimbabwe.</t>
  </si>
  <si>
    <t>Australia</t>
  </si>
  <si>
    <t>Asia Pacific</t>
  </si>
  <si>
    <t>Pan Asia (Indian Subcontinent)</t>
  </si>
  <si>
    <t>Bangladesh, Bhutan, Maldives, Nepal, Pakistan and Sri Lanka.</t>
  </si>
  <si>
    <t>Pan Middle East</t>
  </si>
  <si>
    <t xml:space="preserve">Algeria, Bahrain, Chad, Djibouti, Egypt, Iran, Iraq, Jordan, Kuwait, Lebanon, Libya, Mauritania, Morocco, Oman, Palestine, Qatar, Saudi Arabia, Somalia, South Sudan, Sudan, Syria, Tunisia, United Arab Emirates and Yemen.    </t>
  </si>
  <si>
    <t>Austria</t>
  </si>
  <si>
    <t>Pan Europe</t>
  </si>
  <si>
    <t>Albania, Andorra, Armenia, Azerbaijan, Belarus, Belgium, Bosnia &amp; Herzegovina, Bulgaria, Croatia, Cyprus, Czech Republic, Estonia, Finland, France, Georgia, Greece, Hungary, Iceland, Ireland, Israel, Italy, Kazakhstan, Kosovo, Kyrgyzstan, Latvia, Lithuania, Luxembourg, Macedonia, Malta, Moldova, Monaco, Montenegro, Morocco, Norway, Portugal, Russia, San Marino, Serbia, Slovakia, Slovenia, Sweden, Switzerland, Turkey, Ukraine and Vatican.</t>
  </si>
  <si>
    <t>Azerbaijan</t>
  </si>
  <si>
    <t>Pan Eurasia</t>
  </si>
  <si>
    <t>Belarus</t>
  </si>
  <si>
    <t>Belgium</t>
  </si>
  <si>
    <t>Bosnia &amp; Herzegovina</t>
  </si>
  <si>
    <t>Brazil</t>
  </si>
  <si>
    <t>Brunei</t>
  </si>
  <si>
    <t>Bulgaria</t>
  </si>
  <si>
    <t>Cambodia</t>
  </si>
  <si>
    <t>Canada</t>
  </si>
  <si>
    <t>North America</t>
  </si>
  <si>
    <t>Chile</t>
  </si>
  <si>
    <t>China</t>
  </si>
  <si>
    <t>Colombia</t>
  </si>
  <si>
    <t>Costa Rica</t>
  </si>
  <si>
    <t>Croatia</t>
  </si>
  <si>
    <t>Cyprus</t>
  </si>
  <si>
    <t>Czech Republic</t>
  </si>
  <si>
    <t>Denmark</t>
  </si>
  <si>
    <t>Digital</t>
  </si>
  <si>
    <t>Dominican Republic</t>
  </si>
  <si>
    <t>East Timor</t>
  </si>
  <si>
    <t>Ecuador</t>
  </si>
  <si>
    <t>Egypt</t>
  </si>
  <si>
    <t>Africa &amp; Middle East</t>
  </si>
  <si>
    <t>Estonia</t>
  </si>
  <si>
    <t>Fiji</t>
  </si>
  <si>
    <t>Finland</t>
  </si>
  <si>
    <t>France</t>
  </si>
  <si>
    <t>Georgia</t>
  </si>
  <si>
    <t>Germany</t>
  </si>
  <si>
    <t>Greece</t>
  </si>
  <si>
    <t>Guatemala</t>
  </si>
  <si>
    <t>Hong Kong</t>
  </si>
  <si>
    <t>Hungary</t>
  </si>
  <si>
    <t>Iceland</t>
  </si>
  <si>
    <t>India</t>
  </si>
  <si>
    <t>Indonesia</t>
  </si>
  <si>
    <t>Ireland</t>
  </si>
  <si>
    <t>Israel</t>
  </si>
  <si>
    <t>Italy</t>
  </si>
  <si>
    <t>Japan</t>
  </si>
  <si>
    <t>Kazakhstan</t>
  </si>
  <si>
    <t>Korea</t>
  </si>
  <si>
    <t>Kosovo</t>
  </si>
  <si>
    <t>Kyrgyzstan</t>
  </si>
  <si>
    <t>Laos</t>
  </si>
  <si>
    <t>Latin America</t>
  </si>
  <si>
    <t>Latvia</t>
  </si>
  <si>
    <t>Lebanon</t>
  </si>
  <si>
    <t>Lichenstein</t>
  </si>
  <si>
    <t>Liechtenstein</t>
  </si>
  <si>
    <t>Lithuania</t>
  </si>
  <si>
    <t>Luxembourg</t>
  </si>
  <si>
    <t>North Macedonia</t>
  </si>
  <si>
    <t>Malaysia</t>
  </si>
  <si>
    <t>Malta</t>
  </si>
  <si>
    <t>Mexico</t>
  </si>
  <si>
    <t>Monaco</t>
  </si>
  <si>
    <t>Mongolia</t>
  </si>
  <si>
    <t>Montenegro</t>
  </si>
  <si>
    <t>Morocco</t>
  </si>
  <si>
    <t>Myanmar</t>
  </si>
  <si>
    <t>Netherlands</t>
  </si>
  <si>
    <t>New Zealand</t>
  </si>
  <si>
    <t>Norway</t>
  </si>
  <si>
    <t>Pakistan</t>
  </si>
  <si>
    <t>Pan Africa (French Speaking)</t>
  </si>
  <si>
    <t>Pan C&amp;S (Latin America)</t>
  </si>
  <si>
    <t>Pan C&amp;S America (Caribbean)</t>
  </si>
  <si>
    <t>Pan EurAsia</t>
  </si>
  <si>
    <t>Pan Pacific Rim</t>
  </si>
  <si>
    <t>Peru</t>
  </si>
  <si>
    <t>Philippines</t>
  </si>
  <si>
    <t>Poland</t>
  </si>
  <si>
    <t>Portugal</t>
  </si>
  <si>
    <t>Post Tournament</t>
  </si>
  <si>
    <t>Romania</t>
  </si>
  <si>
    <t>Russia</t>
  </si>
  <si>
    <t>Serbia</t>
  </si>
  <si>
    <t>Singapore</t>
  </si>
  <si>
    <t>Slovakia</t>
  </si>
  <si>
    <t>Slovenia</t>
  </si>
  <si>
    <t>South Africa</t>
  </si>
  <si>
    <t>South Korea</t>
  </si>
  <si>
    <t>Spain</t>
  </si>
  <si>
    <t>Sweden</t>
  </si>
  <si>
    <t>Switzerland</t>
  </si>
  <si>
    <t>Taiwan</t>
  </si>
  <si>
    <t>Tajikistan</t>
  </si>
  <si>
    <t>Thailand</t>
  </si>
  <si>
    <r>
      <rPr>
        <sz val="10"/>
        <color rgb="FFFF0000"/>
        <rFont val="Calibri"/>
        <family val="2"/>
        <scheme val="minor"/>
      </rPr>
      <t>Turkey</t>
    </r>
  </si>
  <si>
    <t>Turkmenistan</t>
  </si>
  <si>
    <t>Ukraine</t>
  </si>
  <si>
    <t>United Arab Emirates</t>
  </si>
  <si>
    <t>United Kingdom</t>
  </si>
  <si>
    <t>United States</t>
  </si>
  <si>
    <t>Uruguay</t>
  </si>
  <si>
    <t>Uzbekistan</t>
  </si>
  <si>
    <t>Venezuela</t>
  </si>
  <si>
    <t>Vietnam</t>
  </si>
  <si>
    <t>San Marino</t>
  </si>
  <si>
    <t>Puerto Rico</t>
  </si>
  <si>
    <t>Pan Asia (Indian Subcontinent</t>
  </si>
  <si>
    <t>Macedonia</t>
  </si>
  <si>
    <t>Global</t>
  </si>
  <si>
    <t>Saudi Arabia</t>
  </si>
  <si>
    <t>Macau</t>
  </si>
  <si>
    <t>Central America</t>
  </si>
  <si>
    <t>Market</t>
  </si>
  <si>
    <t>Broadcaster</t>
  </si>
  <si>
    <t>CC</t>
  </si>
  <si>
    <t>HHR</t>
  </si>
  <si>
    <t>Pay TV vs. Free-to-Air</t>
  </si>
  <si>
    <t>Notes</t>
  </si>
  <si>
    <t>RTS 1</t>
  </si>
  <si>
    <t>Free-to-Air</t>
  </si>
  <si>
    <t>RTS 2</t>
  </si>
  <si>
    <t>RTSH</t>
  </si>
  <si>
    <t>http://www.discop.com/ci/pages/show/de_marketplace</t>
  </si>
  <si>
    <t>RTSH 1</t>
  </si>
  <si>
    <t>RTSH Sport</t>
  </si>
  <si>
    <t>SuperSport</t>
  </si>
  <si>
    <t>Pay TV</t>
  </si>
  <si>
    <t>SuperSport 1</t>
  </si>
  <si>
    <t>SuperSport 2</t>
  </si>
  <si>
    <t>SuperSport 3</t>
  </si>
  <si>
    <t>SuperSport 5</t>
  </si>
  <si>
    <t>SuperSport 6</t>
  </si>
  <si>
    <t>SuperSport 7</t>
  </si>
  <si>
    <t>SuperSport 8</t>
  </si>
  <si>
    <t>Top Channel</t>
  </si>
  <si>
    <t>#0</t>
  </si>
  <si>
    <t>Movistar = 21% of Spain HHR. Applied to 34,000 total households in Andorra</t>
  </si>
  <si>
    <t>#VAMOS</t>
  </si>
  <si>
    <t>DMAX</t>
  </si>
  <si>
    <t>Esport3</t>
  </si>
  <si>
    <t>France 2</t>
  </si>
  <si>
    <t>34000 x 91.5% (France 2 x Andorra)</t>
  </si>
  <si>
    <t>France2</t>
  </si>
  <si>
    <t>GOL</t>
  </si>
  <si>
    <t>6.4% of Andorra HHR (based on Spain)</t>
  </si>
  <si>
    <t>GOLF+</t>
  </si>
  <si>
    <t>La 1</t>
  </si>
  <si>
    <t>34000 x 99.4% (La 1 x Andorra)</t>
  </si>
  <si>
    <t>La 2</t>
  </si>
  <si>
    <t>34000 x 98.1% (La 2 x Andorra)</t>
  </si>
  <si>
    <t>La1</t>
  </si>
  <si>
    <t>Movistar Deportes 1</t>
  </si>
  <si>
    <t>Movistar Deportes 2</t>
  </si>
  <si>
    <t>MOVISTAR F1</t>
  </si>
  <si>
    <t>MOVISTAR GOLF</t>
  </si>
  <si>
    <t>MOVISTARGOLF</t>
  </si>
  <si>
    <t>Teledeporte</t>
  </si>
  <si>
    <t>Applied 88.6% yearly cumulative reach of Teledeporte in Spain to 34k Andorra HHR</t>
  </si>
  <si>
    <t>TV3</t>
  </si>
  <si>
    <t>17.1% of Spain reach applied to Andorra households - Eurodata (maybe only Catalan region)</t>
  </si>
  <si>
    <t>ESPN</t>
  </si>
  <si>
    <t>ESPN +</t>
  </si>
  <si>
    <t>ESPN 2</t>
  </si>
  <si>
    <t>ESPN 3</t>
  </si>
  <si>
    <t>ESPN Deportes</t>
  </si>
  <si>
    <t>ESPN Dos</t>
  </si>
  <si>
    <t>ESPN HD</t>
  </si>
  <si>
    <t>ESPN Internacional</t>
  </si>
  <si>
    <t>ESPN Latin</t>
  </si>
  <si>
    <t>ESPN+</t>
  </si>
  <si>
    <t>ESPN2 Argentina</t>
  </si>
  <si>
    <t>Fox Sports</t>
  </si>
  <si>
    <t>Fox Sports 2</t>
  </si>
  <si>
    <t>Fox LatAm document</t>
  </si>
  <si>
    <t>Fox Sports 3</t>
  </si>
  <si>
    <t>From Fox LatAm ppt</t>
  </si>
  <si>
    <t>Fox Sports HD</t>
  </si>
  <si>
    <t>Fox Sports PPT</t>
  </si>
  <si>
    <t>TYC Sports</t>
  </si>
  <si>
    <t>SuperCanal, DirectTV and Canal Vision</t>
  </si>
  <si>
    <t>TyC Sports HD</t>
  </si>
  <si>
    <t>TyC Sports Interior</t>
  </si>
  <si>
    <t>TyC Sports Internacional</t>
  </si>
  <si>
    <t>7mate</t>
  </si>
  <si>
    <t>93.8% x 8867000</t>
  </si>
  <si>
    <t>7Two</t>
  </si>
  <si>
    <t>94.7% x 8867000</t>
  </si>
  <si>
    <t>9Gem</t>
  </si>
  <si>
    <t>9Go!</t>
  </si>
  <si>
    <t>ABC</t>
  </si>
  <si>
    <t>8867000 x 84.1% (Eurodata % applied to full Australia reach in Global forecasts)</t>
  </si>
  <si>
    <t>beIN Sports 1</t>
  </si>
  <si>
    <t>Pay TV reach of Australia</t>
  </si>
  <si>
    <t>BeIN Sports 2</t>
  </si>
  <si>
    <t>beIN Sports 3</t>
  </si>
  <si>
    <t>Bold</t>
  </si>
  <si>
    <t>Used ESPN Info Guide. Distributed between AUS and NZ based on Pay TV Reach</t>
  </si>
  <si>
    <t>ESPN2</t>
  </si>
  <si>
    <t>Eurosport</t>
  </si>
  <si>
    <t>Used Appendix Maker</t>
  </si>
  <si>
    <t>FOX Sports 1</t>
  </si>
  <si>
    <t>Oztam document</t>
  </si>
  <si>
    <t>FOX Sports 2</t>
  </si>
  <si>
    <t>FOX Sports 3</t>
  </si>
  <si>
    <t>FOX Sports 4</t>
  </si>
  <si>
    <t>FOX Sports 5</t>
  </si>
  <si>
    <t>FOX SPORTS 501</t>
  </si>
  <si>
    <t>FOX SPORTS 503</t>
  </si>
  <si>
    <t>FOX SPORTS 505</t>
  </si>
  <si>
    <t>FOX SPORTS 506</t>
  </si>
  <si>
    <t>Fox Sports 6</t>
  </si>
  <si>
    <t>FOX Sports 7</t>
  </si>
  <si>
    <t>FOX SPORTS MORE</t>
  </si>
  <si>
    <t>FOX SPORTS NEWS 500</t>
  </si>
  <si>
    <t>Numericale</t>
  </si>
  <si>
    <t>Orange</t>
  </si>
  <si>
    <t>Free</t>
  </si>
  <si>
    <t>SFR</t>
  </si>
  <si>
    <t>Bouyges</t>
  </si>
  <si>
    <t>Gem</t>
  </si>
  <si>
    <t>85.1% of 886700 (Eurodata % applied to full Australia reach in Global forecasts)</t>
  </si>
  <si>
    <t>GO!</t>
  </si>
  <si>
    <t>Horse and Country</t>
  </si>
  <si>
    <t>Nine</t>
  </si>
  <si>
    <t>ONE</t>
  </si>
  <si>
    <t>93.1% x 8867000 (Eurodata % applied to full Australia reach in Global forecasts)</t>
  </si>
  <si>
    <t>Prime7/7QLD</t>
  </si>
  <si>
    <t>95.0% x 8867000</t>
  </si>
  <si>
    <t>SBS</t>
  </si>
  <si>
    <t>SBS One</t>
  </si>
  <si>
    <t>83.8% x 8876000 (Eurodata % applied to full Australia reach in Global forecasts)</t>
  </si>
  <si>
    <t>SCA Nine/NBN</t>
  </si>
  <si>
    <t>SCA TEN NNSW</t>
  </si>
  <si>
    <t>8867000 x 94.2% (Eurodata % applied to full Australia reach in Global forecasts)</t>
  </si>
  <si>
    <t>Seven</t>
  </si>
  <si>
    <t>Southern Cross Tas</t>
  </si>
  <si>
    <t>94.2% x 8867000</t>
  </si>
  <si>
    <t>TDT</t>
  </si>
  <si>
    <t>WIN</t>
  </si>
  <si>
    <t>8867000 x 100.0% (Eurodata % applied to full Australia reach in Global forecasts)</t>
  </si>
  <si>
    <t>ARD</t>
  </si>
  <si>
    <t>87.6% x 3605000</t>
  </si>
  <si>
    <t>DAZN</t>
  </si>
  <si>
    <t>Matts IMG Sheet</t>
  </si>
  <si>
    <t>Eurosport HHR document</t>
  </si>
  <si>
    <t>Eurosport 1</t>
  </si>
  <si>
    <t>Eurosport 2</t>
  </si>
  <si>
    <t>NTV</t>
  </si>
  <si>
    <t>Same as RTL (cf Germany)</t>
  </si>
  <si>
    <t>N-TV GESAMT</t>
  </si>
  <si>
    <t>ORF 1</t>
  </si>
  <si>
    <t>98.6% x 3605000</t>
  </si>
  <si>
    <t>ORF 2</t>
  </si>
  <si>
    <t>98.1% x 3605000</t>
  </si>
  <si>
    <t>ORF Sport +</t>
  </si>
  <si>
    <t>ORF Sport Plus</t>
  </si>
  <si>
    <t>Applied 57.3% yearly cumulative reach to Austria TV Households</t>
  </si>
  <si>
    <t>RTL</t>
  </si>
  <si>
    <t>91.0% x 3605000</t>
  </si>
  <si>
    <t>Servus TV</t>
  </si>
  <si>
    <t>Sky Sport 1</t>
  </si>
  <si>
    <t>Available on Sky and UPC</t>
  </si>
  <si>
    <t>Sky Sport 10</t>
  </si>
  <si>
    <t>Sky Sport 11</t>
  </si>
  <si>
    <t>Sky Sport 2</t>
  </si>
  <si>
    <t>Sky Sport 3</t>
  </si>
  <si>
    <t>Sky Sport 4</t>
  </si>
  <si>
    <t>Sky Sport 5</t>
  </si>
  <si>
    <t>Sky Sport 6</t>
  </si>
  <si>
    <t>Sky Sport 7</t>
  </si>
  <si>
    <t>Sky Sport 8</t>
  </si>
  <si>
    <t>Sky Sport Multifeed Group 1</t>
  </si>
  <si>
    <t>Sky Sport Multifeed Group 10</t>
  </si>
  <si>
    <t>Sky Sport Multifeed Group 11</t>
  </si>
  <si>
    <t>Sky Sport Multifeed Group 2</t>
  </si>
  <si>
    <t>Sky Sport Multifeed Group 3</t>
  </si>
  <si>
    <t>Sky Sport Multifeed Group 4</t>
  </si>
  <si>
    <t>Sky Sport Multifeed Group 5</t>
  </si>
  <si>
    <t>Sky Sport Multifeed Group 6</t>
  </si>
  <si>
    <t>Sky Sport News</t>
  </si>
  <si>
    <t>AUstria</t>
  </si>
  <si>
    <t>Sport 1</t>
  </si>
  <si>
    <t>51.2% x 3605000</t>
  </si>
  <si>
    <t>Sport 1+</t>
  </si>
  <si>
    <t>All Austria PayT V</t>
  </si>
  <si>
    <t>ZDF</t>
  </si>
  <si>
    <t>89.2% x 3605000</t>
  </si>
  <si>
    <t>Idman TV</t>
  </si>
  <si>
    <t>% from Eurodata</t>
  </si>
  <si>
    <t>Lig TV 4</t>
  </si>
  <si>
    <t>From Media Bible, rounded down</t>
  </si>
  <si>
    <t>Bahamas</t>
  </si>
  <si>
    <t>ZNS</t>
  </si>
  <si>
    <t>Taken from NYD Concert 2016 - believe based on population of Bahama</t>
  </si>
  <si>
    <t>Bangladesh</t>
  </si>
  <si>
    <t>Maasranga TV</t>
  </si>
  <si>
    <t>Taken from Rolex Media Bible</t>
  </si>
  <si>
    <t>Barbados</t>
  </si>
  <si>
    <t>CBC</t>
  </si>
  <si>
    <t>Taken from NYD Concert 2016 - believe based on population</t>
  </si>
  <si>
    <t>Belarus 5</t>
  </si>
  <si>
    <t>88.0% x 3014395</t>
  </si>
  <si>
    <t>Belarus TV</t>
  </si>
  <si>
    <t>Based on Eurodata % Reach</t>
  </si>
  <si>
    <t>Be Sport 1</t>
  </si>
  <si>
    <t>Voo only - not available on other broadcasters</t>
  </si>
  <si>
    <t>Be Sport 2</t>
  </si>
  <si>
    <t>BeSport 2</t>
  </si>
  <si>
    <t>Numericable &amp; Voo</t>
  </si>
  <si>
    <t>Canvas</t>
  </si>
  <si>
    <t>93.9% x 4,850,000</t>
  </si>
  <si>
    <t>EEN</t>
  </si>
  <si>
    <t>94.0% of 4,580,000</t>
  </si>
  <si>
    <t>KETNET</t>
  </si>
  <si>
    <t>93.9% x 4,850,000 (same as Canvas, which is a sister channel)</t>
  </si>
  <si>
    <t>La Deux</t>
  </si>
  <si>
    <t>90.8% of 4,580,000</t>
  </si>
  <si>
    <t>La Une</t>
  </si>
  <si>
    <t>Eurodata</t>
  </si>
  <si>
    <t>La2</t>
  </si>
  <si>
    <t>Ma Chaine Sport</t>
  </si>
  <si>
    <t>Ma Chaine Sport Tennis</t>
  </si>
  <si>
    <t>Play Sport 1 HD</t>
  </si>
  <si>
    <t xml:space="preserve">Play Sport 1 HD </t>
  </si>
  <si>
    <t>Only available on Telenet</t>
  </si>
  <si>
    <t>Play Sport 2 HD</t>
  </si>
  <si>
    <t>Play Sport 3 HD</t>
  </si>
  <si>
    <t>Play Sport 4 HD</t>
  </si>
  <si>
    <t>Play Sport 5 HD</t>
  </si>
  <si>
    <t>Play Sport 6 HD</t>
  </si>
  <si>
    <t>Play Sport 7 HD</t>
  </si>
  <si>
    <t>Play Sport 8 HD</t>
  </si>
  <si>
    <t>Play Sport Golf</t>
  </si>
  <si>
    <t>Play Sports 1</t>
  </si>
  <si>
    <t>Play Sports 1 HD</t>
  </si>
  <si>
    <t xml:space="preserve">Play Sports 1 HD </t>
  </si>
  <si>
    <t>Play Sports 2</t>
  </si>
  <si>
    <t>Play Sports 2 HD</t>
  </si>
  <si>
    <t>Play Sports 3</t>
  </si>
  <si>
    <t>Play Sports 3 HD</t>
  </si>
  <si>
    <t>Play Sports 4 HD</t>
  </si>
  <si>
    <t>Play Sports 5 HD</t>
  </si>
  <si>
    <t xml:space="preserve">Play Sports 5 HD </t>
  </si>
  <si>
    <t>Play Sports 6 HD</t>
  </si>
  <si>
    <t>Play Sports 7</t>
  </si>
  <si>
    <t>Play Sports 7 HD</t>
  </si>
  <si>
    <t>Play Sports 8 HD</t>
  </si>
  <si>
    <t>Play Sports Eleven</t>
  </si>
  <si>
    <t>Play Sports Golf</t>
  </si>
  <si>
    <t>Play Sports HD 1</t>
  </si>
  <si>
    <t>Play Sports HD 2</t>
  </si>
  <si>
    <t>Play Sports HD 3</t>
  </si>
  <si>
    <t>Play Sports HD 4</t>
  </si>
  <si>
    <t>Play Sports HD 5</t>
  </si>
  <si>
    <t>Play Sports Open</t>
  </si>
  <si>
    <t>PlaySports Golf</t>
  </si>
  <si>
    <t>RTBF</t>
  </si>
  <si>
    <t>TF1</t>
  </si>
  <si>
    <t>87.6% x 4,580,000</t>
  </si>
  <si>
    <t>Tipik</t>
  </si>
  <si>
    <t>Voo Sport World 1</t>
  </si>
  <si>
    <t>Voo Sport World 2</t>
  </si>
  <si>
    <t>Voo Sport World 3</t>
  </si>
  <si>
    <t>Voo Sports World 1</t>
  </si>
  <si>
    <t>VooSport World 1</t>
  </si>
  <si>
    <t>VooSport World 2</t>
  </si>
  <si>
    <t>VooSport World 3</t>
  </si>
  <si>
    <t>Bhutan</t>
  </si>
  <si>
    <t>BBT</t>
  </si>
  <si>
    <t>ATV</t>
  </si>
  <si>
    <t>Based on FISE document</t>
  </si>
  <si>
    <t>RTRS</t>
  </si>
  <si>
    <t>84.7% x 1069396</t>
  </si>
  <si>
    <t>Sport Klub 1</t>
  </si>
  <si>
    <t>Sport Klub 10</t>
  </si>
  <si>
    <t>Sport Klub 2</t>
  </si>
  <si>
    <t>Sport Klub 3</t>
  </si>
  <si>
    <t>Sport Klub 4</t>
  </si>
  <si>
    <t>Sport Klub 5</t>
  </si>
  <si>
    <t>Sport Klub 6</t>
  </si>
  <si>
    <t>Sport Klub 7</t>
  </si>
  <si>
    <t>Sport Klub 8</t>
  </si>
  <si>
    <t>Sport Klub 9</t>
  </si>
  <si>
    <t>Sport Klub Golf</t>
  </si>
  <si>
    <t>Sport Klub HD</t>
  </si>
  <si>
    <t>Band Sports</t>
  </si>
  <si>
    <t>All Pay TV in Brasil seems like they have Band Sports (some perhaps on premium carriers)</t>
  </si>
  <si>
    <t>Based on extrapolation from LatAm Feed (Appendix Maker)</t>
  </si>
  <si>
    <t>ESPN Brasil</t>
  </si>
  <si>
    <t>ESPN Extra</t>
  </si>
  <si>
    <t>Globo</t>
  </si>
  <si>
    <t>Entirety of Brazil HHR as per Global Forecasts</t>
  </si>
  <si>
    <t>Globosat</t>
  </si>
  <si>
    <t>Sky Brasil</t>
  </si>
  <si>
    <t>Sky subscribers in Pay TV Forecasts</t>
  </si>
  <si>
    <t>SporTV</t>
  </si>
  <si>
    <t>Entirety of Pay TV Universe in Brazil</t>
  </si>
  <si>
    <t>SporTV 2</t>
  </si>
  <si>
    <t>SporTV 3</t>
  </si>
  <si>
    <t>SporTV2</t>
  </si>
  <si>
    <t>SporTV3</t>
  </si>
  <si>
    <t>TV Cultura</t>
  </si>
  <si>
    <t>Astro SuperSport 2</t>
  </si>
  <si>
    <t>Astro SuperSport 2 HD</t>
  </si>
  <si>
    <t>Astro SuperSport 3</t>
  </si>
  <si>
    <t>Downweighted Malaysia based on Population</t>
  </si>
  <si>
    <t>Astro SuperSport 3 HD</t>
  </si>
  <si>
    <t>Astro SuperSport 4</t>
  </si>
  <si>
    <t>GOLF HD</t>
  </si>
  <si>
    <t>BNT</t>
  </si>
  <si>
    <t>99.1% x 2963800</t>
  </si>
  <si>
    <t>BNT 2</t>
  </si>
  <si>
    <t>BNT 3</t>
  </si>
  <si>
    <t>BNT1</t>
  </si>
  <si>
    <t>Diema</t>
  </si>
  <si>
    <t>Diema Sport</t>
  </si>
  <si>
    <t>Blizoo, M-Tel and Mobitel</t>
  </si>
  <si>
    <t>EDGE Sport</t>
  </si>
  <si>
    <t>F+</t>
  </si>
  <si>
    <t>Available on both Bulsatcom and Vivacom</t>
  </si>
  <si>
    <t>Max Sport 1</t>
  </si>
  <si>
    <t>Previously Mtel</t>
  </si>
  <si>
    <t>Max Sport 2</t>
  </si>
  <si>
    <t>Max Sport 3</t>
  </si>
  <si>
    <t>Mobitel</t>
  </si>
  <si>
    <t>Mtel + Mobitel</t>
  </si>
  <si>
    <t>mtel</t>
  </si>
  <si>
    <t>Mtel Sport 1</t>
  </si>
  <si>
    <t>Mtel Sport 2</t>
  </si>
  <si>
    <t>Sport+ HD</t>
  </si>
  <si>
    <t>Sport+HD</t>
  </si>
  <si>
    <t>TV+</t>
  </si>
  <si>
    <t>beIN Sports</t>
  </si>
  <si>
    <t>2% of HHR (based on Indonesia and Thailand) applied to Laos HHR of 2.0m</t>
  </si>
  <si>
    <t>BNN Bloomberg</t>
  </si>
  <si>
    <t>17.2% HhR - 14,284,000</t>
  </si>
  <si>
    <t>CH Ontario (CHCH)</t>
  </si>
  <si>
    <t>CH Vancouver (CHEK)</t>
  </si>
  <si>
    <t>City Calgary (CKAL)</t>
  </si>
  <si>
    <t>CTV National</t>
  </si>
  <si>
    <t>94.2% HHR - 14,284,000</t>
  </si>
  <si>
    <t>CTV Two</t>
  </si>
  <si>
    <t>CTV Two Barrie/Toronto (CKVR)</t>
  </si>
  <si>
    <t>Discovery Velocity</t>
  </si>
  <si>
    <t>0.173% (Eurodata)</t>
  </si>
  <si>
    <t>Fox Sports 1</t>
  </si>
  <si>
    <t>All but telus</t>
  </si>
  <si>
    <t>Global BC (CHAN)</t>
  </si>
  <si>
    <t>90.6% HHR - 14,284,000</t>
  </si>
  <si>
    <t>Global Calgary</t>
  </si>
  <si>
    <t>Global Canada Com</t>
  </si>
  <si>
    <t>Global Edmonton (CITV)</t>
  </si>
  <si>
    <t>Global Ontario (CIII)</t>
  </si>
  <si>
    <t>Global Quebec (CKMI)</t>
  </si>
  <si>
    <t>Golf Channel</t>
  </si>
  <si>
    <t>OLN</t>
  </si>
  <si>
    <t>PBS</t>
  </si>
  <si>
    <t>Eurodata x Global HHR</t>
  </si>
  <si>
    <t>RDS</t>
  </si>
  <si>
    <t>Rogers, Videotron, Cogeco, Shaw</t>
  </si>
  <si>
    <t>RDS +</t>
  </si>
  <si>
    <t>RDS Info+</t>
  </si>
  <si>
    <t>RDS+</t>
  </si>
  <si>
    <t>RDS2</t>
  </si>
  <si>
    <t>RDS2+</t>
  </si>
  <si>
    <t>Rogers Sportsnet</t>
  </si>
  <si>
    <t>Rogers, Videotron, Cogeco, Shaw, Bell, Telus</t>
  </si>
  <si>
    <t>SportsnetOne</t>
  </si>
  <si>
    <t>THE GOLF CHANNEL</t>
  </si>
  <si>
    <t>TSN</t>
  </si>
  <si>
    <t>TSN 1</t>
  </si>
  <si>
    <t>TSN 2</t>
  </si>
  <si>
    <t>TSN 3</t>
  </si>
  <si>
    <t>TSN 4</t>
  </si>
  <si>
    <t>TSN 5</t>
  </si>
  <si>
    <t>TSN2</t>
  </si>
  <si>
    <t>TSNGO</t>
  </si>
  <si>
    <t>TVA Sports</t>
  </si>
  <si>
    <t>Ogers, Videotron, Cogeco</t>
  </si>
  <si>
    <t>TVA Sports 1</t>
  </si>
  <si>
    <t>TVA Sports 2</t>
  </si>
  <si>
    <t>^Note: Central America consists of Costa Rica, Dominican Republic, El Salvador, Guatemala, Honduras, Nicaragua and Panama.</t>
  </si>
  <si>
    <t>ESPN2 Sur_Andina</t>
  </si>
  <si>
    <t>Beijing TV Sports Channel</t>
  </si>
  <si>
    <t>Available in Beijing; 95% reach of Beijing TV HH (Eurodata)</t>
  </si>
  <si>
    <t>CCTV</t>
  </si>
  <si>
    <t>CCTV - Golf &amp; Tennis</t>
  </si>
  <si>
    <t>CCTV Golf &amp; Tennis</t>
  </si>
  <si>
    <t>CCTV Golf &amp;Tennis</t>
  </si>
  <si>
    <t>HHR 2015 Master File</t>
  </si>
  <si>
    <t>CCTV5</t>
  </si>
  <si>
    <t>90.9% of total China HHR</t>
  </si>
  <si>
    <t>CCTV-5</t>
  </si>
  <si>
    <t>CCTV5+</t>
  </si>
  <si>
    <t>CCTV-5+</t>
  </si>
  <si>
    <t>CCTV-5+ Sports Competition</t>
  </si>
  <si>
    <t>CCTV5+ Sports Competition Channel</t>
  </si>
  <si>
    <t>Dalian TV 4</t>
  </si>
  <si>
    <t>91.6% of Beijing (Liaoning)</t>
  </si>
  <si>
    <t>Dalian TV4</t>
  </si>
  <si>
    <t>Dalian TV4(Entertainment Sports Channel)</t>
  </si>
  <si>
    <t>FJTV8</t>
  </si>
  <si>
    <t>FJTV10 - 432.7 million x 7.6%</t>
  </si>
  <si>
    <t>Fujian TV</t>
  </si>
  <si>
    <t>From PGA Tour distribution</t>
  </si>
  <si>
    <t>Great Sports</t>
  </si>
  <si>
    <t>GRT Sports</t>
  </si>
  <si>
    <t>Guangdong Golf Channel</t>
  </si>
  <si>
    <t>Guangdong Sports</t>
  </si>
  <si>
    <t>86.5% x 33677000 million (Guangdong Province)</t>
  </si>
  <si>
    <t>Guangdong TV Sports Channel</t>
  </si>
  <si>
    <t>Hangzhou TV 5</t>
  </si>
  <si>
    <t>Average of all China F1</t>
  </si>
  <si>
    <t>iQIYI</t>
  </si>
  <si>
    <t>Helen Kuala Lumpur HHR excel</t>
  </si>
  <si>
    <t>Jiangsu Sports</t>
  </si>
  <si>
    <t>85.9% of Guangdong 33677000</t>
  </si>
  <si>
    <t>Jiangsu TV Sports Recreation Channel</t>
  </si>
  <si>
    <t>LeTV</t>
  </si>
  <si>
    <t>From FS Email</t>
  </si>
  <si>
    <t>Shandong TV Sports</t>
  </si>
  <si>
    <t>0.894 x 68010000</t>
  </si>
  <si>
    <t>Shangdong Sports</t>
  </si>
  <si>
    <t>Shanghai Star Sports</t>
  </si>
  <si>
    <t>Shanghai TV Great Sports Channel</t>
  </si>
  <si>
    <t>Star Sports 1</t>
  </si>
  <si>
    <t>Star Sports 2</t>
  </si>
  <si>
    <t>Tianjin TV5 (Sports Channel)</t>
  </si>
  <si>
    <t>Bit random, used % for Tianjin in Guangdong province</t>
  </si>
  <si>
    <t>Tianjin TV5(Sports Channel)</t>
  </si>
  <si>
    <t>Travel Channel</t>
  </si>
  <si>
    <t>Claro Sports</t>
  </si>
  <si>
    <t>ESPN2 Colombia</t>
  </si>
  <si>
    <t>Cook Islands</t>
  </si>
  <si>
    <t>CITV</t>
  </si>
  <si>
    <t>Sky</t>
  </si>
  <si>
    <t>Taken from Global Pay TV Operator, Sky subscribers, p. 21</t>
  </si>
  <si>
    <t>Arena Sport 1</t>
  </si>
  <si>
    <t>Arena Sport 2</t>
  </si>
  <si>
    <t>Only available on Max TV/T-HY</t>
  </si>
  <si>
    <t>Arena Sport 4</t>
  </si>
  <si>
    <t>Arena Sport 5</t>
  </si>
  <si>
    <t>Arena Sport 6</t>
  </si>
  <si>
    <t>HRT1</t>
  </si>
  <si>
    <t>HTV</t>
  </si>
  <si>
    <t>HTV 2</t>
  </si>
  <si>
    <t>HTV 3</t>
  </si>
  <si>
    <t>HTV2</t>
  </si>
  <si>
    <t>RTL 2</t>
  </si>
  <si>
    <t>Eurodata %</t>
  </si>
  <si>
    <t>SPTV</t>
  </si>
  <si>
    <t>TV Arena Sport 2</t>
  </si>
  <si>
    <t>CYCBC</t>
  </si>
  <si>
    <t>Took RIK 1 x 302,884</t>
  </si>
  <si>
    <t>CYTA Sports 4</t>
  </si>
  <si>
    <t>Cytavision only</t>
  </si>
  <si>
    <t>CytaSports 6</t>
  </si>
  <si>
    <t>Cytavision Sports 1</t>
  </si>
  <si>
    <t>Cytavision Sports 2</t>
  </si>
  <si>
    <t>Cytavision Sports 3</t>
  </si>
  <si>
    <t>Cytavision Sports 4</t>
  </si>
  <si>
    <t>Cytavision Sports 5</t>
  </si>
  <si>
    <t>Cytavision Sports 6</t>
  </si>
  <si>
    <t>Cytavision Sports HD</t>
  </si>
  <si>
    <t>Cytavision Sports HD 1</t>
  </si>
  <si>
    <t>Cytavision Sports HD 2</t>
  </si>
  <si>
    <t>Cytavision Sports HD 3</t>
  </si>
  <si>
    <t>Cytavision Sports HD 4</t>
  </si>
  <si>
    <t>Cytavision Sports HD 5</t>
  </si>
  <si>
    <t>Cytavision Sports HD 6</t>
  </si>
  <si>
    <t>Nova Sport 1</t>
  </si>
  <si>
    <t>Cytavision and Cablenet</t>
  </si>
  <si>
    <t>Nova Sport 2</t>
  </si>
  <si>
    <t>Nova Sport 24</t>
  </si>
  <si>
    <t>Nova Sport 3</t>
  </si>
  <si>
    <t>Nova Sport 4</t>
  </si>
  <si>
    <t>Nova Sport 5</t>
  </si>
  <si>
    <t>Nova Sports 4</t>
  </si>
  <si>
    <t>RIK1</t>
  </si>
  <si>
    <t>Rik2</t>
  </si>
  <si>
    <t>CT art</t>
  </si>
  <si>
    <t>4273496 x 52.1%</t>
  </si>
  <si>
    <t>CT Sport</t>
  </si>
  <si>
    <t>Eurodata % and Global Forecast</t>
  </si>
  <si>
    <t>ČT Sport</t>
  </si>
  <si>
    <t>CT2</t>
  </si>
  <si>
    <t>4273496 x 96.1%</t>
  </si>
  <si>
    <t>ČT2</t>
  </si>
  <si>
    <t>CT3</t>
  </si>
  <si>
    <t xml:space="preserve">Digi Sport </t>
  </si>
  <si>
    <t>Only available on Digi Sport</t>
  </si>
  <si>
    <t>Digi Sport 2</t>
  </si>
  <si>
    <t>Digi Sport 3</t>
  </si>
  <si>
    <t>DigiSport 2</t>
  </si>
  <si>
    <t>DigiSport 3</t>
  </si>
  <si>
    <t>Available on O2 and Digi TV</t>
  </si>
  <si>
    <t>Nova Action</t>
  </si>
  <si>
    <t>Nova Sport</t>
  </si>
  <si>
    <t>Available on all providers in CZR</t>
  </si>
  <si>
    <t>O2 Sport</t>
  </si>
  <si>
    <t>Available on O2 only (Pay TV Excel)</t>
  </si>
  <si>
    <t>O2 TV Sport</t>
  </si>
  <si>
    <t>O2 TV Tennis</t>
  </si>
  <si>
    <t>Sport 2</t>
  </si>
  <si>
    <t>TV Fanda</t>
  </si>
  <si>
    <t>C More Golf HD</t>
  </si>
  <si>
    <t>C More Max</t>
  </si>
  <si>
    <t>C More Sport</t>
  </si>
  <si>
    <t>Available on YouSee, TDC and Canal Digital</t>
  </si>
  <si>
    <t>C More Sport 1</t>
  </si>
  <si>
    <t>C More Sport 2</t>
  </si>
  <si>
    <t>C More Tennis</t>
  </si>
  <si>
    <t>DRK</t>
  </si>
  <si>
    <t>89.4% x 2606000</t>
  </si>
  <si>
    <t>Kanal 5</t>
  </si>
  <si>
    <t>TV 2</t>
  </si>
  <si>
    <t>Eurodata (rounded)</t>
  </si>
  <si>
    <t>TV 2 Sport X</t>
  </si>
  <si>
    <t>TV 3 Sport 1</t>
  </si>
  <si>
    <t>Available on all Pay TV in Global Forecast Document</t>
  </si>
  <si>
    <t>TV 3+</t>
  </si>
  <si>
    <t>TV2 Sport</t>
  </si>
  <si>
    <t xml:space="preserve">TV2 Sport </t>
  </si>
  <si>
    <t>TV3 dk</t>
  </si>
  <si>
    <t>TV3 Max</t>
  </si>
  <si>
    <t>TV3 SPORT</t>
  </si>
  <si>
    <t>TV3 SPORT 1</t>
  </si>
  <si>
    <t>TV3 Sport 2</t>
  </si>
  <si>
    <t>TV3+</t>
  </si>
  <si>
    <t>V Sport Golf</t>
  </si>
  <si>
    <t>Viaplay</t>
  </si>
  <si>
    <t>Viasat Golf</t>
  </si>
  <si>
    <t>Available on YouSee, TDC and Viasat</t>
  </si>
  <si>
    <t>Viasat Motor</t>
  </si>
  <si>
    <t>Viasat Sport</t>
  </si>
  <si>
    <t>-</t>
  </si>
  <si>
    <t>Applied 22% average of BeIn to Pay TV ratio and applied to East Timor, which was previously worked out for Fox Sports</t>
  </si>
  <si>
    <t>BEIN SPORTS 1 HD</t>
  </si>
  <si>
    <t>BeIN Only (Global TV Forecasts)</t>
  </si>
  <si>
    <t>El Salvador</t>
  </si>
  <si>
    <t>Delfi TV</t>
  </si>
  <si>
    <t>WTA Calcs</t>
  </si>
  <si>
    <t>ETV</t>
  </si>
  <si>
    <t>Kanal 12</t>
  </si>
  <si>
    <t>TV6</t>
  </si>
  <si>
    <t>Available on Starman, Elion and Viasat</t>
  </si>
  <si>
    <t>Available on Starman and Viasat</t>
  </si>
  <si>
    <t>Viasat Sport Baltic</t>
  </si>
  <si>
    <t>FBC TV</t>
  </si>
  <si>
    <t>Fiji TV</t>
  </si>
  <si>
    <t>C More Live</t>
  </si>
  <si>
    <t>Available on Telesonera and Canal Digital</t>
  </si>
  <si>
    <t>MTV 3</t>
  </si>
  <si>
    <t>FTA - 99.5% of Finalnd reach</t>
  </si>
  <si>
    <t>MTV Max</t>
  </si>
  <si>
    <t>Available on DNA, Elisa, Telesonera, Canal Digital and Plus TV</t>
  </si>
  <si>
    <t>MTV Sport 1</t>
  </si>
  <si>
    <t>MTV Sport 2</t>
  </si>
  <si>
    <t>MTV3</t>
  </si>
  <si>
    <t>MTV3 MAX Sport 1</t>
  </si>
  <si>
    <t>MTV3 MAX Sport 2</t>
  </si>
  <si>
    <t>TV5</t>
  </si>
  <si>
    <t>98.9 x 2567000</t>
  </si>
  <si>
    <t>Viasat Sport is available on all Pay TV operators in Finland</t>
  </si>
  <si>
    <t>Viasat Urheilu</t>
  </si>
  <si>
    <t>YLE</t>
  </si>
  <si>
    <t>YLE Areena</t>
  </si>
  <si>
    <t>YLE TV2</t>
  </si>
  <si>
    <t>YLE2</t>
  </si>
  <si>
    <t>BeIN Sports 1</t>
  </si>
  <si>
    <t>http://www.sportsbusinessdaily.com/Global/Issues/2016/06/28/Media/beIN-Sports-3M-Subscriber.aspx</t>
  </si>
  <si>
    <t>BeIN Sports 10</t>
  </si>
  <si>
    <t>BeIN Sports 4</t>
  </si>
  <si>
    <t>BeIN Sports 4 Max</t>
  </si>
  <si>
    <t>BeIN Sports 5</t>
  </si>
  <si>
    <t>BeIN Sports 5 Max</t>
  </si>
  <si>
    <t>BeIN Sports 6</t>
  </si>
  <si>
    <t>BeIN Sports 6 Max</t>
  </si>
  <si>
    <t>BeIN Sports 7</t>
  </si>
  <si>
    <t>BeIN Sports 7 Max</t>
  </si>
  <si>
    <t>BeIN Sports 8</t>
  </si>
  <si>
    <t>BeIN Sports 9</t>
  </si>
  <si>
    <t>beIN Sports Max 4</t>
  </si>
  <si>
    <t>beIN Sports Max 5</t>
  </si>
  <si>
    <t>C8</t>
  </si>
  <si>
    <t>79% of France households (Eurodata)</t>
  </si>
  <si>
    <t>Canal + (encrypted)</t>
  </si>
  <si>
    <t>Canal + Decale</t>
  </si>
  <si>
    <t>19.6% of France Households (Eurodata)</t>
  </si>
  <si>
    <t>Canal + Sport</t>
  </si>
  <si>
    <t>61.2% of France households (Eurodata)</t>
  </si>
  <si>
    <t>Canal+</t>
  </si>
  <si>
    <t>21.2% of France households (Eurodata)</t>
  </si>
  <si>
    <t>Canal+ Sport</t>
  </si>
  <si>
    <t>Equida Life</t>
  </si>
  <si>
    <t>France 3</t>
  </si>
  <si>
    <t>France 4</t>
  </si>
  <si>
    <t>27,134,000 x 708%</t>
  </si>
  <si>
    <t>Golf +</t>
  </si>
  <si>
    <t>FranceGolf +</t>
  </si>
  <si>
    <t>Numericable and Canalsat</t>
  </si>
  <si>
    <t>Golf Plus</t>
  </si>
  <si>
    <t>L'Equipe</t>
  </si>
  <si>
    <t>Full Pay TV</t>
  </si>
  <si>
    <t>FS Email</t>
  </si>
  <si>
    <t>Motors TV</t>
  </si>
  <si>
    <t>Numericable, Orange, Free and Canalsat</t>
  </si>
  <si>
    <t>Numero 23</t>
  </si>
  <si>
    <t>Global Fcast and Euro DATA</t>
  </si>
  <si>
    <t>TMC</t>
  </si>
  <si>
    <t>66.2% for Eurodata</t>
  </si>
  <si>
    <t>Adjara Sport 1</t>
  </si>
  <si>
    <t>Adjara Sport 2</t>
  </si>
  <si>
    <t>GMG Sports</t>
  </si>
  <si>
    <t>Silknet only</t>
  </si>
  <si>
    <t>GMG Sports Channel</t>
  </si>
  <si>
    <t>GTV</t>
  </si>
  <si>
    <t>Channel 1 used (Eurodata)</t>
  </si>
  <si>
    <t>Silk Sport HD</t>
  </si>
  <si>
    <t>Silk Sport HD1</t>
  </si>
  <si>
    <t>Silk Sport HD3</t>
  </si>
  <si>
    <t>Silk Universal</t>
  </si>
  <si>
    <t>Silknet</t>
  </si>
  <si>
    <t>Silknet HD1</t>
  </si>
  <si>
    <t>Silknet HD3</t>
  </si>
  <si>
    <t>Silknet UNI</t>
  </si>
  <si>
    <t>3SAT</t>
  </si>
  <si>
    <t>Entirety of Germany HHR</t>
  </si>
  <si>
    <t>Larry HHR Eurosport</t>
  </si>
  <si>
    <t>HESSEN FERNSEHEN</t>
  </si>
  <si>
    <t>RTL Nitro</t>
  </si>
  <si>
    <t>50.3% of Germany HHR</t>
  </si>
  <si>
    <t>Servus TV Deutschland</t>
  </si>
  <si>
    <t>Available on Sky, T Home and Unity Media</t>
  </si>
  <si>
    <t>Same as Eurosport</t>
  </si>
  <si>
    <t>Pay TV Subscriber Doc</t>
  </si>
  <si>
    <t>Sport1</t>
  </si>
  <si>
    <t>Sport1+</t>
  </si>
  <si>
    <t>Gibraltar</t>
  </si>
  <si>
    <t>GBC</t>
  </si>
  <si>
    <t>Cosmote Sport 5</t>
  </si>
  <si>
    <t>Cosmote Sport 6</t>
  </si>
  <si>
    <t>OTE only</t>
  </si>
  <si>
    <t>Cosmote Sport 6HD</t>
  </si>
  <si>
    <t>ERT</t>
  </si>
  <si>
    <t>ERT 2</t>
  </si>
  <si>
    <t>98.9% of Greece HHR</t>
  </si>
  <si>
    <t>ERT Sport</t>
  </si>
  <si>
    <t>ERT Sports</t>
  </si>
  <si>
    <t>ERT1</t>
  </si>
  <si>
    <t>ERT2</t>
  </si>
  <si>
    <t>ERT3</t>
  </si>
  <si>
    <t>Based on 8.4% reach from Eurodata</t>
  </si>
  <si>
    <t>Nova Sports 1</t>
  </si>
  <si>
    <t>Nova Sports 2</t>
  </si>
  <si>
    <t>Nova Sports 24</t>
  </si>
  <si>
    <t>Nova Sports 3</t>
  </si>
  <si>
    <t>Nova Sports 5</t>
  </si>
  <si>
    <t>OTE Sport</t>
  </si>
  <si>
    <t>OTE Sport 5HD</t>
  </si>
  <si>
    <t>OTE Sport 6 HD</t>
  </si>
  <si>
    <t>OTE Sport 7 HD</t>
  </si>
  <si>
    <t>Canal 3</t>
  </si>
  <si>
    <t>Entirety of Guatemala HHR</t>
  </si>
  <si>
    <t>Canal3</t>
  </si>
  <si>
    <t>Honduras</t>
  </si>
  <si>
    <t>SKY</t>
  </si>
  <si>
    <t>VTV</t>
  </si>
  <si>
    <t>Rough estimate based on population / 5 (people per household)</t>
  </si>
  <si>
    <t>MP Silva Document</t>
  </si>
  <si>
    <t>FOX SPORTS</t>
  </si>
  <si>
    <t>Same as Now TV - checked several providers (TVB, Pearl etc.), couldn't see any mention of Fox except on Now</t>
  </si>
  <si>
    <t>I Cable Sport</t>
  </si>
  <si>
    <t>Now Golf</t>
  </si>
  <si>
    <t>Now Golf 1</t>
  </si>
  <si>
    <t>http://www.rapidtvnews.com/2014081334881/now-tv-adds-5-more-subscribers-in-a-year.html#axzz4QHIfVjAJ</t>
  </si>
  <si>
    <t>Now Golf 2</t>
  </si>
  <si>
    <t>Now Golf 3</t>
  </si>
  <si>
    <t>Now Sports 1</t>
  </si>
  <si>
    <t>Now Sports 2</t>
  </si>
  <si>
    <t>Now Sports 4</t>
  </si>
  <si>
    <t>Now Sports 6</t>
  </si>
  <si>
    <t>Digi TV, Invitel</t>
  </si>
  <si>
    <t>Digi Sport 4</t>
  </si>
  <si>
    <t>DigiSport 1</t>
  </si>
  <si>
    <t>DUNA TV</t>
  </si>
  <si>
    <t>94.9% (DUNA) applied to Hungary</t>
  </si>
  <si>
    <t>Sentry TOC 2019</t>
  </si>
  <si>
    <t>M4 Sport</t>
  </si>
  <si>
    <t>MTV</t>
  </si>
  <si>
    <t>UPC, T Home, Digi TV, Invitel</t>
  </si>
  <si>
    <t>% of Serbia applied to Hungary</t>
  </si>
  <si>
    <t>2 Golf</t>
  </si>
  <si>
    <t>Channel 2 Sport</t>
  </si>
  <si>
    <t>Golfstoddin</t>
  </si>
  <si>
    <t>Golfstodin</t>
  </si>
  <si>
    <t>Golfstödin</t>
  </si>
  <si>
    <t>RUV</t>
  </si>
  <si>
    <t>98.7% from Eurodata applied to Iceland</t>
  </si>
  <si>
    <t>RUV1</t>
  </si>
  <si>
    <t>Sport 2 Sport</t>
  </si>
  <si>
    <t>Sport 2 Sport 2</t>
  </si>
  <si>
    <t>Sport 2 Sport 3</t>
  </si>
  <si>
    <t>Stod 2 Channel 2 Sport</t>
  </si>
  <si>
    <t>Stod 2 Sport</t>
  </si>
  <si>
    <t>Stod 2 Sport 2</t>
  </si>
  <si>
    <t>Stod 2 Sport 4</t>
  </si>
  <si>
    <t>STÖÐ 2 Sport 4</t>
  </si>
  <si>
    <t>Vodafone TV</t>
  </si>
  <si>
    <t>DD National</t>
  </si>
  <si>
    <t>DD Sports</t>
  </si>
  <si>
    <t>Dsports</t>
  </si>
  <si>
    <t>http://www.forbesindia.com/article/special/discovery-launches-premium-sports-channel-dsport-in-india/45777/1</t>
  </si>
  <si>
    <t>Formerly Dsport</t>
  </si>
  <si>
    <t>Eurosport HD</t>
  </si>
  <si>
    <t>Indian Subcontinent</t>
  </si>
  <si>
    <t>Ten Golf HD</t>
  </si>
  <si>
    <t>Neo Sports</t>
  </si>
  <si>
    <t>Awaiting Joseph confirmation</t>
  </si>
  <si>
    <t>Sony ESPN</t>
  </si>
  <si>
    <t>Sony ESPN (v)</t>
  </si>
  <si>
    <t>Sony ESPN HD</t>
  </si>
  <si>
    <t>Sony ESPN HD(v)</t>
  </si>
  <si>
    <t>Sony ESPN(v)</t>
  </si>
  <si>
    <t>Sony Six</t>
  </si>
  <si>
    <t>Sony SIX HD</t>
  </si>
  <si>
    <t>Sony SIX(v)</t>
  </si>
  <si>
    <t>Sony Ten 1</t>
  </si>
  <si>
    <t>Sony Ten 1 HD</t>
  </si>
  <si>
    <t>Sony Ten 2</t>
  </si>
  <si>
    <t>Sony Ten 2 HD</t>
  </si>
  <si>
    <t>Sony Ten 3</t>
  </si>
  <si>
    <t>Sony Ten 3 HD</t>
  </si>
  <si>
    <t>Sony Ten Golf HD</t>
  </si>
  <si>
    <t>Star Sports 1 HD</t>
  </si>
  <si>
    <t>STAR Sports 2</t>
  </si>
  <si>
    <t>STAR Sports 2 HD</t>
  </si>
  <si>
    <t>STAR Sports 2(v)</t>
  </si>
  <si>
    <t>Star Sports 3</t>
  </si>
  <si>
    <t>STAR Sports 3(v)</t>
  </si>
  <si>
    <t>STAR Sports 4</t>
  </si>
  <si>
    <t>Star Sports HD 2</t>
  </si>
  <si>
    <t>STAR Sports Select 1</t>
  </si>
  <si>
    <t>Email from STAR (2/8 from Rajesh Srinivasan to Formula E - forwarded by Charlie)</t>
  </si>
  <si>
    <t>STAR Sports Select 1 HD</t>
  </si>
  <si>
    <t>STAR Sports Select 1 SD</t>
  </si>
  <si>
    <t>STAR Sports Select 2</t>
  </si>
  <si>
    <t>STAR Sports Select 2 HD</t>
  </si>
  <si>
    <t>STAR Sports Select 2 SD</t>
  </si>
  <si>
    <t>Star Sports Select HD1</t>
  </si>
  <si>
    <t>Star Sports Select HD2</t>
  </si>
  <si>
    <t>Ten 1</t>
  </si>
  <si>
    <t>Ten 1 HD</t>
  </si>
  <si>
    <t>Ten 2</t>
  </si>
  <si>
    <t>Ten 3</t>
  </si>
  <si>
    <t>VEQTA</t>
  </si>
  <si>
    <t>India's 1st Digital platform - based on HHR of DAZN</t>
  </si>
  <si>
    <t>orange, kvision, telkom and nexmedia</t>
  </si>
  <si>
    <t>Available through Transvision, MNC, Orange, Big TV, K Bision and NexMedia</t>
  </si>
  <si>
    <t>Fox Sports 2 HD</t>
  </si>
  <si>
    <t>Global TV</t>
  </si>
  <si>
    <t>40,283,000 HHR in Indonesia according to Global Forecasts. Reaches 96.4% according to Eurodata</t>
  </si>
  <si>
    <t>Transvision only</t>
  </si>
  <si>
    <t>Golf Channel HD</t>
  </si>
  <si>
    <t>IndonesiaGolf Channel HD</t>
  </si>
  <si>
    <t>Golf HD</t>
  </si>
  <si>
    <t>Golf+ HD</t>
  </si>
  <si>
    <t xml:space="preserve">Golf+ HD </t>
  </si>
  <si>
    <t>INEWSTV</t>
  </si>
  <si>
    <t>40,283,000 HHR in Indonesia according to Global Forecasts. Reaches x% according to Eurodata (sindoTV)</t>
  </si>
  <si>
    <t>Metro TV</t>
  </si>
  <si>
    <t>40,283,000 HHR in Indonesia according to Global Forecasts. Reaches 91.4% according to Eurodata (sindoTV)</t>
  </si>
  <si>
    <t>MNC</t>
  </si>
  <si>
    <t>Only available through MBC Skyvision</t>
  </si>
  <si>
    <t>MNC Sports</t>
  </si>
  <si>
    <t>BBC 1</t>
  </si>
  <si>
    <t>BBC 2</t>
  </si>
  <si>
    <t>BBC1</t>
  </si>
  <si>
    <t>1582000 x 82.7%</t>
  </si>
  <si>
    <t>BBC2</t>
  </si>
  <si>
    <t>1582000 x 81.4%</t>
  </si>
  <si>
    <t>Channel 4</t>
  </si>
  <si>
    <t>Channel 4 + 1 Ireland</t>
  </si>
  <si>
    <t>Took entirety of Ireland Pay TV subscriber base</t>
  </si>
  <si>
    <t>Channel 4 Ireland</t>
  </si>
  <si>
    <t>Channel 4+1</t>
  </si>
  <si>
    <t>EIR Sport 1</t>
  </si>
  <si>
    <t>Same as Setanta</t>
  </si>
  <si>
    <t>Pick</t>
  </si>
  <si>
    <t>RTE 1</t>
  </si>
  <si>
    <t>96.5% of reach</t>
  </si>
  <si>
    <t>RTE 2</t>
  </si>
  <si>
    <t>88.2% of reach</t>
  </si>
  <si>
    <t>RTE NEWS NOW</t>
  </si>
  <si>
    <t>RTE One</t>
  </si>
  <si>
    <t>90.1% of Reach</t>
  </si>
  <si>
    <t>SETANTA</t>
  </si>
  <si>
    <t>Used Eurodata</t>
  </si>
  <si>
    <t>Sky 1</t>
  </si>
  <si>
    <t>Sky 2</t>
  </si>
  <si>
    <t>Sky Sports 1</t>
  </si>
  <si>
    <t>Sky Sports 2</t>
  </si>
  <si>
    <t>Sky Sports 3</t>
  </si>
  <si>
    <t>Sky Sports 4</t>
  </si>
  <si>
    <t>Sky Sports 5</t>
  </si>
  <si>
    <t>Sky Sports Arena</t>
  </si>
  <si>
    <t>Sky Sports F1</t>
  </si>
  <si>
    <t>Sky Sports Golf</t>
  </si>
  <si>
    <t>Sky Sports Main Event</t>
  </si>
  <si>
    <t>Sky Sports Mix</t>
  </si>
  <si>
    <t>SKY1</t>
  </si>
  <si>
    <t>TG4</t>
  </si>
  <si>
    <t>5 Gold</t>
  </si>
  <si>
    <t>On both HOT and YES</t>
  </si>
  <si>
    <t>5 Live</t>
  </si>
  <si>
    <t>5 Live HD</t>
  </si>
  <si>
    <t>5 Plus</t>
  </si>
  <si>
    <t>5 Sport 4k</t>
  </si>
  <si>
    <t>Only on HOT</t>
  </si>
  <si>
    <t>Sport 1 HD</t>
  </si>
  <si>
    <t>Sport 3</t>
  </si>
  <si>
    <t>Sport 4</t>
  </si>
  <si>
    <t>Sport 5</t>
  </si>
  <si>
    <t>Sport 5 + Live</t>
  </si>
  <si>
    <t>Sport 5 4K</t>
  </si>
  <si>
    <t>Sport 5 Gold</t>
  </si>
  <si>
    <t>Sport 5 HD</t>
  </si>
  <si>
    <t>Sport 5 Live</t>
  </si>
  <si>
    <t>Sport 5 Plus</t>
  </si>
  <si>
    <t>Class Horse TV</t>
  </si>
  <si>
    <t>Not present on Sky or Mediaset TV guide - took Telecom Italia only</t>
  </si>
  <si>
    <t>Arnold Palmer Invitational</t>
  </si>
  <si>
    <t>Rai 1</t>
  </si>
  <si>
    <t>Represents entirety of Italy HHR</t>
  </si>
  <si>
    <t>Rai 2</t>
  </si>
  <si>
    <t>Rai Sport 1</t>
  </si>
  <si>
    <t>Rai Sport 2</t>
  </si>
  <si>
    <t>Sky Calcio 1</t>
  </si>
  <si>
    <t>Sky Calcio 2</t>
  </si>
  <si>
    <t>Sky Calcio 3</t>
  </si>
  <si>
    <t>Sky Calcio 7</t>
  </si>
  <si>
    <t>Sky Calcio 8</t>
  </si>
  <si>
    <t>Sky Sport 24</t>
  </si>
  <si>
    <t>Sky Sport 252</t>
  </si>
  <si>
    <t>Sky Sport Arena</t>
  </si>
  <si>
    <t>Sky Sport F1</t>
  </si>
  <si>
    <t>Sky Sport Golf</t>
  </si>
  <si>
    <t>Sky Sport Mix</t>
  </si>
  <si>
    <t>Sky Sport Plus</t>
  </si>
  <si>
    <t>Sky Sport Uno</t>
  </si>
  <si>
    <t>Sky Wimbledon 1</t>
  </si>
  <si>
    <t>Sky Wimbledon 2</t>
  </si>
  <si>
    <t>Sky Wimbledon 3</t>
  </si>
  <si>
    <t>Sky Wimbledon 4</t>
  </si>
  <si>
    <t>Sky Wimbledon 5</t>
  </si>
  <si>
    <t>Sky Wimbledon 6</t>
  </si>
  <si>
    <t>Super Tennis</t>
  </si>
  <si>
    <t>Available on FTA and Satellite, although has a low cumulative reach</t>
  </si>
  <si>
    <t>Supertennis</t>
  </si>
  <si>
    <t>TV8</t>
  </si>
  <si>
    <t>Based on Eurodata %</t>
  </si>
  <si>
    <t>Jamaica</t>
  </si>
  <si>
    <t>CVM</t>
  </si>
  <si>
    <t>NYD Concert 2016</t>
  </si>
  <si>
    <t>100% of Nagoya (Eurodata)</t>
  </si>
  <si>
    <t>BS Asahi</t>
  </si>
  <si>
    <t>Represented as the maximum for Japan</t>
  </si>
  <si>
    <t>CS Asahi</t>
  </si>
  <si>
    <t>Fuji Next</t>
  </si>
  <si>
    <t>Took entirety of Japan TV subscriber base</t>
  </si>
  <si>
    <t>Fuji TV</t>
  </si>
  <si>
    <t>Fuji TV Next</t>
  </si>
  <si>
    <t>Gaora</t>
  </si>
  <si>
    <t>Gaora Sports Channel</t>
  </si>
  <si>
    <t>Golf Network</t>
  </si>
  <si>
    <t>J Com and Sky Perfec</t>
  </si>
  <si>
    <t>GolfNetwork</t>
  </si>
  <si>
    <t>J Sports 1</t>
  </si>
  <si>
    <t>SkyPerfec and Jcom</t>
  </si>
  <si>
    <t>J Sports 3</t>
  </si>
  <si>
    <t>JGN+</t>
  </si>
  <si>
    <t>Jupiter Golf Network</t>
  </si>
  <si>
    <t>NBN</t>
  </si>
  <si>
    <t>100% of Kansai (Eurodata)</t>
  </si>
  <si>
    <t>NHK BS1</t>
  </si>
  <si>
    <t>NHK E</t>
  </si>
  <si>
    <t>NHK G</t>
  </si>
  <si>
    <t>NHK1</t>
  </si>
  <si>
    <t>NHKBS1</t>
  </si>
  <si>
    <t>TV Asahi</t>
  </si>
  <si>
    <t>TV ASAHI (EX)</t>
  </si>
  <si>
    <t>100% of total (Eurodata)</t>
  </si>
  <si>
    <t>TV Bank Channel 1</t>
  </si>
  <si>
    <t>TV Bank Channel 2</t>
  </si>
  <si>
    <t>TV Bank Channel 3</t>
  </si>
  <si>
    <t>TV Bank Channel 4</t>
  </si>
  <si>
    <t>TV TOKYO (TX)</t>
  </si>
  <si>
    <t>TVA</t>
  </si>
  <si>
    <t>TVASAHI(EX)</t>
  </si>
  <si>
    <t>TVO</t>
  </si>
  <si>
    <t>WOWOW</t>
  </si>
  <si>
    <t>WOWOW Live</t>
  </si>
  <si>
    <t>Hikari TV only</t>
  </si>
  <si>
    <t>WOWOW Prime</t>
  </si>
  <si>
    <t>Wowwow Live</t>
  </si>
  <si>
    <t>Wowwow Prime</t>
  </si>
  <si>
    <t>Kenya</t>
  </si>
  <si>
    <t>Bamba TV</t>
  </si>
  <si>
    <t>ATP Distribution Report</t>
  </si>
  <si>
    <t>KBC</t>
  </si>
  <si>
    <t>DC DC HHR - rough Africa TV Household calcs</t>
  </si>
  <si>
    <t>Kiribati</t>
  </si>
  <si>
    <t>ArtMotion 1</t>
  </si>
  <si>
    <t>Used same as SuperSport</t>
  </si>
  <si>
    <t>RTK</t>
  </si>
  <si>
    <t>Downweighted Albania based on Population</t>
  </si>
  <si>
    <t>2% of HHR (based on Indonesia and Thailand) applied to Laos HHR of 0.7</t>
  </si>
  <si>
    <t>LNTV</t>
  </si>
  <si>
    <t>Based on Pan Asia DC Calcs</t>
  </si>
  <si>
    <t>Best4Sport</t>
  </si>
  <si>
    <t>Lattelecom only</t>
  </si>
  <si>
    <t>LTV 1</t>
  </si>
  <si>
    <t>LTV1</t>
  </si>
  <si>
    <t>LTV7</t>
  </si>
  <si>
    <t>727000*0.951</t>
  </si>
  <si>
    <t>Baltcom, Izzi, Lattelecom, Viasat</t>
  </si>
  <si>
    <t>http://www.liechtenstein.li/en/country-and-people/society/population/demography/</t>
  </si>
  <si>
    <t>Based on Germany</t>
  </si>
  <si>
    <t>Sky Sports Multifeed Group 1</t>
  </si>
  <si>
    <t>Sky Sports Multifeed Group 2</t>
  </si>
  <si>
    <t>Sky Sports News</t>
  </si>
  <si>
    <t>Teleclub Sport 2</t>
  </si>
  <si>
    <t>Teleclub Sport 3</t>
  </si>
  <si>
    <t>LRT Kultura</t>
  </si>
  <si>
    <t>Cgates, TEO and Viasat</t>
  </si>
  <si>
    <t>Used same as Eurosport</t>
  </si>
  <si>
    <t>Sky Sport</t>
  </si>
  <si>
    <t>Applied Switzerland % to Luxmebourg HHR (using 200,000 used for RTL Luxembourg in Lagardere)</t>
  </si>
  <si>
    <t>TDM</t>
  </si>
  <si>
    <t>TDM Desporto</t>
  </si>
  <si>
    <t>TDM HD</t>
  </si>
  <si>
    <t>1TV</t>
  </si>
  <si>
    <t>24Vesti</t>
  </si>
  <si>
    <t>MKRTV</t>
  </si>
  <si>
    <t>100% reach (MRT1)</t>
  </si>
  <si>
    <t>MRT 1</t>
  </si>
  <si>
    <t>Has a 100% technical reach according to Eurodata</t>
  </si>
  <si>
    <t>Astro SuperSport</t>
  </si>
  <si>
    <t>ASTRO SUPERSPORT 2 HD</t>
  </si>
  <si>
    <t>Based on Global TV Forecasts</t>
  </si>
  <si>
    <t>BeIN Sports</t>
  </si>
  <si>
    <t>Appendix Maker</t>
  </si>
  <si>
    <t>Based on Global TV Forecasts (Astro and TM)</t>
  </si>
  <si>
    <t>Fox Sports 3 HD</t>
  </si>
  <si>
    <t>Go Sports</t>
  </si>
  <si>
    <t>Sum of DTT and IPTV which are owned by GO in Malta (p. 61)</t>
  </si>
  <si>
    <t>Go Sports 1</t>
  </si>
  <si>
    <t>GO Sports 2</t>
  </si>
  <si>
    <t>GO Sports 3</t>
  </si>
  <si>
    <t>GO Sports 4</t>
  </si>
  <si>
    <t>GO Sports 5</t>
  </si>
  <si>
    <t>GO Sports 6</t>
  </si>
  <si>
    <t>GO Sports 7</t>
  </si>
  <si>
    <t>GO Sports 8</t>
  </si>
  <si>
    <t>TSN 6</t>
  </si>
  <si>
    <t>TSN 7</t>
  </si>
  <si>
    <t>TSN 8</t>
  </si>
  <si>
    <t>TSN1</t>
  </si>
  <si>
    <t>Marshall Islands</t>
  </si>
  <si>
    <t>OTV</t>
  </si>
  <si>
    <t>Marshall Isld.</t>
  </si>
  <si>
    <t>9 Gala</t>
  </si>
  <si>
    <t>Entirety of Mexico HHR</t>
  </si>
  <si>
    <t>Available on Dish and Axtel in MX</t>
  </si>
  <si>
    <t>ESPN Mexico</t>
  </si>
  <si>
    <t>Gala TV</t>
  </si>
  <si>
    <t>Sky Mexico</t>
  </si>
  <si>
    <t>TDN</t>
  </si>
  <si>
    <t>Historical IMG Cycling</t>
  </si>
  <si>
    <t>Micronesia</t>
  </si>
  <si>
    <t>Moldova</t>
  </si>
  <si>
    <t>TRM</t>
  </si>
  <si>
    <t>used Eurodata as a rough proxy</t>
  </si>
  <si>
    <t>79% of Monaco households</t>
  </si>
  <si>
    <t>21.2% of Monaco households</t>
  </si>
  <si>
    <t>61.2% of Monaco households - but encrypted..</t>
  </si>
  <si>
    <t>91.5% of France Households</t>
  </si>
  <si>
    <t>RTCG</t>
  </si>
  <si>
    <t>RTCG 2</t>
  </si>
  <si>
    <t xml:space="preserve">RTCG 2 </t>
  </si>
  <si>
    <t>RTCG1</t>
  </si>
  <si>
    <t>RTCG2</t>
  </si>
  <si>
    <t>TVCG1</t>
  </si>
  <si>
    <t>TVCG2</t>
  </si>
  <si>
    <t>Mozambique</t>
  </si>
  <si>
    <t>SOICO</t>
  </si>
  <si>
    <t>Skynet</t>
  </si>
  <si>
    <t>Namibia</t>
  </si>
  <si>
    <t>NBC</t>
  </si>
  <si>
    <t>Nauru</t>
  </si>
  <si>
    <t>Nepal</t>
  </si>
  <si>
    <t>Used entirety of Netherlands HHR</t>
  </si>
  <si>
    <t>Ziggo only</t>
  </si>
  <si>
    <t>Fox Sports 1 Eredivisie</t>
  </si>
  <si>
    <t>Fox Sports 4</t>
  </si>
  <si>
    <t>Fox Sports 5</t>
  </si>
  <si>
    <t>NPO1</t>
  </si>
  <si>
    <t>NPO2</t>
  </si>
  <si>
    <t>NPO3</t>
  </si>
  <si>
    <t>RTL7</t>
  </si>
  <si>
    <t>Ziggo Extra</t>
  </si>
  <si>
    <t>Ziggo Golf</t>
  </si>
  <si>
    <t>Available on Ziggo, KPN (as premium package) and Tele 2 (but not Canal Digital)</t>
  </si>
  <si>
    <t>Ziggo Select</t>
  </si>
  <si>
    <t>Ziggo Sport</t>
  </si>
  <si>
    <t>Ziggo Sport Docu</t>
  </si>
  <si>
    <t>Ziggo Sport Extra</t>
  </si>
  <si>
    <t>Ziggo Sport Extra 1</t>
  </si>
  <si>
    <t>Ziggo Sport Extra 2</t>
  </si>
  <si>
    <t>Ziggo Sport Extra1</t>
  </si>
  <si>
    <t>Ziggo Sport Extra2</t>
  </si>
  <si>
    <t>Ziggo Sport Golf</t>
  </si>
  <si>
    <t>Ziggo Sport Racing</t>
  </si>
  <si>
    <t>Ziggo Sport Select</t>
  </si>
  <si>
    <t>Ziggo Sport Tennis</t>
  </si>
  <si>
    <t>74.9% x HHR (Eurodata)</t>
  </si>
  <si>
    <t>PRIME</t>
  </si>
  <si>
    <t>91.5% of 1,675,000</t>
  </si>
  <si>
    <t>SKY Sport 4</t>
  </si>
  <si>
    <t>Sky Sport 9</t>
  </si>
  <si>
    <t>Sky Sports 7</t>
  </si>
  <si>
    <t>Three</t>
  </si>
  <si>
    <t>1675000 x 0.946</t>
  </si>
  <si>
    <t>ThreePlus1</t>
  </si>
  <si>
    <t>1675000 x 0.722</t>
  </si>
  <si>
    <t>TVNZ 1</t>
  </si>
  <si>
    <t>1675000 x 0.953</t>
  </si>
  <si>
    <t>TVNZ 1*</t>
  </si>
  <si>
    <t>1675000 x 0.727</t>
  </si>
  <si>
    <t>TVNZ DUKE</t>
  </si>
  <si>
    <t>1675000 x 0.664</t>
  </si>
  <si>
    <t>Nicaragua</t>
  </si>
  <si>
    <t>Ratensa</t>
  </si>
  <si>
    <t>Get, Telenor, Canal Digital, Viasat</t>
  </si>
  <si>
    <t>EUROSPORT</t>
  </si>
  <si>
    <t>Eurosport Norge</t>
  </si>
  <si>
    <t>NRK 2</t>
  </si>
  <si>
    <t>2259000 x 99%</t>
  </si>
  <si>
    <t>NRK2</t>
  </si>
  <si>
    <t>TV Norge</t>
  </si>
  <si>
    <t>2216000*0.983</t>
  </si>
  <si>
    <t>Viasat 4</t>
  </si>
  <si>
    <t>Used Eurodata (95.2%)</t>
  </si>
  <si>
    <t>On Get and Viasat</t>
  </si>
  <si>
    <t>Viasport +</t>
  </si>
  <si>
    <t>PTV Sports</t>
  </si>
  <si>
    <t>Ten Sports</t>
  </si>
  <si>
    <t>Palau</t>
  </si>
  <si>
    <t>Canal+ Sport 4</t>
  </si>
  <si>
    <t>Global TV Forecasts PDF</t>
  </si>
  <si>
    <t>Canal + Sport 2</t>
  </si>
  <si>
    <t>Canal + Sport 3</t>
  </si>
  <si>
    <t>Canal + Sport 4</t>
  </si>
  <si>
    <t>Canal+ Sport 1</t>
  </si>
  <si>
    <t>Canal+ Sport 3</t>
  </si>
  <si>
    <t>KWESE ESPN</t>
  </si>
  <si>
    <t>https://ikf.org/wp-content/uploads/2017/07/TWG2017_Distribution_Report.pdf</t>
  </si>
  <si>
    <t>Kwese Free Sports</t>
  </si>
  <si>
    <t>DC Estimate</t>
  </si>
  <si>
    <t>KWESE Sports 1</t>
  </si>
  <si>
    <t>Kwese Sports 2</t>
  </si>
  <si>
    <t>SSFootball</t>
  </si>
  <si>
    <t>SSGolf</t>
  </si>
  <si>
    <t>SSGrandstand</t>
  </si>
  <si>
    <t>SSMotorsport</t>
  </si>
  <si>
    <t>SSTennis</t>
  </si>
  <si>
    <t>SSVariety1</t>
  </si>
  <si>
    <t>SSVariety2</t>
  </si>
  <si>
    <t>SSVariety4</t>
  </si>
  <si>
    <t>Super Sport Select</t>
  </si>
  <si>
    <t>SuperSport 10</t>
  </si>
  <si>
    <t>SuperSport 12</t>
  </si>
  <si>
    <t>SuperSport 9</t>
  </si>
  <si>
    <t>SuperSport Grandstand</t>
  </si>
  <si>
    <t>SuperSport Tennis</t>
  </si>
  <si>
    <t>SuperSport Variety 2</t>
  </si>
  <si>
    <t>SuperSport Variety 4</t>
  </si>
  <si>
    <t>india x 88%</t>
  </si>
  <si>
    <t>SonySIX(v)</t>
  </si>
  <si>
    <t>Downweighted Star number by 88%</t>
  </si>
  <si>
    <t>CNBC</t>
  </si>
  <si>
    <t>CNBC HHR doc</t>
  </si>
  <si>
    <t>Eurosport HHR PPT</t>
  </si>
  <si>
    <t>Sheet 2 has workings. Ensure markets split out are not included in total</t>
  </si>
  <si>
    <t>Downweighted based on Malaysia Astro vs. Fox Sports. Is Golf HD even Pan Asia though? Big q.</t>
  </si>
  <si>
    <t>Star Sports</t>
  </si>
  <si>
    <t>Canal F1</t>
  </si>
  <si>
    <t>DirecTV Sports</t>
  </si>
  <si>
    <t>ESPN International Planning Guide</t>
  </si>
  <si>
    <t>ESPN 2 Caribbean</t>
  </si>
  <si>
    <t>ESPN Caribbean</t>
  </si>
  <si>
    <t>ESPN2 Caribbean</t>
  </si>
  <si>
    <t>SportMax</t>
  </si>
  <si>
    <t>http://jamaica-gleaner.com/gleaner/20131018/sports/sports3.html</t>
  </si>
  <si>
    <t>SportsMax</t>
  </si>
  <si>
    <t>SportsMax 1</t>
  </si>
  <si>
    <t>SportsMax 2</t>
  </si>
  <si>
    <t>Canal Sony Central</t>
  </si>
  <si>
    <t>Used Global TV - DirecTV, Claor, Movistar, Millicom</t>
  </si>
  <si>
    <t>Bsed on Global Forecasts PDF (p. 21)</t>
  </si>
  <si>
    <t>Ensure that this is updated based on the markets which are split out</t>
  </si>
  <si>
    <t>ESPN Latin North</t>
  </si>
  <si>
    <t>ESPN Latin South</t>
  </si>
  <si>
    <t>Fox Guide</t>
  </si>
  <si>
    <t>Remainder of FS HD not Split out (Fox PPT)</t>
  </si>
  <si>
    <t>Used for Golfing World</t>
  </si>
  <si>
    <t>Global Forecasts</t>
  </si>
  <si>
    <t>Sony Centro</t>
  </si>
  <si>
    <t>Sony Entertainment</t>
  </si>
  <si>
    <t>Sony Entertainment HD</t>
  </si>
  <si>
    <t>Match Game</t>
  </si>
  <si>
    <t>Match TV</t>
  </si>
  <si>
    <t>Match! A Game</t>
  </si>
  <si>
    <t>MATCH! IGRA</t>
  </si>
  <si>
    <t>Match! Planet</t>
  </si>
  <si>
    <t>Setanta Sports +</t>
  </si>
  <si>
    <t>Motors TV document</t>
  </si>
  <si>
    <t>AD Sport 06 HD</t>
  </si>
  <si>
    <t>p. 14 Global Digital PDF</t>
  </si>
  <si>
    <t>BeIn Sport 1 HD</t>
  </si>
  <si>
    <t>BeIn Sport 10 HD</t>
  </si>
  <si>
    <t>BeIn Sport 11 HD</t>
  </si>
  <si>
    <t>BeIn Sport 12 HD</t>
  </si>
  <si>
    <t>BeIn Sport 13 HD</t>
  </si>
  <si>
    <t>BeIn Sport 13HD</t>
  </si>
  <si>
    <t>BeIn Sport 14 HD</t>
  </si>
  <si>
    <t>BeIn Sport 15 HD</t>
  </si>
  <si>
    <t>BeIn Sport 16 HD</t>
  </si>
  <si>
    <t>beIN Sport 17HD</t>
  </si>
  <si>
    <t>BeIn Sport 3 HD</t>
  </si>
  <si>
    <t>BeIn Sport 7HD</t>
  </si>
  <si>
    <t>BeIN Sports 1 HD</t>
  </si>
  <si>
    <t>BeIN Sports 10 HD</t>
  </si>
  <si>
    <t>BeIN Sports 11 HD</t>
  </si>
  <si>
    <t>beIN Sports 12</t>
  </si>
  <si>
    <t>BeIN Sports 12 HD</t>
  </si>
  <si>
    <t>BeIN Sports 12HD</t>
  </si>
  <si>
    <t>BeIN Sports 13</t>
  </si>
  <si>
    <t>BeIN Sports 13 HD</t>
  </si>
  <si>
    <t>BeIN Sports 13HD</t>
  </si>
  <si>
    <t>BeIN Sports 14 HD</t>
  </si>
  <si>
    <t>BeIn Sports 15 HD</t>
  </si>
  <si>
    <t>BeIN Sports 16 HD</t>
  </si>
  <si>
    <t>BeIN Sports 1HD</t>
  </si>
  <si>
    <t>beIN Sports 2 HD</t>
  </si>
  <si>
    <t>beIN Sports 4 HD</t>
  </si>
  <si>
    <t>BeIN Sports 4K</t>
  </si>
  <si>
    <t>beIN Sports 5 HD</t>
  </si>
  <si>
    <t>BeIN Sports 5HD</t>
  </si>
  <si>
    <t>BeIN Sports 6 HD</t>
  </si>
  <si>
    <t>BeIN Sports 7 HD</t>
  </si>
  <si>
    <t>BeIN Sports 7HD</t>
  </si>
  <si>
    <t xml:space="preserve">BeIN Sports 7HD </t>
  </si>
  <si>
    <t>BeIN Sports 8 HD</t>
  </si>
  <si>
    <t>BeIN Sports 8HD</t>
  </si>
  <si>
    <t>BeIN Sports 9 HD</t>
  </si>
  <si>
    <t xml:space="preserve">BeIN Sports HD 12 English </t>
  </si>
  <si>
    <t>BeIN Sports HD 14 French</t>
  </si>
  <si>
    <t>BeIN Sports HD 16 French</t>
  </si>
  <si>
    <t>BeIN Sports HD 5</t>
  </si>
  <si>
    <t>BeIN Sports HD 8</t>
  </si>
  <si>
    <t>BeIN Sports HD 9</t>
  </si>
  <si>
    <t>Dubai Sports Channel</t>
  </si>
  <si>
    <t>MBC ACTION</t>
  </si>
  <si>
    <t>OSN</t>
  </si>
  <si>
    <t>OSN SPORTS 3 HD</t>
  </si>
  <si>
    <t>OSN SPORTS 4 HD</t>
  </si>
  <si>
    <t>OSN SPORTS 5 HD</t>
  </si>
  <si>
    <t>YAS Sport</t>
  </si>
  <si>
    <t>Pan Pacific Rim population added togther minus Australia and New Zealand</t>
  </si>
  <si>
    <t>Used same as ESPN - no other source</t>
  </si>
  <si>
    <t>Panama</t>
  </si>
  <si>
    <t>Papua New Guinea</t>
  </si>
  <si>
    <t>Paraguay</t>
  </si>
  <si>
    <t>Canal 9</t>
  </si>
  <si>
    <t>SNT</t>
  </si>
  <si>
    <t>Eurodata full HHR</t>
  </si>
  <si>
    <t>Canal9</t>
  </si>
  <si>
    <t>ESPN Appendix extrapolation</t>
  </si>
  <si>
    <t>Askyon TV</t>
  </si>
  <si>
    <t>Eurodata % multiplied by Forecasts</t>
  </si>
  <si>
    <t>Sky Only</t>
  </si>
  <si>
    <t>Elite Sports</t>
  </si>
  <si>
    <t>Hyper</t>
  </si>
  <si>
    <t>Cignal only</t>
  </si>
  <si>
    <t>One Sports</t>
  </si>
  <si>
    <t>ONE SPORTS+</t>
  </si>
  <si>
    <t>Solar Sports</t>
  </si>
  <si>
    <t>13.5% (Eurodata)</t>
  </si>
  <si>
    <t>Canal+ NOW</t>
  </si>
  <si>
    <t>Updated to reflect NC+ subscribership per Global Forecasts (previously Eurodata, 1.5 million)</t>
  </si>
  <si>
    <t>Canal+ Sport 2</t>
  </si>
  <si>
    <t>Eleven Sports</t>
  </si>
  <si>
    <t>Eleven Sports 1</t>
  </si>
  <si>
    <t>Eleven Sports 2</t>
  </si>
  <si>
    <t>Eurosport2</t>
  </si>
  <si>
    <t>Used same as NC+ - no data</t>
  </si>
  <si>
    <t>Golf Channel Polska</t>
  </si>
  <si>
    <t>Polsat</t>
  </si>
  <si>
    <t>Polsat 1</t>
  </si>
  <si>
    <t>Eurodata % x Global HHR</t>
  </si>
  <si>
    <t>Polsat Sport</t>
  </si>
  <si>
    <t>Polsat Sport Extra</t>
  </si>
  <si>
    <t>Polsat Sport News</t>
  </si>
  <si>
    <t>Polsat Sport News HD</t>
  </si>
  <si>
    <t>TVN</t>
  </si>
  <si>
    <t>TVP HD</t>
  </si>
  <si>
    <t>TVP Sport</t>
  </si>
  <si>
    <t>TVP1</t>
  </si>
  <si>
    <t>TVP2</t>
  </si>
  <si>
    <t>Eurosport 2 Extra HD</t>
  </si>
  <si>
    <t>Eurosport 2 xtra</t>
  </si>
  <si>
    <t>Only available on Meo TV</t>
  </si>
  <si>
    <t>RTP 2</t>
  </si>
  <si>
    <t>Eurodata HHR %</t>
  </si>
  <si>
    <t>RTP1</t>
  </si>
  <si>
    <t>Sport TV</t>
  </si>
  <si>
    <t>Sport TV 1</t>
  </si>
  <si>
    <t>Sport TV 2</t>
  </si>
  <si>
    <t>Sport TV 3</t>
  </si>
  <si>
    <t>Sport TV 4</t>
  </si>
  <si>
    <t>Sport TV 5</t>
  </si>
  <si>
    <t>Sport TV+</t>
  </si>
  <si>
    <t>Sport TV2</t>
  </si>
  <si>
    <t>Sport TV3</t>
  </si>
  <si>
    <t>Sport TV4</t>
  </si>
  <si>
    <t>Sport TV5</t>
  </si>
  <si>
    <t>Univision</t>
  </si>
  <si>
    <t>Univision Deportes</t>
  </si>
  <si>
    <t>Digi Sport 1</t>
  </si>
  <si>
    <t>Available on RCS-RDS/Digi TV</t>
  </si>
  <si>
    <t>Digi Sport 1 HD</t>
  </si>
  <si>
    <t>Digi Sport 2 HD</t>
  </si>
  <si>
    <t>Digi Sport 3 HD</t>
  </si>
  <si>
    <t>DigiSport 4</t>
  </si>
  <si>
    <t>Dolce Sport</t>
  </si>
  <si>
    <t>Telekom Romania + Orange TV</t>
  </si>
  <si>
    <t>Dolce Sport 1</t>
  </si>
  <si>
    <t>Dolce Sport 1 HD</t>
  </si>
  <si>
    <t>Dolce Sport 2</t>
  </si>
  <si>
    <t>Dolce Sport 3</t>
  </si>
  <si>
    <t>Dolce Sport 4</t>
  </si>
  <si>
    <t>Dolce Sport 5</t>
  </si>
  <si>
    <t>Dolce Sport 5 HD</t>
  </si>
  <si>
    <t>Dolce Sport 6</t>
  </si>
  <si>
    <t>Dolce Sport 6 HD</t>
  </si>
  <si>
    <t>Eurosport model</t>
  </si>
  <si>
    <t>UPC only</t>
  </si>
  <si>
    <t>Telekom Sport 1</t>
  </si>
  <si>
    <t>Same as Dolce - channel renamed</t>
  </si>
  <si>
    <t>Telekom Sport 2</t>
  </si>
  <si>
    <t>Telekom Sport 3</t>
  </si>
  <si>
    <t>Extreme Sports</t>
  </si>
  <si>
    <t>Red Bull Air Race = Jordan number</t>
  </si>
  <si>
    <t>GOLFTV</t>
  </si>
  <si>
    <t>Match Arena</t>
  </si>
  <si>
    <t>Akado, ER Telecom, MTS, Beeline, NTV Plus, Tricolor</t>
  </si>
  <si>
    <t>MATCH TV</t>
  </si>
  <si>
    <t>0.953 X 55144000 (Eurodata &amp; global tv)</t>
  </si>
  <si>
    <t>Match TV Arena</t>
  </si>
  <si>
    <t>Match TV game</t>
  </si>
  <si>
    <t>Match! Game</t>
  </si>
  <si>
    <t>Match! Our Sport</t>
  </si>
  <si>
    <t>Match! The Country</t>
  </si>
  <si>
    <t>Perviy Kanal</t>
  </si>
  <si>
    <t>Rossiya One</t>
  </si>
  <si>
    <t>0.995 x 55144000 (Eurodata &amp; global tv)</t>
  </si>
  <si>
    <t>Russia K</t>
  </si>
  <si>
    <t>94.3% x 55144000</t>
  </si>
  <si>
    <t>Applied 50.1% to full Russia HH</t>
  </si>
  <si>
    <t>All except Tricolor</t>
  </si>
  <si>
    <t>Viasat Sport HD</t>
  </si>
  <si>
    <t>Samoa</t>
  </si>
  <si>
    <t>KSA Sports 1</t>
  </si>
  <si>
    <t>Saudi Sports TV</t>
  </si>
  <si>
    <t>RTS 3</t>
  </si>
  <si>
    <t>RTS2</t>
  </si>
  <si>
    <t>SportKlub Golf</t>
  </si>
  <si>
    <t>Sports Klub 1</t>
  </si>
  <si>
    <t>Sports Klub 2</t>
  </si>
  <si>
    <t>Seychelles</t>
  </si>
  <si>
    <t>SBC</t>
  </si>
  <si>
    <t>Singtel and StarHub</t>
  </si>
  <si>
    <t>Hub Sports 1</t>
  </si>
  <si>
    <t>Hub Sports 3</t>
  </si>
  <si>
    <t>Hub Sports 4</t>
  </si>
  <si>
    <t>Starhub</t>
  </si>
  <si>
    <t>SuperSports</t>
  </si>
  <si>
    <t>SuperSports Arena</t>
  </si>
  <si>
    <t>Dajto</t>
  </si>
  <si>
    <t>Applied downweighting to Czech Republic</t>
  </si>
  <si>
    <t>RTVS</t>
  </si>
  <si>
    <t>RTVS2</t>
  </si>
  <si>
    <t>RTO SLO 1</t>
  </si>
  <si>
    <t>760710 x 98.8%</t>
  </si>
  <si>
    <t>RTV SLO 2</t>
  </si>
  <si>
    <t>RTV1</t>
  </si>
  <si>
    <t>Telemach, Total and Siol</t>
  </si>
  <si>
    <t>TV 3</t>
  </si>
  <si>
    <t>760710 x 81.1% - rounded up to nearest 100</t>
  </si>
  <si>
    <t>Solomon Islands</t>
  </si>
  <si>
    <t>SuperSport Select SA</t>
  </si>
  <si>
    <t>Golf Channel Korea</t>
  </si>
  <si>
    <t>JTBC</t>
  </si>
  <si>
    <t>Based on Eurodata % Reach and rounded</t>
  </si>
  <si>
    <t>JTBC Golf</t>
  </si>
  <si>
    <t>JTBC GOLF &amp; SPORTS</t>
  </si>
  <si>
    <t>JTBC3 Fox Sports</t>
  </si>
  <si>
    <t>JTBC3 FOXSPORTS</t>
  </si>
  <si>
    <t>SBS Golf</t>
  </si>
  <si>
    <t>SBSgolf</t>
  </si>
  <si>
    <t>Sky Sports</t>
  </si>
  <si>
    <t>SPOTV+</t>
  </si>
  <si>
    <t>SpoTV2</t>
  </si>
  <si>
    <t>XTVn</t>
  </si>
  <si>
    <t>Based on Movistar subscribers in Global pay TV doc</t>
  </si>
  <si>
    <t>93.3% X 17,433,346 (Eurodata)</t>
  </si>
  <si>
    <t>14.2% x 17,433,346 (Eurodata)</t>
  </si>
  <si>
    <t>6.4% of Spain HHR (Eurodata)</t>
  </si>
  <si>
    <t>99.4% applied to Spain Eurodata HHR</t>
  </si>
  <si>
    <t>98.1% reach applied to Spain GhHR</t>
  </si>
  <si>
    <t>18068000 x 99.4%</t>
  </si>
  <si>
    <t>17.1% of reach - Eurodata (maybe only Catalan region)</t>
  </si>
  <si>
    <t>Sri Lanka</t>
  </si>
  <si>
    <t>RC</t>
  </si>
  <si>
    <t>Entirety of Sri Lanka households in Global TV Forecasts XLS</t>
  </si>
  <si>
    <t>C More Golf</t>
  </si>
  <si>
    <t>ComHem, Telenor, Canal, Viaat</t>
  </si>
  <si>
    <t>SVT 2</t>
  </si>
  <si>
    <t>0.981% x 4876000</t>
  </si>
  <si>
    <t>TV10</t>
  </si>
  <si>
    <t>TV12</t>
  </si>
  <si>
    <t>Eurodata % x Eurodata HHR</t>
  </si>
  <si>
    <t>TV4</t>
  </si>
  <si>
    <t>Viasat Sport available through ComHem, Telenor, Canal, Viasat in Sweden</t>
  </si>
  <si>
    <t>Available through UPC and Sunrise</t>
  </si>
  <si>
    <t>Available through Swisscom</t>
  </si>
  <si>
    <t>RSI LA 2</t>
  </si>
  <si>
    <t>Eurodata-0.345</t>
  </si>
  <si>
    <t>RSI La1</t>
  </si>
  <si>
    <t>RSI La2</t>
  </si>
  <si>
    <t>Eurodata-0.601</t>
  </si>
  <si>
    <t>RTS Deux</t>
  </si>
  <si>
    <t>Eurodata-0.507</t>
  </si>
  <si>
    <t>RTS Un</t>
  </si>
  <si>
    <t>Eurodata-0.448</t>
  </si>
  <si>
    <t>Swisscom and Sunrise HHR</t>
  </si>
  <si>
    <t>SRF Info</t>
  </si>
  <si>
    <t>SRF zwei</t>
  </si>
  <si>
    <t>SRF2</t>
  </si>
  <si>
    <t>Teleclub 1</t>
  </si>
  <si>
    <t>Teleclub 1-30 Live</t>
  </si>
  <si>
    <t>Teleclub Sport</t>
  </si>
  <si>
    <t>Teleclub Sport 1</t>
  </si>
  <si>
    <t>VOX</t>
  </si>
  <si>
    <t>Boss Charm</t>
  </si>
  <si>
    <t>CHT (no verifiable evidence, but not on others in Taiwan unlike Fox Sports)</t>
  </si>
  <si>
    <t>Boss Golf</t>
  </si>
  <si>
    <t>Boss Highball</t>
  </si>
  <si>
    <t>Boss Highball 2</t>
  </si>
  <si>
    <t>Boss Movement</t>
  </si>
  <si>
    <t>Boss Tennis</t>
  </si>
  <si>
    <t>ELTA Sports 1</t>
  </si>
  <si>
    <t>ELTA SPORTS 2</t>
  </si>
  <si>
    <t>FMTV</t>
  </si>
  <si>
    <t>Used One TV Year Document</t>
  </si>
  <si>
    <t>FOX Sports Taiwan</t>
  </si>
  <si>
    <t>FTV</t>
  </si>
  <si>
    <t>Sino Catch Inc</t>
  </si>
  <si>
    <t>SportCast</t>
  </si>
  <si>
    <t>Tanzania</t>
  </si>
  <si>
    <t>ITV</t>
  </si>
  <si>
    <t>Truevisions from Global TV</t>
  </si>
  <si>
    <t>Channel 3</t>
  </si>
  <si>
    <t>Golf Channel Thailand</t>
  </si>
  <si>
    <t>MCOT HD</t>
  </si>
  <si>
    <t>PPTV</t>
  </si>
  <si>
    <t>True Sport 3</t>
  </si>
  <si>
    <t>True Sport 4</t>
  </si>
  <si>
    <t>True Tennis HD</t>
  </si>
  <si>
    <t>True Visions</t>
  </si>
  <si>
    <t>Truesport</t>
  </si>
  <si>
    <t>TrueVisions</t>
  </si>
  <si>
    <t>Tonga</t>
  </si>
  <si>
    <t>TBC</t>
  </si>
  <si>
    <t>Trinidad and Tobago</t>
  </si>
  <si>
    <t>92.5% of households in T&amp;T own TV. 401,384 in Trinidad</t>
  </si>
  <si>
    <t>Turkey</t>
  </si>
  <si>
    <t>BeIN Sports 3</t>
  </si>
  <si>
    <t>https://www.ft.com/content/d524cdce-2a17-11e5-acfb-cbd2e1c81cca &gt; thus used Digiturk</t>
  </si>
  <si>
    <t>Only available on Digiturk</t>
  </si>
  <si>
    <t>NTV Spor</t>
  </si>
  <si>
    <t>All Pay TV</t>
  </si>
  <si>
    <t>S Sport</t>
  </si>
  <si>
    <t>Turksat, TTNet, Digiturk, Turkcell</t>
  </si>
  <si>
    <t>S Sport 1</t>
  </si>
  <si>
    <t>S Sport 2</t>
  </si>
  <si>
    <t>Saran</t>
  </si>
  <si>
    <t>Took all Pay T as Saran is an agency…</t>
  </si>
  <si>
    <t>Taraftar 204</t>
  </si>
  <si>
    <t>Taraftar 205</t>
  </si>
  <si>
    <t>Tivibu Spor</t>
  </si>
  <si>
    <t>Only available on TT Net</t>
  </si>
  <si>
    <t>Tivibu Spor 4</t>
  </si>
  <si>
    <t>TRT 2</t>
  </si>
  <si>
    <t>TRT HABER</t>
  </si>
  <si>
    <t>% Eurodata x Global Pay HHR</t>
  </si>
  <si>
    <t>TRT SPOR</t>
  </si>
  <si>
    <t>TRT Spor Yildiz</t>
  </si>
  <si>
    <t>First Automotive Channel</t>
  </si>
  <si>
    <t>Entirety of Pay TV in Ukraine based on Appendix HHR</t>
  </si>
  <si>
    <t>Entirety of Ukraine Pay TV</t>
  </si>
  <si>
    <t>BEIN SPORTS 11 HD EN</t>
  </si>
  <si>
    <t>beIN Sports 6 HD</t>
  </si>
  <si>
    <t>beIN Sports 7 HD</t>
  </si>
  <si>
    <t>beIN Sports News HD</t>
  </si>
  <si>
    <t>Dubai Sports 2</t>
  </si>
  <si>
    <t>All UK HHR</t>
  </si>
  <si>
    <t>BBC Red Button</t>
  </si>
  <si>
    <t>BBC Scotland</t>
  </si>
  <si>
    <t>BBC4</t>
  </si>
  <si>
    <t>BT Sport 1</t>
  </si>
  <si>
    <t>Only BT, in line with google</t>
  </si>
  <si>
    <t>BT Sport 2</t>
  </si>
  <si>
    <t>BT Sport 3</t>
  </si>
  <si>
    <t>BT Sport//ESPN</t>
  </si>
  <si>
    <t>BT Sport/ESPN</t>
  </si>
  <si>
    <t>CH4 (Stagger)</t>
  </si>
  <si>
    <t>Based on Eurodata x 98.3%</t>
  </si>
  <si>
    <t>ITV HD</t>
  </si>
  <si>
    <t>ITV1</t>
  </si>
  <si>
    <t>Based on Eurodata x 99.0%</t>
  </si>
  <si>
    <t>ITV3</t>
  </si>
  <si>
    <t>ITV4</t>
  </si>
  <si>
    <t>Based on Eurodata x 81.3%</t>
  </si>
  <si>
    <t>Same as Sky</t>
  </si>
  <si>
    <t>Quest</t>
  </si>
  <si>
    <t>All UK Pay Except BT</t>
  </si>
  <si>
    <t>Sky Sports Action</t>
  </si>
  <si>
    <t>Entirety of USA Reach</t>
  </si>
  <si>
    <t>AFN Sports</t>
  </si>
  <si>
    <t>AFN Sports 2</t>
  </si>
  <si>
    <t>Calcs from WTA</t>
  </si>
  <si>
    <t>BeIN Sports Espanol</t>
  </si>
  <si>
    <t>CBS</t>
  </si>
  <si>
    <t>81.2% of USA HHR</t>
  </si>
  <si>
    <t>59.2% of USA HGR</t>
  </si>
  <si>
    <t>Same as Univision Deportes - assumed Spanish speaking…</t>
  </si>
  <si>
    <t>ESPNEWS</t>
  </si>
  <si>
    <t>Same as ESPNU</t>
  </si>
  <si>
    <t>ESPNU</t>
  </si>
  <si>
    <t>116558000 x 60.2% of Eurodata</t>
  </si>
  <si>
    <t>FOX</t>
  </si>
  <si>
    <t>FOX DEPORTES</t>
  </si>
  <si>
    <t>18.9% of USA HHR</t>
  </si>
  <si>
    <t>74.1% of US HHR</t>
  </si>
  <si>
    <t>36.4% HHR</t>
  </si>
  <si>
    <t>Entirety of USA Reach/NBC Affiliates</t>
  </si>
  <si>
    <t>NBC Sports</t>
  </si>
  <si>
    <t>NBC Sports Network</t>
  </si>
  <si>
    <t>69.5% of USA HHR</t>
  </si>
  <si>
    <t>Tennis Channel</t>
  </si>
  <si>
    <t>69.3% of USA HHR</t>
  </si>
  <si>
    <t>THE TENNIS CHANNEL</t>
  </si>
  <si>
    <t>UniMás</t>
  </si>
  <si>
    <t>Universal HD</t>
  </si>
  <si>
    <t>http://www.universalhd.com/About_Us/</t>
  </si>
  <si>
    <t>UNIVERSO</t>
  </si>
  <si>
    <t>37.3% x 116,558</t>
  </si>
  <si>
    <t>UNIVISION DEPORTES</t>
  </si>
  <si>
    <t>Velocity</t>
  </si>
  <si>
    <t>Vanuatu</t>
  </si>
  <si>
    <t>VBTC</t>
  </si>
  <si>
    <t>K+ PC HD</t>
  </si>
  <si>
    <t>Using Global Forecast Spreadsheet</t>
  </si>
  <si>
    <t>K+PC</t>
  </si>
  <si>
    <t>K+PC HD</t>
  </si>
  <si>
    <t>K+PCHD</t>
  </si>
  <si>
    <t>K+PM</t>
  </si>
  <si>
    <t>K+PM HD</t>
  </si>
  <si>
    <t>SCTV</t>
  </si>
  <si>
    <t>Rounded; using 50%ish from Eurodata</t>
  </si>
  <si>
    <t>SCTV HD</t>
  </si>
  <si>
    <t>Sports HD TV</t>
  </si>
  <si>
    <t>The Thao TV</t>
  </si>
  <si>
    <t>VTC3</t>
  </si>
  <si>
    <t>% reach from Eurodata</t>
  </si>
  <si>
    <t>Eurodata Reach %</t>
  </si>
  <si>
    <t>VTV Cab 23</t>
  </si>
  <si>
    <t>VTV Cab 3</t>
  </si>
  <si>
    <t>VTVcab</t>
  </si>
  <si>
    <t>VTVcab 18</t>
  </si>
  <si>
    <t>VTVcab 3 - The Thao TV</t>
  </si>
  <si>
    <t>Rounded; using 65%ish from Eurodata</t>
  </si>
  <si>
    <t>Digital?</t>
  </si>
  <si>
    <t>N</t>
  </si>
  <si>
    <t>#N/A indicates that the competition was not shown in 2020</t>
  </si>
  <si>
    <t>Row Labels</t>
  </si>
  <si>
    <t>Sum of Audience</t>
  </si>
  <si>
    <t>Sum of Broadcast Duration</t>
  </si>
  <si>
    <t>Sum of Rolex Value</t>
  </si>
  <si>
    <t>2020 Audience</t>
  </si>
  <si>
    <t>abs Change</t>
  </si>
  <si>
    <t>YOY Change</t>
  </si>
  <si>
    <t>2020 coverage</t>
  </si>
  <si>
    <t>2020 value</t>
  </si>
  <si>
    <t>Grand Total</t>
  </si>
  <si>
    <t>Value</t>
  </si>
  <si>
    <t>Sum of Rolex N</t>
  </si>
  <si>
    <t>Highlights</t>
  </si>
  <si>
    <t>Live</t>
  </si>
  <si>
    <t>Repeats/Delayed</t>
  </si>
  <si>
    <t>Star Sports Select 2 HD</t>
  </si>
  <si>
    <t>Star Sports Select 1 HD</t>
  </si>
  <si>
    <t>beIN Sports 9 HD</t>
  </si>
  <si>
    <t>beIN Sports 8 HD</t>
  </si>
  <si>
    <t>beIN Sports 11 HD</t>
  </si>
  <si>
    <t>Pan Region?</t>
  </si>
  <si>
    <t>Country</t>
  </si>
  <si>
    <t>Audience</t>
  </si>
  <si>
    <t>% Change Audience</t>
  </si>
  <si>
    <t>Coverage</t>
  </si>
  <si>
    <t>% Change Coverage</t>
  </si>
  <si>
    <t>Rolex Exposure</t>
  </si>
  <si>
    <t>Rolex Gross</t>
  </si>
  <si>
    <t>Rolex Net</t>
  </si>
  <si>
    <t>% Change Value</t>
  </si>
  <si>
    <t>2019 % SOV</t>
  </si>
  <si>
    <t>CHANGE</t>
  </si>
  <si>
    <t>2018 % SOV</t>
  </si>
  <si>
    <t>Sum of Rolex EXP (hh:mm:ss)</t>
  </si>
  <si>
    <t>Sum of Rolex G</t>
  </si>
  <si>
    <t>Other</t>
  </si>
  <si>
    <t>Total</t>
  </si>
  <si>
    <t>% of Value</t>
  </si>
  <si>
    <t>FTA = free to air channels, for example BBC 1</t>
  </si>
  <si>
    <t>Y</t>
  </si>
  <si>
    <t>Pay TV vs. FTA</t>
  </si>
  <si>
    <t>Pay TV = subscription channels, for example Sky in the UK</t>
  </si>
  <si>
    <t xml:space="preserve">  </t>
  </si>
  <si>
    <t>Date</t>
  </si>
  <si>
    <t>Linear TV Audience</t>
  </si>
  <si>
    <t>TV Coverage</t>
  </si>
  <si>
    <t>Net Media Value</t>
  </si>
  <si>
    <t>Column1</t>
  </si>
  <si>
    <t>30 Aug 2021</t>
  </si>
  <si>
    <t>31 Aug 2021</t>
  </si>
  <si>
    <t>01 Sep 2021</t>
  </si>
  <si>
    <t>02 Sep 2021</t>
  </si>
  <si>
    <t>03 Sep 2021</t>
  </si>
  <si>
    <t>04 Sep 2021</t>
  </si>
  <si>
    <t>05 Sep 2021</t>
  </si>
  <si>
    <t>06 Sep 2021</t>
  </si>
  <si>
    <t>07 Sep 2021</t>
  </si>
  <si>
    <t>08 Sep 2021</t>
  </si>
  <si>
    <t>09 Sep 2021</t>
  </si>
  <si>
    <t>10 Sep 2021</t>
  </si>
  <si>
    <t>11 Sep 2021</t>
  </si>
  <si>
    <t>12 Sep 2021</t>
  </si>
  <si>
    <t>13 Sep 2021</t>
  </si>
  <si>
    <t>14 Sep 2021</t>
  </si>
  <si>
    <t>15 Sep 2021</t>
  </si>
  <si>
    <t>Net Media Value (CHF)</t>
  </si>
  <si>
    <t>Day 1</t>
  </si>
  <si>
    <t>Day 2</t>
  </si>
  <si>
    <t>Day 3</t>
  </si>
  <si>
    <t>Day 4</t>
  </si>
  <si>
    <t>Day 5</t>
  </si>
  <si>
    <t>Day 6</t>
  </si>
  <si>
    <t>Day 7</t>
  </si>
  <si>
    <t>Day 8</t>
  </si>
  <si>
    <t>Day 9</t>
  </si>
  <si>
    <t>Day 10</t>
  </si>
  <si>
    <t>Day 11</t>
  </si>
  <si>
    <t>Day 12</t>
  </si>
  <si>
    <t>Day 13</t>
  </si>
  <si>
    <t>Day 14</t>
  </si>
  <si>
    <t>Post Event 
Day 1</t>
  </si>
  <si>
    <t>Post Event 
Day 2</t>
  </si>
  <si>
    <t>Day 15</t>
  </si>
  <si>
    <t>Post Event Day 1</t>
  </si>
  <si>
    <t>Post Event Day 2</t>
  </si>
  <si>
    <t>High</t>
  </si>
  <si>
    <t>Medium</t>
  </si>
  <si>
    <t>Low</t>
  </si>
  <si>
    <t>CHECK %S ARE CORRECT</t>
  </si>
  <si>
    <t>Dubai Duty Free Irish Open</t>
  </si>
  <si>
    <t>UK General Population</t>
  </si>
  <si>
    <t>CHF</t>
  </si>
  <si>
    <t>% viewership</t>
  </si>
  <si>
    <t>Average</t>
  </si>
  <si>
    <t>Sponsor</t>
  </si>
  <si>
    <t>Rolex</t>
  </si>
  <si>
    <t>Sum of Total EXP (hh:mm:ss)</t>
  </si>
  <si>
    <t>Sum of Net</t>
  </si>
  <si>
    <t>Sum of Net2</t>
  </si>
  <si>
    <t>Corner Clock</t>
  </si>
  <si>
    <t>Arthur Ashe Stadium Sign (Exterior)</t>
  </si>
  <si>
    <t>Signage on the Grounds</t>
  </si>
  <si>
    <t>Videoboard</t>
  </si>
  <si>
    <t>Grandstand Clock</t>
  </si>
  <si>
    <t>Scoreboard</t>
  </si>
  <si>
    <t>Game Duration Graphic</t>
  </si>
  <si>
    <t>Court End</t>
  </si>
  <si>
    <t>Court Side</t>
  </si>
  <si>
    <t>Sum of Exposure per Hour (secs)</t>
  </si>
  <si>
    <t>Average of Average Screen Size Per Second</t>
  </si>
  <si>
    <t>Average of % of Solus</t>
  </si>
  <si>
    <t>Average of % Exposure in centre 50%</t>
  </si>
  <si>
    <t>Number of seconds in an hour that the Rolex brand was on screen during broadcast</t>
  </si>
  <si>
    <t>Average size of the brand when it was on the screen</t>
  </si>
  <si>
    <t>% of time the brand was the only brand on the screen and therefore very visible</t>
  </si>
  <si>
    <t>% of exposure that was in the middle of the screen and highly visible</t>
  </si>
  <si>
    <t>Off Court Clock</t>
  </si>
  <si>
    <t>Source Type</t>
  </si>
  <si>
    <t>On Site</t>
  </si>
  <si>
    <t>Sum of Gross</t>
  </si>
  <si>
    <t>US Open</t>
  </si>
  <si>
    <t>Emirates</t>
  </si>
  <si>
    <t>Mercedes Benz</t>
  </si>
  <si>
    <t>American Express</t>
  </si>
  <si>
    <t>JP Morgan</t>
  </si>
  <si>
    <t>IBM</t>
  </si>
  <si>
    <t>Ralph Lauren</t>
  </si>
  <si>
    <t>Chase</t>
  </si>
  <si>
    <t>Chubb</t>
  </si>
  <si>
    <t>IHG</t>
  </si>
  <si>
    <t>usopen.org</t>
  </si>
  <si>
    <t>Spectrum</t>
  </si>
  <si>
    <t>Bermuda</t>
  </si>
  <si>
    <t>Deloitte</t>
  </si>
  <si>
    <t>Dubai Duty Free</t>
  </si>
  <si>
    <t>Rolex Series</t>
  </si>
  <si>
    <t>Wilson</t>
  </si>
  <si>
    <t>Race to Dubai</t>
  </si>
  <si>
    <t>Evian</t>
  </si>
  <si>
    <t>European Tour</t>
  </si>
  <si>
    <t>USTA</t>
  </si>
  <si>
    <t>Ticketmaster</t>
  </si>
  <si>
    <t>Heineken</t>
  </si>
  <si>
    <t>BMW</t>
  </si>
  <si>
    <t>Allergan</t>
  </si>
  <si>
    <t>Callaway</t>
  </si>
  <si>
    <t>Workday</t>
  </si>
  <si>
    <t>Rolex Source</t>
  </si>
  <si>
    <t>Sum of BIS</t>
  </si>
  <si>
    <t>Sum of Exposure per Hour</t>
  </si>
  <si>
    <t>Air Hostess</t>
  </si>
  <si>
    <t>Award</t>
  </si>
  <si>
    <t>Ball</t>
  </si>
  <si>
    <t>Ball Bin</t>
  </si>
  <si>
    <t>Ball Kid Clothing</t>
  </si>
  <si>
    <t>Bottle</t>
  </si>
  <si>
    <t>Camera1</t>
  </si>
  <si>
    <t>Car</t>
  </si>
  <si>
    <t>Cup</t>
  </si>
  <si>
    <t>Equipment</t>
  </si>
  <si>
    <t>General Product Branding</t>
  </si>
  <si>
    <t>Ice Box</t>
  </si>
  <si>
    <t>Line Judge Chair</t>
  </si>
  <si>
    <t>Line Judge Clothing</t>
  </si>
  <si>
    <t>Media Backdrop</t>
  </si>
  <si>
    <t>Microphone</t>
  </si>
  <si>
    <t>Net</t>
  </si>
  <si>
    <t>Officials Clothing</t>
  </si>
  <si>
    <t>Player Chair</t>
  </si>
  <si>
    <t>Player Mat</t>
  </si>
  <si>
    <t>Podium</t>
  </si>
  <si>
    <t>Practice Pavillion</t>
  </si>
  <si>
    <t>Review Graphic</t>
  </si>
  <si>
    <t>Screen Text</t>
  </si>
  <si>
    <t>Shot Clock</t>
  </si>
  <si>
    <t>Spectator Clothing</t>
  </si>
  <si>
    <t>Spectator Merchandise</t>
  </si>
  <si>
    <t>Speedometer</t>
  </si>
  <si>
    <t>Stadium Roof</t>
  </si>
  <si>
    <t>Towel</t>
  </si>
  <si>
    <t>Trophy</t>
  </si>
  <si>
    <t>Trophy Table</t>
  </si>
  <si>
    <t>Tunnel</t>
  </si>
  <si>
    <t>Umbrella</t>
  </si>
  <si>
    <t>Umpire Chair</t>
  </si>
  <si>
    <t>Umpire Clothing</t>
  </si>
  <si>
    <t>Upper Ring LED</t>
  </si>
  <si>
    <t>%change</t>
  </si>
  <si>
    <t>(All)</t>
  </si>
  <si>
    <t>Sum of Seconds Exposure</t>
  </si>
  <si>
    <t>Pirelli</t>
  </si>
  <si>
    <t>Melbourne</t>
  </si>
  <si>
    <t>DHL</t>
  </si>
  <si>
    <t>P Zero</t>
  </si>
  <si>
    <t>F1</t>
  </si>
  <si>
    <t>Johnnie Walker</t>
  </si>
  <si>
    <t>Champagne Carbon</t>
  </si>
  <si>
    <t>Barrier Sign</t>
  </si>
  <si>
    <t>Bridge</t>
  </si>
  <si>
    <t>Overhead Sign</t>
  </si>
  <si>
    <t>Ground Mat</t>
  </si>
  <si>
    <t>Free Standing Sign</t>
  </si>
  <si>
    <t>Parc Ferme</t>
  </si>
  <si>
    <t>Interview Backdrop</t>
  </si>
  <si>
    <t>Pitlane Clock</t>
  </si>
  <si>
    <t>Pitlane</t>
  </si>
  <si>
    <t>Podium Room</t>
  </si>
  <si>
    <t>F1 TV</t>
  </si>
  <si>
    <t>FIA Action For Road Safety</t>
  </si>
  <si>
    <t>FILTER ALL WATCH SPONSORS</t>
  </si>
  <si>
    <t>Watch Manufacturer?</t>
  </si>
  <si>
    <t>TAG Heuer</t>
  </si>
  <si>
    <t>Hublot</t>
  </si>
  <si>
    <t>IWC Schaffhausen</t>
  </si>
  <si>
    <t>Richard Mille</t>
  </si>
  <si>
    <t>Casio</t>
  </si>
  <si>
    <t>Twitter</t>
  </si>
  <si>
    <t>Instagram</t>
  </si>
  <si>
    <t>Forums</t>
  </si>
  <si>
    <t>Blogs</t>
  </si>
  <si>
    <t>AMBASSADORS REACH - SEE AMBASSADORS FILE</t>
  </si>
  <si>
    <t>Official</t>
  </si>
  <si>
    <t>Unofficial</t>
  </si>
  <si>
    <t>Tournament</t>
  </si>
  <si>
    <t>Broadcast Market</t>
  </si>
  <si>
    <t>Programme Type</t>
  </si>
  <si>
    <t>Broadcast Duration</t>
  </si>
  <si>
    <t>Rolex EXP</t>
  </si>
  <si>
    <t>Rolex G</t>
  </si>
  <si>
    <t>Rolex N</t>
  </si>
  <si>
    <t>Dashboard Rated?</t>
  </si>
  <si>
    <t>Broadcast Continent</t>
  </si>
  <si>
    <t>Household Reach</t>
  </si>
  <si>
    <t>Rolex S</t>
  </si>
  <si>
    <t>Rated?</t>
  </si>
  <si>
    <t>Men Rat#</t>
  </si>
  <si>
    <t>Women Rat#</t>
  </si>
  <si>
    <t>No</t>
  </si>
  <si>
    <t>Yes</t>
  </si>
  <si>
    <t>US Open 2020</t>
  </si>
  <si>
    <t>Rank Abs Change</t>
  </si>
  <si>
    <t>2017 Audience</t>
  </si>
  <si>
    <t>% Change</t>
  </si>
  <si>
    <t>Abs. Change</t>
  </si>
  <si>
    <t>2017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</si>
</sst>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 #,##0.00_-;_-* &quot;-&quot;??_-;_-@_-"/>
    <numFmt numFmtId="165" formatCode="_-* #,##0_-;\-* #,##0_-;_-* &quot;-&quot;??_-;_-@_-"/>
    <numFmt numFmtId="166" formatCode="#,##0.0&quot;m&quot;"/>
    <numFmt numFmtId="167" formatCode="#,##0&quot;hrs&quot;"/>
    <numFmt numFmtId="168" formatCode="_-[$$-409]* #,##0.00_ ;_-[$$-409]* \-#,##0.00\ ;_-[$$-409]* &quot;-&quot;??_ ;_-@_ "/>
    <numFmt numFmtId="169" formatCode="0.0%"/>
  </numFmts>
  <fonts count="32"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rgb="FF000000"/>
      <name val="Calibri"/>
      <family val="2"/>
    </font>
    <font>
      <sz val="10"/>
      <color rgb="FF000000"/>
      <name val="Segoe UI"/>
      <family val="2"/>
    </font>
    <font>
      <sz val="11"/>
      <color rgb="FF000000"/>
      <name val="Calibri"/>
      <family val="2"/>
      <scheme val="minor"/>
    </font>
    <font>
      <b/>
      <sz val="10"/>
      <name val="Arial"/>
      <family val="2"/>
    </font>
    <font>
      <sz val="10"/>
      <name val="Tahoma"/>
      <family val="2"/>
    </font>
    <font>
      <sz val="11"/>
      <name val="Calibri"/>
      <family val="2"/>
      <scheme val="minor"/>
    </font>
    <font>
      <sz val="10"/>
      <name val="Arial"/>
      <family val="2"/>
    </font>
    <font>
      <sz val="11"/>
      <color rgb="FF0000FF"/>
      <name val="Calibri"/>
      <family val="2"/>
      <scheme val="minor"/>
    </font>
    <font>
      <sz val="9"/>
      <name val="Arial"/>
      <family val="2"/>
    </font>
    <font>
      <u/>
      <sz val="11"/>
      <color theme="10"/>
      <name val="Calibri"/>
      <family val="2"/>
      <scheme val="minor"/>
    </font>
    <font>
      <sz val="9"/>
      <color rgb="FF444444"/>
      <name val="Arial"/>
      <family val="2"/>
    </font>
    <font>
      <b/>
      <sz val="9"/>
      <color indexed="81"/>
      <name val="Tahoma"/>
      <family val="2"/>
    </font>
    <font>
      <sz val="9"/>
      <color indexed="81"/>
      <name val="Tahoma"/>
      <family val="2"/>
    </font>
    <font>
      <sz val="11"/>
      <name val="Arial"/>
      <family val="1"/>
    </font>
    <font>
      <b/>
      <sz val="11"/>
      <color rgb="FFFFFFFF"/>
      <name val="Arial"/>
      <family val="1"/>
    </font>
    <font>
      <b/>
      <sz val="11"/>
      <color rgb="FF000000"/>
      <name val="Arial"/>
      <family val="2"/>
    </font>
    <font>
      <sz val="11"/>
      <name val="Calibri"/>
      <family val="2"/>
    </font>
    <font>
      <sz val="11"/>
      <color rgb="FF0000FF"/>
      <name val="Calibri"/>
      <family val="2"/>
    </font>
    <font>
      <sz val="10"/>
      <color theme="1"/>
      <name val="Calibri"/>
      <family val="2"/>
      <scheme val="minor"/>
    </font>
    <font>
      <sz val="10"/>
      <color rgb="FFFF0000"/>
      <name val="Calibri"/>
      <family val="2"/>
      <scheme val="minor"/>
    </font>
    <font>
      <sz val="8"/>
      <color rgb="FF444444"/>
      <name val="Arial"/>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rgb="FFFF0000"/>
      <name val="Calibri"/>
      <family val="2"/>
      <scheme val="minor"/>
    </font>
  </fonts>
  <fills count="20">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FFFF00"/>
        <bgColor indexed="64"/>
      </patternFill>
    </fill>
    <fill>
      <patternFill patternType="solid">
        <fgColor rgb="FF92D050"/>
        <bgColor rgb="FF000000"/>
      </patternFill>
    </fill>
    <fill>
      <patternFill patternType="solid">
        <fgColor rgb="FF5B9BD5"/>
        <bgColor rgb="FF5B9BD5"/>
      </patternFill>
    </fill>
    <fill>
      <patternFill patternType="solid">
        <fgColor rgb="FFDDEBF7"/>
        <bgColor rgb="FFDDEBF7"/>
      </patternFill>
    </fill>
    <fill>
      <patternFill patternType="solid">
        <fgColor rgb="FF92D050"/>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theme="9"/>
        <bgColor indexed="64"/>
      </patternFill>
    </fill>
    <fill>
      <patternFill patternType="solid">
        <fgColor theme="5" tint="-0.249977111117893"/>
        <bgColor theme="4" tint="0.79998168889431442"/>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39997558519241921"/>
        <bgColor theme="4" tint="0.79998168889431442"/>
      </patternFill>
    </fill>
    <fill>
      <patternFill patternType="solid">
        <fgColor theme="5" tint="0.39997558519241921"/>
        <bgColor indexed="64"/>
      </patternFill>
    </fill>
    <fill>
      <patternFill patternType="solid">
        <fgColor rgb="FFFFC000"/>
        <bgColor indexed="64"/>
      </patternFill>
    </fill>
  </fills>
  <borders count="21">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right style="thin">
        <color rgb="FFFFFFFF"/>
      </right>
      <top/>
      <bottom style="thick">
        <color rgb="FFFFFFFF"/>
      </bottom>
      <diagonal/>
    </border>
    <border>
      <left style="thin">
        <color rgb="FFFFFFFF"/>
      </left>
      <right/>
      <top/>
      <bottom style="thick">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bottom style="thin">
        <color rgb="FF9BC2E6"/>
      </bottom>
      <diagonal/>
    </border>
  </borders>
  <cellStyleXfs count="21">
    <xf numFmtId="0" fontId="0" fillId="0" borderId="0"/>
    <xf numFmtId="164" fontId="3" fillId="0" borderId="0" applyFont="0" applyFill="0" applyBorder="0" applyAlignment="0" applyProtection="0"/>
    <xf numFmtId="9" fontId="3" fillId="0" borderId="0" applyFont="0" applyFill="0" applyBorder="0" applyAlignment="0" applyProtection="0"/>
    <xf numFmtId="0" fontId="5" fillId="0" borderId="0"/>
    <xf numFmtId="0" fontId="5" fillId="0" borderId="0"/>
    <xf numFmtId="0" fontId="5" fillId="0" borderId="0"/>
    <xf numFmtId="0" fontId="3" fillId="0" borderId="0"/>
    <xf numFmtId="0" fontId="14" fillId="0" borderId="0" applyNumberFormat="0" applyFill="0" applyBorder="0" applyAlignment="0" applyProtection="0"/>
    <xf numFmtId="0" fontId="5" fillId="0" borderId="0"/>
    <xf numFmtId="0" fontId="5" fillId="0" borderId="0"/>
    <xf numFmtId="0" fontId="5" fillId="0" borderId="0"/>
    <xf numFmtId="0" fontId="11" fillId="0" borderId="0"/>
    <xf numFmtId="0" fontId="11" fillId="0" borderId="0"/>
    <xf numFmtId="164" fontId="11" fillId="0" borderId="0" applyFont="0" applyFill="0" applyBorder="0" applyAlignment="0" applyProtection="0"/>
    <xf numFmtId="0" fontId="26" fillId="0" borderId="0"/>
    <xf numFmtId="0" fontId="27" fillId="0" borderId="0"/>
    <xf numFmtId="164" fontId="26" fillId="0" borderId="0" applyFont="0" applyFill="0" applyBorder="0" applyAlignment="0" applyProtection="0"/>
    <xf numFmtId="0" fontId="28" fillId="0" borderId="0"/>
    <xf numFmtId="9" fontId="11" fillId="0" borderId="0" applyFont="0" applyFill="0" applyBorder="0" applyAlignment="0" applyProtection="0"/>
    <xf numFmtId="0" fontId="29" fillId="0" borderId="0"/>
    <xf numFmtId="0" fontId="30" fillId="0" borderId="0"/>
  </cellStyleXfs>
  <cellXfs count="238">
    <xf numFmtId="0" fontId="0" fillId="0" borderId="0" xfId="0"/>
    <xf numFmtId="3" fontId="0" fillId="0" borderId="0" xfId="0" applyNumberFormat="1"/>
    <xf numFmtId="0" fontId="0" fillId="2" borderId="1" xfId="0" applyFill="1" applyBorder="1"/>
    <xf numFmtId="0" fontId="0" fillId="0" borderId="1" xfId="0" applyBorder="1"/>
    <xf numFmtId="0" fontId="0" fillId="0" borderId="0" xfId="0" applyAlignment="1">
      <alignment horizontal="center"/>
    </xf>
    <xf numFmtId="0" fontId="1" fillId="3" borderId="2" xfId="0" applyFont="1" applyFill="1" applyBorder="1"/>
    <xf numFmtId="0" fontId="0" fillId="0" borderId="0" xfId="0" pivotButton="1"/>
    <xf numFmtId="0" fontId="0" fillId="0" borderId="0" xfId="0" applyAlignment="1">
      <alignment horizontal="left"/>
    </xf>
    <xf numFmtId="46" fontId="0" fillId="0" borderId="0" xfId="0" applyNumberFormat="1"/>
    <xf numFmtId="9" fontId="0" fillId="0" borderId="0" xfId="0" applyNumberFormat="1"/>
    <xf numFmtId="9" fontId="0" fillId="0" borderId="0" xfId="0" applyNumberFormat="1" applyAlignment="1">
      <alignment horizontal="center"/>
    </xf>
    <xf numFmtId="0" fontId="0" fillId="4" borderId="0" xfId="0" applyFill="1"/>
    <xf numFmtId="9" fontId="2" fillId="0" borderId="0" xfId="0" applyNumberFormat="1" applyFont="1" applyAlignment="1">
      <alignment horizontal="center"/>
    </xf>
    <xf numFmtId="0" fontId="2" fillId="0" borderId="0" xfId="0" applyFont="1"/>
    <xf numFmtId="46" fontId="2" fillId="0" borderId="0" xfId="0" applyNumberFormat="1" applyFont="1"/>
    <xf numFmtId="3" fontId="2" fillId="0" borderId="0" xfId="0" applyNumberFormat="1" applyFont="1"/>
    <xf numFmtId="10" fontId="0" fillId="0" borderId="0" xfId="0" applyNumberFormat="1"/>
    <xf numFmtId="0" fontId="0" fillId="0" borderId="0" xfId="0" applyAlignment="1">
      <alignment horizontal="left" indent="1"/>
    </xf>
    <xf numFmtId="2" fontId="0" fillId="0" borderId="0" xfId="0" applyNumberFormat="1"/>
    <xf numFmtId="165" fontId="0" fillId="0" borderId="0" xfId="0" applyNumberFormat="1"/>
    <xf numFmtId="9" fontId="0" fillId="4" borderId="0" xfId="2" applyFont="1" applyFill="1"/>
    <xf numFmtId="9" fontId="0" fillId="0" borderId="0" xfId="2" applyFont="1"/>
    <xf numFmtId="165" fontId="0" fillId="0" borderId="0" xfId="1" applyNumberFormat="1" applyFont="1"/>
    <xf numFmtId="0" fontId="5" fillId="4" borderId="0" xfId="0" applyFont="1" applyFill="1"/>
    <xf numFmtId="165" fontId="2" fillId="0" borderId="0" xfId="1" applyNumberFormat="1" applyFont="1"/>
    <xf numFmtId="0" fontId="0" fillId="2" borderId="5" xfId="0" applyFill="1" applyBorder="1"/>
    <xf numFmtId="0" fontId="0" fillId="0" borderId="5" xfId="0" applyBorder="1"/>
    <xf numFmtId="0" fontId="1" fillId="3" borderId="9" xfId="0" applyFont="1" applyFill="1" applyBorder="1"/>
    <xf numFmtId="0" fontId="1" fillId="3" borderId="8" xfId="0" applyFont="1" applyFill="1" applyBorder="1"/>
    <xf numFmtId="10" fontId="0" fillId="2" borderId="4" xfId="0" applyNumberFormat="1" applyFill="1" applyBorder="1"/>
    <xf numFmtId="10" fontId="0" fillId="0" borderId="4" xfId="0" applyNumberFormat="1" applyBorder="1"/>
    <xf numFmtId="10" fontId="0" fillId="0" borderId="7" xfId="0" applyNumberFormat="1" applyBorder="1"/>
    <xf numFmtId="0" fontId="0" fillId="0" borderId="6" xfId="0" applyBorder="1"/>
    <xf numFmtId="0" fontId="2" fillId="0" borderId="0" xfId="3" applyFont="1"/>
    <xf numFmtId="0" fontId="6" fillId="0" borderId="0" xfId="4" applyFont="1" applyAlignment="1">
      <alignment horizontal="left" vertical="center"/>
    </xf>
    <xf numFmtId="0" fontId="7" fillId="0" borderId="0" xfId="4" applyFont="1" applyAlignment="1">
      <alignment horizontal="left" vertical="center"/>
    </xf>
    <xf numFmtId="3" fontId="8" fillId="0" borderId="10" xfId="0" applyNumberFormat="1" applyFont="1" applyBorder="1"/>
    <xf numFmtId="0" fontId="2" fillId="0" borderId="2" xfId="3" applyFont="1" applyBorder="1"/>
    <xf numFmtId="49" fontId="9" fillId="0" borderId="0" xfId="0" applyNumberFormat="1" applyFont="1"/>
    <xf numFmtId="0" fontId="2" fillId="0" borderId="2" xfId="0" applyFont="1" applyBorder="1"/>
    <xf numFmtId="49" fontId="9" fillId="0" borderId="0" xfId="1" applyNumberFormat="1" applyFont="1" applyFill="1" applyBorder="1" applyAlignment="1"/>
    <xf numFmtId="49" fontId="5" fillId="0" borderId="0" xfId="0" applyNumberFormat="1" applyFont="1" applyAlignment="1">
      <alignment horizontal="left" vertical="center"/>
    </xf>
    <xf numFmtId="0" fontId="10" fillId="0" borderId="0" xfId="0" applyFont="1"/>
    <xf numFmtId="3" fontId="11" fillId="0" borderId="10" xfId="0" applyNumberFormat="1" applyFont="1" applyBorder="1"/>
    <xf numFmtId="3" fontId="11" fillId="0" borderId="0" xfId="0" applyNumberFormat="1" applyFont="1"/>
    <xf numFmtId="0" fontId="12" fillId="0" borderId="0" xfId="0" applyFont="1" applyAlignment="1">
      <alignment horizontal="left"/>
    </xf>
    <xf numFmtId="49" fontId="0" fillId="0" borderId="0" xfId="0" applyNumberFormat="1"/>
    <xf numFmtId="49" fontId="0" fillId="0" borderId="0" xfId="0" applyNumberFormat="1" applyAlignment="1">
      <alignment wrapText="1"/>
    </xf>
    <xf numFmtId="0" fontId="0" fillId="0" borderId="0" xfId="0" applyAlignment="1">
      <alignment wrapText="1"/>
    </xf>
    <xf numFmtId="0" fontId="4" fillId="0" borderId="0" xfId="0" applyFont="1"/>
    <xf numFmtId="0" fontId="6" fillId="0" borderId="0" xfId="3" applyFont="1"/>
    <xf numFmtId="165" fontId="0" fillId="0" borderId="0" xfId="1" applyNumberFormat="1" applyFont="1" applyFill="1"/>
    <xf numFmtId="49" fontId="9" fillId="0" borderId="0" xfId="5" applyNumberFormat="1" applyFont="1"/>
    <xf numFmtId="0" fontId="5" fillId="0" borderId="0" xfId="4" applyAlignment="1">
      <alignment horizontal="left" vertical="center"/>
    </xf>
    <xf numFmtId="0" fontId="13" fillId="0" borderId="0" xfId="0" applyFont="1" applyAlignment="1">
      <alignment horizontal="left"/>
    </xf>
    <xf numFmtId="0" fontId="15" fillId="0" borderId="0" xfId="0" applyFont="1" applyAlignment="1">
      <alignment horizontal="left"/>
    </xf>
    <xf numFmtId="0" fontId="5" fillId="0" borderId="0" xfId="0" applyFont="1" applyAlignment="1">
      <alignment horizontal="left" vertical="center"/>
    </xf>
    <xf numFmtId="165" fontId="0" fillId="0" borderId="0" xfId="1" applyNumberFormat="1" applyFont="1" applyFill="1" applyBorder="1"/>
    <xf numFmtId="0" fontId="2" fillId="0" borderId="1" xfId="0" applyFont="1" applyBorder="1"/>
    <xf numFmtId="0" fontId="0" fillId="0" borderId="0" xfId="0" applyAlignment="1">
      <alignment vertical="center"/>
    </xf>
    <xf numFmtId="0" fontId="0" fillId="0" borderId="11" xfId="0" applyBorder="1"/>
    <xf numFmtId="165" fontId="0" fillId="0" borderId="12" xfId="0" applyNumberFormat="1" applyBorder="1"/>
    <xf numFmtId="0" fontId="0" fillId="0" borderId="13" xfId="0" applyBorder="1"/>
    <xf numFmtId="165" fontId="0" fillId="0" borderId="14" xfId="0" applyNumberFormat="1" applyBorder="1"/>
    <xf numFmtId="0" fontId="19" fillId="5" borderId="15" xfId="0" applyFont="1" applyFill="1" applyBorder="1"/>
    <xf numFmtId="9" fontId="19" fillId="6" borderId="16" xfId="0" applyNumberFormat="1" applyFont="1" applyFill="1" applyBorder="1"/>
    <xf numFmtId="165" fontId="19" fillId="6" borderId="15" xfId="0" applyNumberFormat="1" applyFont="1" applyFill="1" applyBorder="1"/>
    <xf numFmtId="0" fontId="18" fillId="0" borderId="0" xfId="0" applyFont="1"/>
    <xf numFmtId="165" fontId="18" fillId="0" borderId="0" xfId="1" applyNumberFormat="1" applyFont="1" applyFill="1" applyBorder="1"/>
    <xf numFmtId="9" fontId="18" fillId="0" borderId="0" xfId="2" applyFont="1" applyFill="1" applyBorder="1"/>
    <xf numFmtId="0" fontId="20" fillId="7" borderId="17" xfId="0" applyFont="1" applyFill="1" applyBorder="1"/>
    <xf numFmtId="165" fontId="20" fillId="0" borderId="18" xfId="1" applyNumberFormat="1" applyFont="1" applyFill="1" applyBorder="1"/>
    <xf numFmtId="0" fontId="21" fillId="0" borderId="0" xfId="8" applyFont="1" applyAlignment="1">
      <alignment horizontal="left" vertical="center"/>
    </xf>
    <xf numFmtId="165" fontId="0" fillId="0" borderId="0" xfId="1" applyNumberFormat="1" applyFont="1" applyFill="1" applyAlignment="1">
      <alignment horizontal="center"/>
    </xf>
    <xf numFmtId="0" fontId="21" fillId="0" borderId="0" xfId="0" applyFont="1" applyAlignment="1">
      <alignment horizontal="left"/>
    </xf>
    <xf numFmtId="0" fontId="21" fillId="0" borderId="0" xfId="0" applyFont="1"/>
    <xf numFmtId="169" fontId="0" fillId="0" borderId="0" xfId="0" applyNumberFormat="1"/>
    <xf numFmtId="0" fontId="0" fillId="8" borderId="0" xfId="0" applyFill="1"/>
    <xf numFmtId="9" fontId="2" fillId="0" borderId="0" xfId="2" applyFont="1"/>
    <xf numFmtId="0" fontId="0" fillId="9" borderId="0" xfId="0" applyFill="1"/>
    <xf numFmtId="3" fontId="22" fillId="9" borderId="0" xfId="0" applyNumberFormat="1" applyFont="1" applyFill="1" applyAlignment="1">
      <alignment horizontal="center"/>
    </xf>
    <xf numFmtId="2" fontId="21" fillId="9" borderId="0" xfId="0" applyNumberFormat="1" applyFont="1" applyFill="1" applyAlignment="1">
      <alignment horizontal="center"/>
    </xf>
    <xf numFmtId="3" fontId="21" fillId="9" borderId="0" xfId="0" applyNumberFormat="1" applyFont="1" applyFill="1" applyAlignment="1">
      <alignment horizontal="center"/>
    </xf>
    <xf numFmtId="2" fontId="10" fillId="9" borderId="0" xfId="0" applyNumberFormat="1" applyFont="1" applyFill="1" applyAlignment="1">
      <alignment horizontal="center"/>
    </xf>
    <xf numFmtId="0" fontId="23" fillId="2" borderId="1" xfId="0" applyFont="1" applyFill="1" applyBorder="1" applyAlignment="1">
      <alignment horizontal="left"/>
    </xf>
    <xf numFmtId="0" fontId="23" fillId="0" borderId="1" xfId="0" applyFont="1" applyBorder="1" applyAlignment="1">
      <alignment horizontal="left"/>
    </xf>
    <xf numFmtId="0" fontId="23" fillId="2" borderId="1" xfId="0" applyFont="1" applyFill="1" applyBorder="1"/>
    <xf numFmtId="0" fontId="23" fillId="0" borderId="1" xfId="0" applyFont="1" applyBorder="1"/>
    <xf numFmtId="49" fontId="23" fillId="2" borderId="1" xfId="0" applyNumberFormat="1" applyFont="1" applyFill="1" applyBorder="1" applyAlignment="1">
      <alignment horizontal="left"/>
    </xf>
    <xf numFmtId="0" fontId="23" fillId="0" borderId="1" xfId="3" applyFont="1" applyBorder="1"/>
    <xf numFmtId="0" fontId="23" fillId="0" borderId="1" xfId="3" applyFont="1" applyBorder="1" applyAlignment="1">
      <alignment horizontal="left"/>
    </xf>
    <xf numFmtId="0" fontId="23"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23" fillId="2" borderId="1" xfId="0" applyFont="1" applyFill="1" applyBorder="1" applyAlignment="1">
      <alignment horizontal="left" vertical="center"/>
    </xf>
    <xf numFmtId="0" fontId="23" fillId="0" borderId="1" xfId="0" applyFont="1" applyBorder="1" applyAlignment="1">
      <alignment horizontal="left" vertical="center"/>
    </xf>
    <xf numFmtId="0" fontId="23" fillId="2" borderId="3" xfId="0" applyFont="1" applyFill="1" applyBorder="1"/>
    <xf numFmtId="0" fontId="23" fillId="2" borderId="3" xfId="0" applyFont="1" applyFill="1" applyBorder="1" applyAlignment="1">
      <alignment horizontal="left"/>
    </xf>
    <xf numFmtId="9" fontId="0" fillId="0" borderId="0" xfId="2" applyFont="1" applyFill="1"/>
    <xf numFmtId="3" fontId="2" fillId="0" borderId="0" xfId="0" applyNumberFormat="1" applyFont="1" applyAlignment="1">
      <alignment horizontal="center"/>
    </xf>
    <xf numFmtId="9" fontId="20" fillId="7" borderId="19" xfId="2" applyFont="1" applyFill="1" applyBorder="1"/>
    <xf numFmtId="10" fontId="0" fillId="0" borderId="0" xfId="2" applyNumberFormat="1" applyFont="1"/>
    <xf numFmtId="0" fontId="0" fillId="0" borderId="0" xfId="0" applyAlignment="1">
      <alignment horizontal="right"/>
    </xf>
    <xf numFmtId="46" fontId="0" fillId="0" borderId="0" xfId="0" applyNumberFormat="1" applyAlignment="1">
      <alignment horizontal="right"/>
    </xf>
    <xf numFmtId="0" fontId="2" fillId="0" borderId="3" xfId="0" applyFont="1" applyBorder="1"/>
    <xf numFmtId="0" fontId="0" fillId="0" borderId="3" xfId="0" applyBorder="1"/>
    <xf numFmtId="0" fontId="1" fillId="8" borderId="2" xfId="0" applyFont="1" applyFill="1" applyBorder="1"/>
    <xf numFmtId="0" fontId="1" fillId="8" borderId="2" xfId="0" applyFont="1" applyFill="1" applyBorder="1" applyAlignment="1">
      <alignment horizontal="center"/>
    </xf>
    <xf numFmtId="165" fontId="0" fillId="2" borderId="1" xfId="1" applyNumberFormat="1" applyFont="1" applyFill="1" applyBorder="1" applyAlignment="1">
      <alignment horizontal="right"/>
    </xf>
    <xf numFmtId="0" fontId="0" fillId="0" borderId="1" xfId="0" applyBorder="1" applyAlignment="1">
      <alignment wrapText="1"/>
    </xf>
    <xf numFmtId="9" fontId="2" fillId="0" borderId="0" xfId="0" applyNumberFormat="1" applyFont="1"/>
    <xf numFmtId="164" fontId="0" fillId="0" borderId="0" xfId="0" applyNumberFormat="1"/>
    <xf numFmtId="0" fontId="0" fillId="0" borderId="0" xfId="1" applyNumberFormat="1" applyFont="1" applyFill="1"/>
    <xf numFmtId="168" fontId="5" fillId="0" borderId="0" xfId="0" applyNumberFormat="1" applyFont="1"/>
    <xf numFmtId="0" fontId="0" fillId="0" borderId="2" xfId="0" applyBorder="1"/>
    <xf numFmtId="3" fontId="0" fillId="0" borderId="0" xfId="0" quotePrefix="1" applyNumberFormat="1"/>
    <xf numFmtId="165" fontId="2" fillId="0" borderId="0" xfId="0" applyNumberFormat="1" applyFont="1"/>
    <xf numFmtId="3" fontId="3" fillId="0" borderId="0" xfId="6" applyNumberFormat="1"/>
    <xf numFmtId="165" fontId="0" fillId="0" borderId="0" xfId="0" quotePrefix="1" applyNumberFormat="1"/>
    <xf numFmtId="0" fontId="14" fillId="0" borderId="0" xfId="7" applyFill="1"/>
    <xf numFmtId="0" fontId="0" fillId="0" borderId="0" xfId="0" quotePrefix="1"/>
    <xf numFmtId="3" fontId="0" fillId="0" borderId="3" xfId="0" applyNumberFormat="1" applyBorder="1"/>
    <xf numFmtId="3" fontId="0" fillId="0" borderId="1" xfId="0" applyNumberFormat="1" applyBorder="1"/>
    <xf numFmtId="0" fontId="0" fillId="0" borderId="4" xfId="0" applyBorder="1"/>
    <xf numFmtId="165" fontId="0" fillId="0" borderId="0" xfId="1" quotePrefix="1" applyNumberFormat="1" applyFont="1" applyFill="1"/>
    <xf numFmtId="49" fontId="9" fillId="0" borderId="1" xfId="1" applyNumberFormat="1" applyFont="1" applyFill="1" applyBorder="1" applyAlignment="1"/>
    <xf numFmtId="0" fontId="0" fillId="0" borderId="0" xfId="0" applyAlignment="1">
      <alignment horizontal="left" indent="2"/>
    </xf>
    <xf numFmtId="169" fontId="0" fillId="0" borderId="0" xfId="2" applyNumberFormat="1" applyFont="1" applyFill="1"/>
    <xf numFmtId="165" fontId="25" fillId="0" borderId="0" xfId="1" applyNumberFormat="1" applyFont="1" applyFill="1"/>
    <xf numFmtId="0" fontId="25" fillId="0" borderId="0" xfId="0" applyFont="1"/>
    <xf numFmtId="0" fontId="2" fillId="0" borderId="1" xfId="3" applyFont="1" applyBorder="1"/>
    <xf numFmtId="49" fontId="9" fillId="0" borderId="1" xfId="0" applyNumberFormat="1" applyFont="1" applyBorder="1"/>
    <xf numFmtId="3" fontId="10" fillId="0" borderId="0" xfId="0" applyNumberFormat="1" applyFont="1"/>
    <xf numFmtId="0" fontId="5" fillId="0" borderId="0" xfId="1" applyNumberFormat="1" applyFont="1" applyFill="1" applyAlignment="1">
      <alignment horizontal="center" vertical="center"/>
    </xf>
    <xf numFmtId="3" fontId="5" fillId="0" borderId="0" xfId="1" applyNumberFormat="1" applyFont="1" applyFill="1" applyAlignment="1">
      <alignment horizontal="center" vertical="center"/>
    </xf>
    <xf numFmtId="49" fontId="5" fillId="0" borderId="1" xfId="0" applyNumberFormat="1" applyFont="1" applyBorder="1" applyAlignment="1">
      <alignment horizontal="left" vertical="center"/>
    </xf>
    <xf numFmtId="0" fontId="0" fillId="0" borderId="20" xfId="0" applyBorder="1"/>
    <xf numFmtId="0" fontId="6" fillId="0" borderId="1" xfId="4" applyFont="1" applyBorder="1" applyAlignment="1">
      <alignment horizontal="left" vertical="center"/>
    </xf>
    <xf numFmtId="0" fontId="7" fillId="0" borderId="1" xfId="4" applyFont="1" applyBorder="1" applyAlignment="1">
      <alignment horizontal="left" vertical="center"/>
    </xf>
    <xf numFmtId="166" fontId="0" fillId="2" borderId="1" xfId="1" applyNumberFormat="1" applyFont="1" applyFill="1" applyBorder="1" applyAlignment="1">
      <alignment horizontal="right"/>
    </xf>
    <xf numFmtId="0" fontId="0" fillId="0" borderId="0" xfId="0" applyAlignment="1">
      <alignment horizontal="left" indent="3"/>
    </xf>
    <xf numFmtId="0" fontId="2" fillId="2" borderId="2" xfId="0" applyFont="1" applyFill="1" applyBorder="1"/>
    <xf numFmtId="164" fontId="0" fillId="0" borderId="0" xfId="1" applyFont="1"/>
    <xf numFmtId="3" fontId="0" fillId="4" borderId="0" xfId="0" applyNumberFormat="1" applyFill="1"/>
    <xf numFmtId="3" fontId="0" fillId="8" borderId="0" xfId="0" applyNumberFormat="1" applyFill="1"/>
    <xf numFmtId="0" fontId="0" fillId="11" borderId="1" xfId="0" applyFill="1" applyBorder="1"/>
    <xf numFmtId="0" fontId="0" fillId="4" borderId="1" xfId="0" applyFill="1" applyBorder="1"/>
    <xf numFmtId="0" fontId="6" fillId="0" borderId="1" xfId="3" applyFont="1" applyBorder="1"/>
    <xf numFmtId="0" fontId="0" fillId="11" borderId="0" xfId="0" applyFill="1"/>
    <xf numFmtId="3" fontId="0" fillId="2" borderId="0" xfId="0" applyNumberFormat="1" applyFill="1"/>
    <xf numFmtId="0" fontId="0" fillId="12" borderId="1" xfId="0" applyFill="1" applyBorder="1"/>
    <xf numFmtId="0" fontId="0" fillId="13" borderId="0" xfId="0" applyFill="1"/>
    <xf numFmtId="0" fontId="0" fillId="13" borderId="1" xfId="0" applyFill="1" applyBorder="1"/>
    <xf numFmtId="0" fontId="0" fillId="12" borderId="0" xfId="0" applyFill="1"/>
    <xf numFmtId="0" fontId="5" fillId="0" borderId="1" xfId="3" applyBorder="1" applyAlignment="1">
      <alignment horizontal="left" vertical="center"/>
    </xf>
    <xf numFmtId="0" fontId="0" fillId="14" borderId="1" xfId="0" applyFill="1" applyBorder="1"/>
    <xf numFmtId="0" fontId="0" fillId="15" borderId="0" xfId="0" applyFill="1"/>
    <xf numFmtId="3" fontId="0" fillId="15" borderId="0" xfId="0" applyNumberFormat="1" applyFill="1"/>
    <xf numFmtId="0" fontId="0" fillId="15" borderId="1" xfId="0" applyFill="1" applyBorder="1"/>
    <xf numFmtId="0" fontId="0" fillId="14" borderId="0" xfId="0" applyFill="1"/>
    <xf numFmtId="0" fontId="0" fillId="16" borderId="0" xfId="0" applyFill="1"/>
    <xf numFmtId="165" fontId="3" fillId="0" borderId="0" xfId="1" applyNumberFormat="1" applyFont="1" applyFill="1" applyAlignment="1">
      <alignment horizontal="right"/>
    </xf>
    <xf numFmtId="0" fontId="0" fillId="17" borderId="1" xfId="0" applyFill="1" applyBorder="1"/>
    <xf numFmtId="0" fontId="0" fillId="18" borderId="0" xfId="0" applyFill="1"/>
    <xf numFmtId="3" fontId="0" fillId="18" borderId="0" xfId="0" applyNumberFormat="1" applyFill="1"/>
    <xf numFmtId="0" fontId="0" fillId="18" borderId="1" xfId="0" applyFill="1" applyBorder="1"/>
    <xf numFmtId="4" fontId="0" fillId="18" borderId="0" xfId="0" applyNumberFormat="1" applyFill="1"/>
    <xf numFmtId="0" fontId="0" fillId="17" borderId="0" xfId="0" applyFill="1"/>
    <xf numFmtId="165" fontId="0" fillId="0" borderId="0" xfId="1" applyNumberFormat="1" applyFont="1" applyBorder="1"/>
    <xf numFmtId="10" fontId="0" fillId="18" borderId="0" xfId="0" applyNumberFormat="1" applyFill="1"/>
    <xf numFmtId="9" fontId="0" fillId="18" borderId="0" xfId="0" applyNumberFormat="1" applyFill="1"/>
    <xf numFmtId="0" fontId="0" fillId="2" borderId="1" xfId="0" applyFill="1" applyBorder="1" applyAlignment="1">
      <alignment wrapText="1"/>
    </xf>
    <xf numFmtId="49" fontId="9" fillId="0" borderId="1" xfId="5" applyNumberFormat="1" applyFont="1" applyBorder="1"/>
    <xf numFmtId="0" fontId="0" fillId="11" borderId="3" xfId="0" applyFill="1" applyBorder="1"/>
    <xf numFmtId="165" fontId="0" fillId="0" borderId="1" xfId="1" applyNumberFormat="1" applyFont="1" applyFill="1" applyBorder="1" applyAlignment="1"/>
    <xf numFmtId="3" fontId="0" fillId="16" borderId="0" xfId="0" applyNumberFormat="1" applyFill="1"/>
    <xf numFmtId="0" fontId="0" fillId="19" borderId="0" xfId="0" applyFill="1"/>
    <xf numFmtId="3" fontId="0" fillId="19" borderId="0" xfId="0" applyNumberFormat="1" applyFill="1"/>
    <xf numFmtId="0" fontId="0" fillId="19" borderId="1" xfId="0" applyFill="1" applyBorder="1"/>
    <xf numFmtId="0" fontId="30" fillId="0" borderId="0" xfId="20"/>
    <xf numFmtId="46" fontId="30" fillId="0" borderId="0" xfId="20" applyNumberFormat="1" applyAlignment="1">
      <alignment horizontal="right"/>
    </xf>
    <xf numFmtId="0" fontId="30" fillId="0" borderId="0" xfId="20" applyAlignment="1">
      <alignment horizontal="right"/>
    </xf>
    <xf numFmtId="0" fontId="2" fillId="0" borderId="3" xfId="3" applyFont="1" applyBorder="1"/>
    <xf numFmtId="0" fontId="21" fillId="0" borderId="1" xfId="0" applyFont="1" applyBorder="1"/>
    <xf numFmtId="0" fontId="10" fillId="0" borderId="1" xfId="0" applyFont="1" applyBorder="1" applyAlignment="1">
      <alignment horizontal="left"/>
    </xf>
    <xf numFmtId="0" fontId="0" fillId="10" borderId="0" xfId="0" applyFill="1"/>
    <xf numFmtId="0" fontId="0" fillId="10" borderId="1" xfId="0" applyFill="1" applyBorder="1"/>
    <xf numFmtId="0" fontId="30" fillId="10" borderId="0" xfId="20" applyFill="1"/>
    <xf numFmtId="0" fontId="0" fillId="13" borderId="3" xfId="0" applyFill="1" applyBorder="1"/>
    <xf numFmtId="0" fontId="10" fillId="0" borderId="3" xfId="0" applyFont="1" applyBorder="1" applyAlignment="1">
      <alignment horizontal="left"/>
    </xf>
    <xf numFmtId="0" fontId="30" fillId="10" borderId="1" xfId="20" applyFill="1" applyBorder="1"/>
    <xf numFmtId="1" fontId="0" fillId="0" borderId="0" xfId="0" applyNumberFormat="1"/>
    <xf numFmtId="0" fontId="2" fillId="0" borderId="10" xfId="0" applyFont="1" applyBorder="1"/>
    <xf numFmtId="0" fontId="0" fillId="0" borderId="10" xfId="0" applyBorder="1" applyAlignment="1">
      <alignment horizontal="left"/>
    </xf>
    <xf numFmtId="2" fontId="0" fillId="0" borderId="10" xfId="0" applyNumberFormat="1" applyBorder="1"/>
    <xf numFmtId="9" fontId="0" fillId="0" borderId="10" xfId="0" applyNumberFormat="1" applyBorder="1"/>
    <xf numFmtId="0" fontId="2" fillId="2" borderId="3" xfId="0" applyFont="1" applyFill="1" applyBorder="1" applyAlignment="1">
      <alignment horizontal="left"/>
    </xf>
    <xf numFmtId="2" fontId="2" fillId="2" borderId="3" xfId="0" applyNumberFormat="1" applyFont="1" applyFill="1" applyBorder="1"/>
    <xf numFmtId="9" fontId="2" fillId="2" borderId="3" xfId="0" applyNumberFormat="1" applyFont="1" applyFill="1" applyBorder="1"/>
    <xf numFmtId="46" fontId="2" fillId="0" borderId="2" xfId="0" applyNumberFormat="1" applyFont="1" applyBorder="1"/>
    <xf numFmtId="167" fontId="0" fillId="0" borderId="0" xfId="0" applyNumberFormat="1"/>
    <xf numFmtId="0" fontId="31" fillId="0" borderId="0" xfId="0" applyFont="1"/>
    <xf numFmtId="0" fontId="2" fillId="19" borderId="2" xfId="0" applyFont="1" applyFill="1" applyBorder="1"/>
    <xf numFmtId="0" fontId="2" fillId="19" borderId="0" xfId="0" applyFont="1" applyFill="1"/>
    <xf numFmtId="0" fontId="2" fillId="11" borderId="0" xfId="0" applyFont="1" applyFill="1"/>
    <xf numFmtId="0" fontId="2" fillId="10" borderId="2" xfId="0" applyFont="1" applyFill="1" applyBorder="1"/>
    <xf numFmtId="0" fontId="2" fillId="4" borderId="0" xfId="0" applyFont="1" applyFill="1"/>
    <xf numFmtId="0" fontId="2" fillId="14" borderId="0" xfId="0" applyFont="1" applyFill="1"/>
    <xf numFmtId="0" fontId="2" fillId="4" borderId="2" xfId="0" applyFont="1" applyFill="1" applyBorder="1"/>
    <xf numFmtId="0" fontId="2" fillId="17" borderId="2" xfId="0" applyFont="1" applyFill="1" applyBorder="1"/>
    <xf numFmtId="0" fontId="2" fillId="15" borderId="0" xfId="0" applyFont="1" applyFill="1"/>
    <xf numFmtId="0" fontId="2" fillId="18" borderId="0" xfId="0" applyFont="1" applyFill="1"/>
    <xf numFmtId="0" fontId="2" fillId="17" borderId="0" xfId="0" applyFont="1" applyFill="1"/>
    <xf numFmtId="0" fontId="2" fillId="12" borderId="0" xfId="0" applyFont="1" applyFill="1"/>
    <xf numFmtId="0" fontId="2" fillId="13" borderId="0" xfId="0" applyFont="1" applyFill="1"/>
    <xf numFmtId="0" fontId="2" fillId="11" borderId="2" xfId="0" applyFont="1" applyFill="1" applyBorder="1"/>
    <xf numFmtId="0" fontId="2" fillId="16" borderId="2" xfId="0" applyFont="1" applyFill="1" applyBorder="1"/>
    <xf numFmtId="0" fontId="2" fillId="15" borderId="2" xfId="0" applyFont="1" applyFill="1" applyBorder="1"/>
    <xf numFmtId="0" fontId="2" fillId="12" borderId="2" xfId="0" applyFont="1" applyFill="1" applyBorder="1"/>
    <xf numFmtId="0" fontId="2" fillId="18" borderId="2" xfId="0" applyFont="1" applyFill="1" applyBorder="1"/>
    <xf numFmtId="0" fontId="2" fillId="11" borderId="3" xfId="0" applyFont="1" applyFill="1" applyBorder="1"/>
    <xf numFmtId="0" fontId="2" fillId="4" borderId="1" xfId="0" applyFont="1" applyFill="1" applyBorder="1"/>
    <xf numFmtId="0" fontId="2" fillId="10" borderId="0" xfId="0" applyFont="1" applyFill="1"/>
    <xf numFmtId="0" fontId="2" fillId="19" borderId="1" xfId="0" applyFont="1" applyFill="1" applyBorder="1"/>
    <xf numFmtId="0" fontId="2" fillId="11" borderId="1" xfId="0" applyFont="1" applyFill="1" applyBorder="1"/>
    <xf numFmtId="0" fontId="2" fillId="16" borderId="0" xfId="0" applyFont="1" applyFill="1"/>
    <xf numFmtId="0" fontId="2" fillId="14" borderId="1" xfId="0" applyFont="1" applyFill="1" applyBorder="1"/>
    <xf numFmtId="0" fontId="2" fillId="10" borderId="1" xfId="0" applyFont="1" applyFill="1" applyBorder="1"/>
    <xf numFmtId="0" fontId="2" fillId="13" borderId="1" xfId="0" applyFont="1" applyFill="1" applyBorder="1"/>
    <xf numFmtId="0" fontId="2" fillId="18" borderId="1" xfId="0" applyFont="1" applyFill="1" applyBorder="1"/>
    <xf numFmtId="0" fontId="2" fillId="17" borderId="1" xfId="0" applyFont="1" applyFill="1" applyBorder="1"/>
    <xf numFmtId="0" fontId="2" fillId="15" borderId="1" xfId="0" applyFont="1" applyFill="1" applyBorder="1"/>
    <xf numFmtId="0" fontId="2" fillId="13" borderId="3" xfId="0" applyFont="1" applyFill="1" applyBorder="1"/>
    <xf numFmtId="0" fontId="2" fillId="12" borderId="1" xfId="0" applyFont="1" applyFill="1" applyBorder="1"/>
    <xf numFmtId="0" fontId="3" fillId="0" borderId="0" xfId="1" applyNumberFormat="1" applyFont="1" applyFill="1"/>
    <xf numFmtId="165" fontId="3" fillId="0" borderId="0" xfId="1" applyNumberFormat="1" applyFont="1" applyFill="1"/>
    <xf numFmtId="165" fontId="3" fillId="0" borderId="0" xfId="1" applyNumberFormat="1" applyFont="1" applyFill="1" applyAlignment="1">
      <alignment horizontal="center"/>
    </xf>
    <xf numFmtId="3" fontId="12" fillId="0" borderId="0" xfId="0" applyNumberFormat="1" applyFont="1"/>
    <xf numFmtId="0" fontId="0" fillId="0" borderId="0" xfId="0" applyAlignment="1">
      <alignment horizontal="center"/>
    </xf>
  </cellXfs>
  <cellStyles count="21">
    <cellStyle name="Comma" xfId="1" builtinId="3"/>
    <cellStyle name="Comma 2" xfId="16" xr:uid="{00000000-0005-0000-0000-000002000000}"/>
    <cellStyle name="Comma 3" xfId="13" xr:uid="{00000000-0005-0000-0000-000003000000}"/>
    <cellStyle name="Hyperlink" xfId="7" builtinId="8"/>
    <cellStyle name="Normal" xfId="0" builtinId="0"/>
    <cellStyle name="Normal 12" xfId="9" xr:uid="{00000000-0005-0000-0000-000007000000}"/>
    <cellStyle name="Normal 2" xfId="11" xr:uid="{00000000-0005-0000-0000-000008000000}"/>
    <cellStyle name="Normal 2 11" xfId="10" xr:uid="{00000000-0005-0000-0000-000009000000}"/>
    <cellStyle name="Normal 2 2" xfId="3" xr:uid="{00000000-0005-0000-0000-00000A000000}"/>
    <cellStyle name="Normal 2 4" xfId="4" xr:uid="{00000000-0005-0000-0000-00000B000000}"/>
    <cellStyle name="Normal 2 5" xfId="5" xr:uid="{00000000-0005-0000-0000-00000C000000}"/>
    <cellStyle name="Normal 3" xfId="12" xr:uid="{00000000-0005-0000-0000-00000D000000}"/>
    <cellStyle name="Normal 4" xfId="8" xr:uid="{00000000-0005-0000-0000-00000E000000}"/>
    <cellStyle name="Normal 5" xfId="14" xr:uid="{00000000-0005-0000-0000-00000F000000}"/>
    <cellStyle name="Normal 5 2" xfId="6" xr:uid="{00000000-0005-0000-0000-000010000000}"/>
    <cellStyle name="Normal 6" xfId="15" xr:uid="{00000000-0005-0000-0000-000011000000}"/>
    <cellStyle name="Normal 7" xfId="17" xr:uid="{00000000-0005-0000-0000-000012000000}"/>
    <cellStyle name="Normal 8" xfId="19" xr:uid="{00000000-0005-0000-0000-000013000000}"/>
    <cellStyle name="Normal 9" xfId="20" xr:uid="{8E331C72-5A8B-494F-8144-DD7BB4B86D04}"/>
    <cellStyle name="Percent" xfId="2" builtinId="5"/>
    <cellStyle name="Percent 2" xfId="18" xr:uid="{00000000-0005-0000-0000-000015000000}"/>
  </cellStyles>
  <dxfs count="188">
    <dxf>
      <font>
        <b/>
        <i val="0"/>
        <color theme="0"/>
      </font>
      <fill>
        <patternFill>
          <bgColor rgb="FF003914"/>
        </patternFill>
      </fill>
    </dxf>
    <dxf>
      <font>
        <b/>
        <i val="0"/>
        <color theme="0"/>
      </font>
      <fill>
        <patternFill>
          <bgColor rgb="FF003914"/>
        </patternFill>
      </fill>
    </dxf>
    <dxf>
      <font>
        <b/>
        <i val="0"/>
        <color theme="0"/>
      </font>
      <fill>
        <patternFill>
          <bgColor rgb="FF003914"/>
        </patternFill>
      </fill>
    </dxf>
    <dxf>
      <font>
        <b/>
        <i val="0"/>
        <color theme="0"/>
      </font>
      <fill>
        <patternFill>
          <bgColor rgb="FF003914"/>
        </patternFill>
      </fill>
    </dxf>
    <dxf>
      <font>
        <b/>
        <i val="0"/>
        <color theme="0"/>
      </font>
      <fill>
        <patternFill>
          <bgColor rgb="FF003914"/>
        </patternFill>
      </fill>
    </dxf>
    <dxf>
      <font>
        <b/>
        <i val="0"/>
        <color theme="0"/>
      </font>
      <fill>
        <patternFill>
          <bgColor theme="9" tint="-0.24994659260841701"/>
        </patternFill>
      </fill>
    </dxf>
    <dxf>
      <font>
        <b/>
        <i val="0"/>
        <color theme="0"/>
      </font>
      <fill>
        <patternFill>
          <bgColor theme="9" tint="-0.24994659260841701"/>
        </patternFill>
      </fill>
    </dxf>
    <dxf>
      <font>
        <b/>
        <i val="0"/>
        <color theme="0"/>
      </font>
      <fill>
        <patternFill>
          <bgColor theme="8" tint="-0.499984740745262"/>
        </patternFill>
      </fill>
    </dxf>
    <dxf>
      <font>
        <b/>
        <i val="0"/>
        <color theme="0"/>
      </font>
      <fill>
        <patternFill>
          <bgColor theme="9" tint="-0.24994659260841701"/>
        </patternFill>
      </fill>
    </dxf>
    <dxf>
      <font>
        <b/>
        <i val="0"/>
        <color theme="0"/>
      </font>
      <fill>
        <patternFill>
          <bgColor theme="9" tint="-0.24994659260841701"/>
        </patternFill>
      </fill>
    </dxf>
    <dxf>
      <font>
        <b/>
        <i val="0"/>
        <color theme="0"/>
      </font>
      <fill>
        <patternFill>
          <bgColor theme="8" tint="-0.499984740745262"/>
        </patternFill>
      </fill>
    </dxf>
    <dxf>
      <font>
        <b/>
        <i val="0"/>
        <color theme="0"/>
      </font>
      <fill>
        <patternFill>
          <bgColor rgb="FFFF0000"/>
        </patternFill>
      </fill>
      <border>
        <left style="dotted">
          <color rgb="FFFFFF00"/>
        </left>
        <right style="dotted">
          <color rgb="FFFFFF00"/>
        </right>
        <top style="dotted">
          <color rgb="FFFFFF00"/>
        </top>
        <bottom style="dotted">
          <color rgb="FFFFFF00"/>
        </bottom>
        <vertical/>
        <horizontal/>
      </border>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1" formatCode="[h]:mm:ss"/>
    </dxf>
    <dxf>
      <numFmt numFmtId="165" formatCode="_-* #,##0_-;\-* #,##0_-;_-* &quot;-&quot;??_-;_-@_-"/>
    </dxf>
    <dxf>
      <fill>
        <patternFill patternType="none">
          <fgColor indexed="64"/>
          <bgColor indexed="65"/>
        </patternFill>
      </fill>
    </dxf>
    <dxf>
      <numFmt numFmtId="165" formatCode="_-* #,##0_-;\-* #,##0_-;_-* &quot;-&quot;??_-;_-@_-"/>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165" formatCode="_-* #,##0_-;\-* #,##0_-;_-* &quot;-&quot;??_-;_-@_-"/>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Times New Roman"/>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1" formatCode="[h]:mm:ss"/>
      <fill>
        <patternFill patternType="solid">
          <fgColor theme="4" tint="0.79998168889431442"/>
          <bgColor theme="4" tint="0.79998168889431442"/>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1" formatCode="[h]:mm:ss"/>
      <fill>
        <patternFill patternType="solid">
          <fgColor theme="4" tint="0.79998168889431442"/>
          <bgColor theme="4" tint="0.79998168889431442"/>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font>
        <b val="0"/>
        <i val="0"/>
        <strike val="0"/>
        <condense val="0"/>
        <extend val="0"/>
        <outline val="0"/>
        <shadow val="0"/>
        <u val="none"/>
        <vertAlign val="baseline"/>
        <sz val="11"/>
        <color rgb="FF0000FF"/>
        <name val="Calibri"/>
        <scheme val="minor"/>
      </font>
      <numFmt numFmtId="3" formatCode="#,##0"/>
      <fill>
        <patternFill patternType="none">
          <fgColor indexed="64"/>
          <bgColor indexed="65"/>
        </patternFill>
      </fill>
    </dxf>
    <dxf>
      <font>
        <b val="0"/>
        <i val="0"/>
        <strike val="0"/>
        <condense val="0"/>
        <extend val="0"/>
        <outline val="0"/>
        <shadow val="0"/>
        <u val="none"/>
        <vertAlign val="baseline"/>
        <sz val="11"/>
        <color rgb="FF0000FF"/>
        <name val="Calibri"/>
        <scheme val="minor"/>
      </font>
      <numFmt numFmtId="3" formatCode="#,##0"/>
      <fill>
        <patternFill patternType="none">
          <fgColor indexed="64"/>
          <bgColor theme="0" tint="-0.249977111117893"/>
        </patternFill>
      </fill>
    </dxf>
    <dxf>
      <font>
        <b val="0"/>
        <i val="0"/>
        <strike val="0"/>
        <condense val="0"/>
        <extend val="0"/>
        <outline val="0"/>
        <shadow val="0"/>
        <u val="none"/>
        <vertAlign val="baseline"/>
        <sz val="11"/>
        <color rgb="FF0000FF"/>
        <name val="Calibri"/>
        <scheme val="minor"/>
      </font>
      <numFmt numFmtId="3" formatCode="#,##0"/>
      <fill>
        <patternFill patternType="none">
          <fgColor indexed="64"/>
          <bgColor indexed="65"/>
        </patternFill>
      </fill>
    </dxf>
    <dxf>
      <font>
        <b val="0"/>
        <i val="0"/>
        <strike val="0"/>
        <condense val="0"/>
        <extend val="0"/>
        <outline val="0"/>
        <shadow val="0"/>
        <u val="none"/>
        <vertAlign val="baseline"/>
        <sz val="11"/>
        <color rgb="FF0000FF"/>
        <name val="Calibri"/>
        <scheme val="minor"/>
      </font>
      <numFmt numFmtId="3" formatCode="#,##0"/>
      <fill>
        <patternFill patternType="none">
          <fgColor indexed="64"/>
          <bgColor theme="0" tint="-0.249977111117893"/>
        </patternFill>
      </fill>
    </dxf>
    <dxf>
      <font>
        <b val="0"/>
        <i val="0"/>
        <strike val="0"/>
        <condense val="0"/>
        <extend val="0"/>
        <outline val="0"/>
        <shadow val="0"/>
        <u val="none"/>
        <vertAlign val="baseline"/>
        <sz val="11"/>
        <color theme="1"/>
        <name val="Calibri"/>
        <scheme val="minor"/>
      </font>
      <numFmt numFmtId="165" formatCode="_-* #,##0_-;\-* #,##0_-;_-* &quot;-&quot;??_-;_-@_-"/>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165" formatCode="_-* #,##0_-;\-* #,##0_-;_-* &quot;-&quot;??_-;_-@_-"/>
      <fill>
        <patternFill patternType="none">
          <fgColor indexed="64"/>
          <bgColor indexed="65"/>
        </patternFill>
      </fill>
    </dxf>
    <dxf>
      <numFmt numFmtId="3" formatCode="#,##0"/>
    </dxf>
    <dxf>
      <numFmt numFmtId="3" formatCode="#,##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31" formatCode="[h]:mm:ss"/>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numFmt numFmtId="31" formatCode="[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font>
        <color rgb="FF000000"/>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font>
        <color rgb="FF000000"/>
        <name val="Times New Roman"/>
        <scheme val="none"/>
      </font>
      <numFmt numFmtId="31" formatCode="[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numFmt numFmtId="170" formatCode="dd/mm/yyyy"/>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dxf>
    <dxf>
      <numFmt numFmtId="165" formatCode="_-* #,##0_-;\-* #,##0_-;_-* &quot;-&quot;??_-;_-@_-"/>
    </dxf>
    <dxf>
      <numFmt numFmtId="171" formatCode="_-* #,##0.0_-;\-* #,##0.0_-;_-* &quot;-&quot;??_-;_-@_-"/>
    </dxf>
    <dxf>
      <numFmt numFmtId="164" formatCode="_-* #,##0.00_-;\-* #,##0.00_-;_-* &quot;-&quot;??_-;_-@_-"/>
    </dxf>
    <dxf>
      <numFmt numFmtId="165" formatCode="_-* #,##0_-;\-* #,##0_-;_-* &quot;-&quot;??_-;_-@_-"/>
    </dxf>
    <dxf>
      <numFmt numFmtId="171" formatCode="_-* #,##0.0_-;\-* #,##0.0_-;_-* &quot;-&quot;??_-;_-@_-"/>
    </dxf>
    <dxf>
      <numFmt numFmtId="164" formatCode="_-* #,##0.00_-;\-* #,##0.00_-;_-* &quot;-&quot;??_-;_-@_-"/>
    </dxf>
    <dxf>
      <numFmt numFmtId="165" formatCode="_-* #,##0_-;\-* #,##0_-;_-* &quot;-&quot;??_-;_-@_-"/>
    </dxf>
    <dxf>
      <numFmt numFmtId="171" formatCode="_-* #,##0.0_-;\-* #,##0.0_-;_-* &quot;-&quot;??_-;_-@_-"/>
    </dxf>
    <dxf>
      <numFmt numFmtId="164" formatCode="_-* #,##0.00_-;\-* #,##0.00_-;_-* &quot;-&quot;??_-;_-@_-"/>
    </dxf>
    <dxf>
      <numFmt numFmtId="171" formatCode="_-* #,##0.0_-;\-* #,##0.0_-;_-* &quot;-&quot;??_-;_-@_-"/>
    </dxf>
    <dxf>
      <numFmt numFmtId="164" formatCode="_-* #,##0.00_-;\-* #,##0.00_-;_-* &quot;-&quot;??_-;_-@_-"/>
    </dxf>
    <dxf>
      <numFmt numFmtId="165" formatCode="_-* #,##0_-;\-* #,##0_-;_-* &quot;-&quot;??_-;_-@_-"/>
    </dxf>
    <dxf>
      <numFmt numFmtId="171" formatCode="_-* #,##0.0_-;\-* #,##0.0_-;_-* &quot;-&quot;??_-;_-@_-"/>
    </dxf>
    <dxf>
      <numFmt numFmtId="164" formatCode="_-* #,##0.00_-;\-* #,##0.00_-;_-* &quot;-&quot;??_-;_-@_-"/>
    </dxf>
    <dxf>
      <numFmt numFmtId="171" formatCode="_-* #,##0.0_-;\-* #,##0.0_-;_-* &quot;-&quot;??_-;_-@_-"/>
    </dxf>
    <dxf>
      <numFmt numFmtId="164" formatCode="_-* #,##0.00_-;\-* #,##0.00_-;_-* &quot;-&quot;??_-;_-@_-"/>
    </dxf>
    <dxf>
      <numFmt numFmtId="165" formatCode="_-* #,##0_-;\-* #,##0_-;_-* &quot;-&quot;??_-;_-@_-"/>
    </dxf>
    <dxf>
      <numFmt numFmtId="165" formatCode="_-* #,##0_-;\-* #,##0_-;_-* &quot;-&quot;??_-;_-@_-"/>
    </dxf>
    <dxf>
      <numFmt numFmtId="171" formatCode="_-* #,##0.0_-;\-* #,##0.0_-;_-* &quot;-&quot;??_-;_-@_-"/>
    </dxf>
    <dxf>
      <numFmt numFmtId="171" formatCode="_-* #,##0.0_-;\-* #,##0.0_-;_-* &quot;-&quot;??_-;_-@_-"/>
    </dxf>
    <dxf>
      <numFmt numFmtId="13" formatCode="0%"/>
    </dxf>
    <dxf>
      <numFmt numFmtId="14" formatCode="0.00%"/>
    </dxf>
    <dxf>
      <numFmt numFmtId="165" formatCode="_-* #,##0_-;\-* #,##0_-;_-* &quot;-&quot;??_-;_-@_-"/>
    </dxf>
    <dxf>
      <numFmt numFmtId="171" formatCode="_-* #,##0.0_-;\-* #,##0.0_-;_-* &quot;-&quot;??_-;_-@_-"/>
    </dxf>
    <dxf>
      <numFmt numFmtId="164" formatCode="_-* #,##0.00_-;\-* #,##0.00_-;_-* &quot;-&quot;??_-;_-@_-"/>
    </dxf>
    <dxf>
      <numFmt numFmtId="31" formatCode="[h]:mm:ss"/>
    </dxf>
    <dxf>
      <font>
        <b val="0"/>
        <i val="0"/>
        <strike val="0"/>
        <condense val="0"/>
        <extend val="0"/>
        <outline val="0"/>
        <shadow val="0"/>
        <u val="none"/>
        <vertAlign val="baseline"/>
        <sz val="11"/>
        <color theme="1"/>
        <name val="Calibri"/>
        <scheme val="minor"/>
      </font>
      <numFmt numFmtId="0" formatCode="General"/>
      <alignment horizontal="right" vertical="bottom" textRotation="0" wrapText="0" indent="0" justifyLastLine="0" shrinkToFit="0" readingOrder="0"/>
    </dxf>
    <dxf>
      <numFmt numFmtId="31" formatCode="[h]:mm:ss"/>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left" vertical="center" textRotation="0" wrapText="0" indent="0" justifyLastLine="0" shrinkToFit="0" readingOrder="0"/>
    </dxf>
    <dxf>
      <border outline="0">
        <top style="thin">
          <color rgb="FF9BC2E6"/>
        </top>
      </border>
    </dxf>
    <dxf>
      <border outline="0">
        <bottom style="thin">
          <color rgb="FF9BC2E6"/>
        </bottom>
      </border>
    </dxf>
    <dxf>
      <numFmt numFmtId="165" formatCode="_-* #,##0_-;\-* #,##0_-;_-* &quot;-&quot;??_-;_-@_-"/>
    </dxf>
    <dxf>
      <numFmt numFmtId="171" formatCode="_-* #,##0.0_-;\-* #,##0.0_-;_-* &quot;-&quot;??_-;_-@_-"/>
    </dxf>
    <dxf>
      <numFmt numFmtId="164" formatCode="_-* #,##0.00_-;\-* #,##0.00_-;_-* &quot;-&quot;??_-;_-@_-"/>
    </dxf>
    <dxf>
      <numFmt numFmtId="31" formatCode="[h]:mm:ss"/>
    </dxf>
    <dxf>
      <numFmt numFmtId="165" formatCode="_-* #,##0_-;\-* #,##0_-;_-* &quot;-&quot;??_-;_-@_-"/>
    </dxf>
    <dxf>
      <numFmt numFmtId="171" formatCode="_-* #,##0.0_-;\-* #,##0.0_-;_-* &quot;-&quot;??_-;_-@_-"/>
    </dxf>
    <dxf>
      <numFmt numFmtId="164" formatCode="_-* #,##0.00_-;\-* #,##0.00_-;_-* &quot;-&quot;??_-;_-@_-"/>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font>
        <b val="0"/>
        <i val="0"/>
        <strike val="0"/>
        <condense val="0"/>
        <extend val="0"/>
        <outline val="0"/>
        <shadow val="0"/>
        <u val="none"/>
        <vertAlign val="baseline"/>
        <sz val="11"/>
        <color theme="1"/>
        <name val="Calibri"/>
        <scheme val="minor"/>
      </font>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4" formatCode="0.00%"/>
      <border diagonalUp="0" diagonalDown="0">
        <left/>
        <right style="thin">
          <color theme="4" tint="0.39997558519241921"/>
        </right>
        <top style="thin">
          <color theme="4" tint="0.39997558519241921"/>
        </top>
        <bottom style="thin">
          <color theme="4" tint="0.39997558519241921"/>
        </bottom>
        <vertical/>
        <horizontal/>
      </border>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outline="0">
        <left style="thin">
          <color theme="4" tint="0.39997558519241921"/>
        </left>
        <right style="thin">
          <color theme="4" tint="0.39997558519241921"/>
        </right>
        <top/>
        <bottom/>
      </border>
    </dxf>
    <dxf>
      <fill>
        <patternFill patternType="solid">
          <fgColor rgb="FFBDD7EE"/>
          <bgColor rgb="FFBDD7EE"/>
        </patternFill>
      </fill>
    </dxf>
    <dxf>
      <fill>
        <patternFill patternType="solid">
          <fgColor rgb="FFBDD7EE"/>
          <bgColor rgb="FFBDD7EE"/>
        </patternFill>
      </fill>
    </dxf>
    <dxf>
      <font>
        <b/>
        <color rgb="FFFFFFFF"/>
      </font>
      <fill>
        <patternFill patternType="solid">
          <fgColor rgb="FF5B9BD5"/>
          <bgColor rgb="FF5B9BD5"/>
        </patternFill>
      </fill>
    </dxf>
    <dxf>
      <font>
        <b/>
        <color rgb="FFFFFFFF"/>
      </font>
      <fill>
        <patternFill patternType="solid">
          <fgColor rgb="FF5B9BD5"/>
          <bgColor rgb="FF5B9BD5"/>
        </patternFill>
      </fill>
    </dxf>
    <dxf>
      <font>
        <b/>
        <color rgb="FFFFFFFF"/>
      </font>
      <fill>
        <patternFill patternType="solid">
          <fgColor rgb="FF5B9BD5"/>
          <bgColor rgb="FF5B9BD5"/>
        </patternFill>
      </fill>
      <border>
        <top style="thick">
          <color rgb="FFFFFFFF"/>
        </top>
      </border>
    </dxf>
    <dxf>
      <font>
        <b/>
        <color rgb="FFFFFFFF"/>
      </font>
      <fill>
        <patternFill patternType="solid">
          <fgColor rgb="FF5B9BD5"/>
          <bgColor rgb="FF5B9BD5"/>
        </patternFill>
      </fill>
      <border>
        <bottom style="thick">
          <color rgb="FFFFFFFF"/>
        </bottom>
      </border>
    </dxf>
    <dxf>
      <font>
        <color rgb="FF000000"/>
      </font>
      <fill>
        <patternFill patternType="solid">
          <fgColor rgb="FFDDEBF7"/>
          <bgColor rgb="FFDDEBF7"/>
        </patternFill>
      </fill>
      <border>
        <vertical style="thin">
          <color rgb="FFFFFFFF"/>
        </vertical>
        <horizontal style="thin">
          <color rgb="FFFFFFFF"/>
        </horizontal>
      </border>
    </dxf>
  </dxfs>
  <tableStyles count="1" defaultTableStyle="TableStyleMedium2" defaultPivotStyle="PivotStyleLight16">
    <tableStyle name="TableStyleMedium9 2" pivot="0" count="7" xr9:uid="{00000000-0011-0000-FFFF-FFFF00000000}">
      <tableStyleElement type="wholeTable" dxfId="187"/>
      <tableStyleElement type="headerRow" dxfId="186"/>
      <tableStyleElement type="totalRow" dxfId="185"/>
      <tableStyleElement type="firstColumn" dxfId="184"/>
      <tableStyleElement type="lastColumn" dxfId="183"/>
      <tableStyleElement type="firstRowStripe" dxfId="182"/>
      <tableStyleElement type="firstColumnStripe" dxfId="181"/>
    </tableStyle>
  </tableStyles>
  <colors>
    <mruColors>
      <color rgb="FFA37E2C"/>
      <color rgb="FF006039"/>
      <color rgb="FF978253"/>
      <color rgb="FFF6F4EE"/>
      <color rgb="FFF3F0E9"/>
      <color rgb="FFEDE9DF"/>
      <color rgb="FFE0D8C6"/>
      <color rgb="FFD4C9B0"/>
      <color rgb="FFBFAF8B"/>
      <color rgb="FFAF9B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9" Type="http://schemas.openxmlformats.org/officeDocument/2006/relationships/pivotCacheDefinition" Target="pivotCache/pivotCacheDefinition2.xml"/><Relationship Id="rId21" Type="http://schemas.openxmlformats.org/officeDocument/2006/relationships/worksheet" Target="worksheets/sheet21.xml"/><Relationship Id="rId34" Type="http://schemas.openxmlformats.org/officeDocument/2006/relationships/externalLink" Target="externalLinks/externalLink13.xml"/><Relationship Id="rId42" Type="http://schemas.openxmlformats.org/officeDocument/2006/relationships/pivotCacheDefinition" Target="pivotCache/pivotCacheDefinition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externalLink" Target="externalLinks/externalLink11.xml"/><Relationship Id="rId37" Type="http://schemas.openxmlformats.org/officeDocument/2006/relationships/externalLink" Target="externalLinks/externalLink16.xml"/><Relationship Id="rId40" Type="http://schemas.openxmlformats.org/officeDocument/2006/relationships/pivotCacheDefinition" Target="pivotCache/pivotCacheDefinition3.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externalLink" Target="externalLinks/externalLink7.xml"/><Relationship Id="rId36" Type="http://schemas.openxmlformats.org/officeDocument/2006/relationships/externalLink" Target="externalLinks/externalLink1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0.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externalLink" Target="externalLinks/externalLink6.xml"/><Relationship Id="rId30" Type="http://schemas.openxmlformats.org/officeDocument/2006/relationships/externalLink" Target="externalLinks/externalLink9.xml"/><Relationship Id="rId35" Type="http://schemas.openxmlformats.org/officeDocument/2006/relationships/externalLink" Target="externalLinks/externalLink14.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externalLink" Target="externalLinks/externalLink12.xml"/><Relationship Id="rId38" Type="http://schemas.openxmlformats.org/officeDocument/2006/relationships/pivotCacheDefinition" Target="pivotCache/pivotCacheDefinition1.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713647342995169E-2"/>
          <c:y val="5.3990277777777776E-2"/>
          <c:w val="0.81609154589371991"/>
          <c:h val="0.70935148007161353"/>
        </c:manualLayout>
      </c:layout>
      <c:barChart>
        <c:barDir val="col"/>
        <c:grouping val="clustered"/>
        <c:varyColors val="0"/>
        <c:ser>
          <c:idx val="0"/>
          <c:order val="0"/>
          <c:tx>
            <c:strRef>
              <c:f>'By Day '!$B$25</c:f>
              <c:strCache>
                <c:ptCount val="1"/>
                <c:pt idx="0">
                  <c:v>Linear TV Audience</c:v>
                </c:pt>
              </c:strCache>
            </c:strRef>
          </c:tx>
          <c:spPr>
            <a:solidFill>
              <a:srgbClr val="006039"/>
            </a:solidFill>
            <a:ln>
              <a:solidFill>
                <a:srgbClr val="003914"/>
              </a:solidFill>
            </a:ln>
            <a:effectLst/>
          </c:spPr>
          <c:invertIfNegative val="0"/>
          <c:cat>
            <c:strRef>
              <c:extLst>
                <c:ext xmlns:c15="http://schemas.microsoft.com/office/drawing/2012/chart" uri="{02D57815-91ED-43cb-92C2-25804820EDAC}">
                  <c15:fullRef>
                    <c15:sqref>'By Day '!$A$26:$A$42</c15:sqref>
                  </c15:fullRef>
                </c:ext>
              </c:extLst>
              <c:f>'By Day '!$A$26:$A$41</c:f>
              <c:strCache>
                <c:ptCount val="16"/>
                <c:pt idx="0">
                  <c:v>Day 1</c:v>
                </c:pt>
                <c:pt idx="1">
                  <c:v>Day 2</c:v>
                </c:pt>
                <c:pt idx="2">
                  <c:v>Day 3</c:v>
                </c:pt>
                <c:pt idx="3">
                  <c:v>Day 4</c:v>
                </c:pt>
                <c:pt idx="4">
                  <c:v>Day 5</c:v>
                </c:pt>
                <c:pt idx="5">
                  <c:v>Day 6</c:v>
                </c:pt>
                <c:pt idx="6">
                  <c:v>Day 7</c:v>
                </c:pt>
                <c:pt idx="7">
                  <c:v>Day 8</c:v>
                </c:pt>
                <c:pt idx="8">
                  <c:v>Day 9</c:v>
                </c:pt>
                <c:pt idx="9">
                  <c:v>Day 10</c:v>
                </c:pt>
                <c:pt idx="10">
                  <c:v>Day 11</c:v>
                </c:pt>
                <c:pt idx="11">
                  <c:v>Day 12</c:v>
                </c:pt>
                <c:pt idx="12">
                  <c:v>Day 13</c:v>
                </c:pt>
                <c:pt idx="13">
                  <c:v>Day 14</c:v>
                </c:pt>
                <c:pt idx="14">
                  <c:v>Post Event 
Day 1</c:v>
                </c:pt>
                <c:pt idx="15">
                  <c:v>Post Event 
Day 2</c:v>
                </c:pt>
              </c:strCache>
            </c:strRef>
          </c:cat>
          <c:val>
            <c:numRef>
              <c:extLst>
                <c:ext xmlns:c15="http://schemas.microsoft.com/office/drawing/2012/chart" uri="{02D57815-91ED-43cb-92C2-25804820EDAC}">
                  <c15:fullRef>
                    <c15:sqref>'By Day '!$B$26:$B$42</c15:sqref>
                  </c15:fullRef>
                </c:ext>
              </c:extLst>
              <c:f>'By Day '!$B$26:$B$41</c:f>
              <c:numCache>
                <c:formatCode>#,##0.0"m"</c:formatCode>
                <c:ptCount val="16"/>
                <c:pt idx="0">
                  <c:v>7.9137386069364153</c:v>
                </c:pt>
                <c:pt idx="1">
                  <c:v>11.95476104687514</c:v>
                </c:pt>
                <c:pt idx="2">
                  <c:v>11.780533811060112</c:v>
                </c:pt>
                <c:pt idx="3">
                  <c:v>12.152110346995411</c:v>
                </c:pt>
                <c:pt idx="4">
                  <c:v>11.627127673827165</c:v>
                </c:pt>
                <c:pt idx="5">
                  <c:v>12.066290392372823</c:v>
                </c:pt>
                <c:pt idx="6">
                  <c:v>12.107075393867758</c:v>
                </c:pt>
                <c:pt idx="7">
                  <c:v>12.665359105857801</c:v>
                </c:pt>
                <c:pt idx="8">
                  <c:v>9.9490233427369894</c:v>
                </c:pt>
                <c:pt idx="9">
                  <c:v>11.209055241192479</c:v>
                </c:pt>
                <c:pt idx="10">
                  <c:v>9.2428956042901635</c:v>
                </c:pt>
                <c:pt idx="11">
                  <c:v>12.218030839156054</c:v>
                </c:pt>
                <c:pt idx="12">
                  <c:v>18.618792352053152</c:v>
                </c:pt>
                <c:pt idx="13">
                  <c:v>13.001667402494773</c:v>
                </c:pt>
                <c:pt idx="14">
                  <c:v>5.0225245346953562</c:v>
                </c:pt>
                <c:pt idx="15">
                  <c:v>1.9501188786127164</c:v>
                </c:pt>
              </c:numCache>
            </c:numRef>
          </c:val>
          <c:extLst>
            <c:ext xmlns:c16="http://schemas.microsoft.com/office/drawing/2014/chart" uri="{C3380CC4-5D6E-409C-BE32-E72D297353CC}">
              <c16:uniqueId val="{00000000-B67B-4238-A7D8-C8BF5B4E0701}"/>
            </c:ext>
          </c:extLst>
        </c:ser>
        <c:dLbls>
          <c:showLegendKey val="0"/>
          <c:showVal val="0"/>
          <c:showCatName val="0"/>
          <c:showSerName val="0"/>
          <c:showPercent val="0"/>
          <c:showBubbleSize val="0"/>
        </c:dLbls>
        <c:gapWidth val="150"/>
        <c:axId val="294984336"/>
        <c:axId val="294986512"/>
      </c:barChart>
      <c:lineChart>
        <c:grouping val="standard"/>
        <c:varyColors val="0"/>
        <c:ser>
          <c:idx val="1"/>
          <c:order val="1"/>
          <c:tx>
            <c:strRef>
              <c:f>'By Day '!$C$25</c:f>
              <c:strCache>
                <c:ptCount val="1"/>
                <c:pt idx="0">
                  <c:v>Net Media Value (CHF)</c:v>
                </c:pt>
              </c:strCache>
            </c:strRef>
          </c:tx>
          <c:spPr>
            <a:ln w="28575" cap="rnd">
              <a:solidFill>
                <a:srgbClr val="A37E2C"/>
              </a:solidFill>
              <a:round/>
            </a:ln>
            <a:effectLst/>
          </c:spPr>
          <c:marker>
            <c:symbol val="none"/>
          </c:marker>
          <c:cat>
            <c:strRef>
              <c:extLst>
                <c:ext xmlns:c15="http://schemas.microsoft.com/office/drawing/2012/chart" uri="{02D57815-91ED-43cb-92C2-25804820EDAC}">
                  <c15:fullRef>
                    <c15:sqref>'By Day '!$A$26:$A$42</c15:sqref>
                  </c15:fullRef>
                </c:ext>
              </c:extLst>
              <c:f>'By Day '!$A$26:$A$41</c:f>
              <c:strCache>
                <c:ptCount val="16"/>
                <c:pt idx="0">
                  <c:v>Day 1</c:v>
                </c:pt>
                <c:pt idx="1">
                  <c:v>Day 2</c:v>
                </c:pt>
                <c:pt idx="2">
                  <c:v>Day 3</c:v>
                </c:pt>
                <c:pt idx="3">
                  <c:v>Day 4</c:v>
                </c:pt>
                <c:pt idx="4">
                  <c:v>Day 5</c:v>
                </c:pt>
                <c:pt idx="5">
                  <c:v>Day 6</c:v>
                </c:pt>
                <c:pt idx="6">
                  <c:v>Day 7</c:v>
                </c:pt>
                <c:pt idx="7">
                  <c:v>Day 8</c:v>
                </c:pt>
                <c:pt idx="8">
                  <c:v>Day 9</c:v>
                </c:pt>
                <c:pt idx="9">
                  <c:v>Day 10</c:v>
                </c:pt>
                <c:pt idx="10">
                  <c:v>Day 11</c:v>
                </c:pt>
                <c:pt idx="11">
                  <c:v>Day 12</c:v>
                </c:pt>
                <c:pt idx="12">
                  <c:v>Day 13</c:v>
                </c:pt>
                <c:pt idx="13">
                  <c:v>Day 14</c:v>
                </c:pt>
                <c:pt idx="14">
                  <c:v>Post Event 
Day 1</c:v>
                </c:pt>
                <c:pt idx="15">
                  <c:v>Post Event 
Day 2</c:v>
                </c:pt>
              </c:strCache>
            </c:strRef>
          </c:cat>
          <c:val>
            <c:numRef>
              <c:extLst>
                <c:ext xmlns:c15="http://schemas.microsoft.com/office/drawing/2012/chart" uri="{02D57815-91ED-43cb-92C2-25804820EDAC}">
                  <c15:fullRef>
                    <c15:sqref>'By Day '!$C$26:$C$42</c15:sqref>
                  </c15:fullRef>
                </c:ext>
              </c:extLst>
              <c:f>'By Day '!$C$26:$C$41</c:f>
              <c:numCache>
                <c:formatCode>#,##0.0"m"</c:formatCode>
                <c:ptCount val="16"/>
                <c:pt idx="0">
                  <c:v>0.73797449593699471</c:v>
                </c:pt>
                <c:pt idx="1">
                  <c:v>1.0577981509001315</c:v>
                </c:pt>
                <c:pt idx="2">
                  <c:v>0.99729300872906579</c:v>
                </c:pt>
                <c:pt idx="3">
                  <c:v>1.0352129067208624</c:v>
                </c:pt>
                <c:pt idx="4">
                  <c:v>1.321496864216898</c:v>
                </c:pt>
                <c:pt idx="5">
                  <c:v>1.5090067967300045</c:v>
                </c:pt>
                <c:pt idx="6">
                  <c:v>1.6259596848259801</c:v>
                </c:pt>
                <c:pt idx="7">
                  <c:v>1.3406782817884573</c:v>
                </c:pt>
                <c:pt idx="8">
                  <c:v>1.5881866560932751</c:v>
                </c:pt>
                <c:pt idx="9">
                  <c:v>1.1383623361583854</c:v>
                </c:pt>
                <c:pt idx="10">
                  <c:v>0.72623020695562857</c:v>
                </c:pt>
                <c:pt idx="11">
                  <c:v>1.0870833329995546</c:v>
                </c:pt>
                <c:pt idx="12">
                  <c:v>1.4998208212455553</c:v>
                </c:pt>
                <c:pt idx="13">
                  <c:v>0.81309764090355163</c:v>
                </c:pt>
                <c:pt idx="14">
                  <c:v>0.17891060211271653</c:v>
                </c:pt>
                <c:pt idx="15">
                  <c:v>6.1570006724385888E-2</c:v>
                </c:pt>
              </c:numCache>
            </c:numRef>
          </c:val>
          <c:smooth val="0"/>
          <c:extLst>
            <c:ext xmlns:c16="http://schemas.microsoft.com/office/drawing/2014/chart" uri="{C3380CC4-5D6E-409C-BE32-E72D297353CC}">
              <c16:uniqueId val="{00000001-B67B-4238-A7D8-C8BF5B4E0701}"/>
            </c:ext>
          </c:extLst>
        </c:ser>
        <c:dLbls>
          <c:showLegendKey val="0"/>
          <c:showVal val="0"/>
          <c:showCatName val="0"/>
          <c:showSerName val="0"/>
          <c:showPercent val="0"/>
          <c:showBubbleSize val="0"/>
        </c:dLbls>
        <c:marker val="1"/>
        <c:smooth val="0"/>
        <c:axId val="32270944"/>
        <c:axId val="294975088"/>
      </c:lineChart>
      <c:catAx>
        <c:axId val="2949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Rawline" panose="00000500000000000000" pitchFamily="2" charset="0"/>
                <a:ea typeface="+mn-ea"/>
                <a:cs typeface="+mn-cs"/>
              </a:defRPr>
            </a:pPr>
            <a:endParaRPr lang="en-US"/>
          </a:p>
        </c:txPr>
        <c:crossAx val="294986512"/>
        <c:crosses val="autoZero"/>
        <c:auto val="1"/>
        <c:lblAlgn val="ctr"/>
        <c:lblOffset val="100"/>
        <c:noMultiLvlLbl val="0"/>
      </c:catAx>
      <c:valAx>
        <c:axId val="2949865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Rawline" panose="00000500000000000000" pitchFamily="2" charset="0"/>
                    <a:ea typeface="+mn-ea"/>
                    <a:cs typeface="+mn-cs"/>
                  </a:defRPr>
                </a:pPr>
                <a:r>
                  <a:rPr lang="en-GB"/>
                  <a:t>Linear TV Audience</a:t>
                </a:r>
              </a:p>
            </c:rich>
          </c:tx>
          <c:layout>
            <c:manualLayout>
              <c:xMode val="edge"/>
              <c:yMode val="edge"/>
              <c:x val="5.4421760933917413E-3"/>
              <c:y val="0.164101788600928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Rawline" panose="00000500000000000000" pitchFamily="2" charset="0"/>
                  <a:ea typeface="+mn-ea"/>
                  <a:cs typeface="+mn-cs"/>
                </a:defRPr>
              </a:pPr>
              <a:endParaRPr lang="en-US"/>
            </a:p>
          </c:txPr>
        </c:title>
        <c:numFmt formatCode="#,##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Rawline" panose="00000500000000000000" pitchFamily="2" charset="0"/>
                <a:ea typeface="+mn-ea"/>
                <a:cs typeface="+mn-cs"/>
              </a:defRPr>
            </a:pPr>
            <a:endParaRPr lang="en-US"/>
          </a:p>
        </c:txPr>
        <c:crossAx val="294984336"/>
        <c:crosses val="autoZero"/>
        <c:crossBetween val="between"/>
      </c:valAx>
      <c:valAx>
        <c:axId val="29497508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Rawline" panose="00000500000000000000" pitchFamily="2" charset="0"/>
                    <a:ea typeface="+mn-ea"/>
                    <a:cs typeface="+mn-cs"/>
                  </a:defRPr>
                </a:pPr>
                <a:r>
                  <a:rPr lang="en-GB"/>
                  <a:t>Net Media Value (CHF)</a:t>
                </a:r>
              </a:p>
            </c:rich>
          </c:tx>
          <c:layout>
            <c:manualLayout>
              <c:xMode val="edge"/>
              <c:yMode val="edge"/>
              <c:x val="0.96250340671653078"/>
              <c:y val="7.726964593002033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Rawline" panose="00000500000000000000" pitchFamily="2" charset="0"/>
                  <a:ea typeface="+mn-ea"/>
                  <a:cs typeface="+mn-cs"/>
                </a:defRPr>
              </a:pPr>
              <a:endParaRPr lang="en-US"/>
            </a:p>
          </c:txPr>
        </c:title>
        <c:numFmt formatCode="#,##0.0&quot;m&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Rawline" panose="00000500000000000000" pitchFamily="2" charset="0"/>
                <a:ea typeface="+mn-ea"/>
                <a:cs typeface="+mn-cs"/>
              </a:defRPr>
            </a:pPr>
            <a:endParaRPr lang="en-US"/>
          </a:p>
        </c:txPr>
        <c:crossAx val="32270944"/>
        <c:crosses val="max"/>
        <c:crossBetween val="between"/>
      </c:valAx>
      <c:catAx>
        <c:axId val="32270944"/>
        <c:scaling>
          <c:orientation val="minMax"/>
        </c:scaling>
        <c:delete val="1"/>
        <c:axPos val="b"/>
        <c:numFmt formatCode="General" sourceLinked="1"/>
        <c:majorTickMark val="out"/>
        <c:minorTickMark val="none"/>
        <c:tickLblPos val="nextTo"/>
        <c:crossAx val="294975088"/>
        <c:crosses val="autoZero"/>
        <c:auto val="1"/>
        <c:lblAlgn val="ctr"/>
        <c:lblOffset val="100"/>
        <c:noMultiLvlLbl val="0"/>
      </c:catAx>
      <c:spPr>
        <a:noFill/>
        <a:ln>
          <a:noFill/>
        </a:ln>
        <a:effectLst/>
      </c:spPr>
    </c:plotArea>
    <c:legend>
      <c:legendPos val="b"/>
      <c:layout>
        <c:manualLayout>
          <c:xMode val="edge"/>
          <c:yMode val="edge"/>
          <c:x val="0.22924174060503286"/>
          <c:y val="0.90580452277902346"/>
          <c:w val="0.54514463618552877"/>
          <c:h val="8.0950444108393735E-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Rawline" panose="00000500000000000000" pitchFamily="2"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Rawline" panose="00000500000000000000"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Income!$C$3</c:f>
              <c:strCache>
                <c:ptCount val="1"/>
                <c:pt idx="0">
                  <c:v>Dubai Duty Free Irish Open</c:v>
                </c:pt>
              </c:strCache>
            </c:strRef>
          </c:tx>
          <c:spPr>
            <a:solidFill>
              <a:srgbClr val="003914"/>
            </a:solidFill>
            <a:ln>
              <a:noFill/>
            </a:ln>
            <a:effectLst/>
          </c:spPr>
          <c:invertIfNegative val="0"/>
          <c:dLbls>
            <c:dLbl>
              <c:idx val="3"/>
              <c:layout>
                <c:manualLayout>
                  <c:x val="-1.3888888888888888E-2"/>
                  <c:y val="-3.9682081271750627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50D-4A86-9679-810327EA7A51}"/>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Rawline" panose="00000500000000000000" pitchFamily="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Income!$B$4:$B$6</c:f>
              <c:strCache>
                <c:ptCount val="3"/>
                <c:pt idx="0">
                  <c:v>High</c:v>
                </c:pt>
                <c:pt idx="1">
                  <c:v>Medium</c:v>
                </c:pt>
                <c:pt idx="2">
                  <c:v>Low</c:v>
                </c:pt>
              </c:strCache>
            </c:strRef>
          </c:cat>
          <c:val>
            <c:numRef>
              <c:f>Income!$C$4:$C$6</c:f>
              <c:numCache>
                <c:formatCode>0%</c:formatCode>
                <c:ptCount val="3"/>
                <c:pt idx="0">
                  <c:v>0.24953789279112754</c:v>
                </c:pt>
                <c:pt idx="1">
                  <c:v>0.55268022181146026</c:v>
                </c:pt>
                <c:pt idx="2">
                  <c:v>0.1977818853974122</c:v>
                </c:pt>
              </c:numCache>
            </c:numRef>
          </c:val>
          <c:extLst>
            <c:ext xmlns:c16="http://schemas.microsoft.com/office/drawing/2014/chart" uri="{C3380CC4-5D6E-409C-BE32-E72D297353CC}">
              <c16:uniqueId val="{00000001-A50D-4A86-9679-810327EA7A51}"/>
            </c:ext>
          </c:extLst>
        </c:ser>
        <c:ser>
          <c:idx val="1"/>
          <c:order val="1"/>
          <c:tx>
            <c:strRef>
              <c:f>Income!$D$3</c:f>
              <c:strCache>
                <c:ptCount val="1"/>
                <c:pt idx="0">
                  <c:v>UK General Population</c:v>
                </c:pt>
              </c:strCache>
            </c:strRef>
          </c:tx>
          <c:spPr>
            <a:solidFill>
              <a:srgbClr val="AF9B6D"/>
            </a:solidFill>
            <a:ln>
              <a:noFill/>
            </a:ln>
            <a:effectLst/>
          </c:spPr>
          <c:invertIfNegative val="0"/>
          <c:dLbls>
            <c:dLbl>
              <c:idx val="0"/>
              <c:layout>
                <c:manualLayout>
                  <c:x val="3.2458059810357375E-3"/>
                  <c:y val="-2.1775106703092732E-7"/>
                </c:manualLayout>
              </c:layout>
              <c:showLegendKey val="0"/>
              <c:showVal val="1"/>
              <c:showCatName val="0"/>
              <c:showSerName val="0"/>
              <c:showPercent val="0"/>
              <c:showBubbleSize val="0"/>
              <c:extLst>
                <c:ext xmlns:c15="http://schemas.microsoft.com/office/drawing/2012/chart" uri="{CE6537A1-D6FC-4f65-9D91-7224C49458BB}">
                  <c15:layout>
                    <c:manualLayout>
                      <c:w val="5.3418429370289323E-2"/>
                      <c:h val="7.7349534012716645E-2"/>
                    </c:manualLayout>
                  </c15:layout>
                </c:ext>
                <c:ext xmlns:c16="http://schemas.microsoft.com/office/drawing/2014/chart" uri="{C3380CC4-5D6E-409C-BE32-E72D297353CC}">
                  <c16:uniqueId val="{00000002-A50D-4A86-9679-810327EA7A51}"/>
                </c:ext>
              </c:extLst>
            </c:dLbl>
            <c:dLbl>
              <c:idx val="1"/>
              <c:layout>
                <c:manualLayout>
                  <c:x val="-3.7989302212496962E-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50D-4A86-9679-810327EA7A51}"/>
                </c:ext>
              </c:extLst>
            </c:dLbl>
            <c:dLbl>
              <c:idx val="2"/>
              <c:layout>
                <c:manualLayout>
                  <c:x val="3.2458059810357405E-3"/>
                  <c:y val="1.73160003484017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50D-4A86-9679-810327EA7A51}"/>
                </c:ext>
              </c:extLst>
            </c:dLbl>
            <c:dLbl>
              <c:idx val="3"/>
              <c:layout>
                <c:manualLayout>
                  <c:x val="8.3333333333333332E-3"/>
                  <c:y val="8.65800865800865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50D-4A86-9679-810327EA7A51}"/>
                </c:ext>
              </c:extLst>
            </c:dLbl>
            <c:dLbl>
              <c:idx val="4"/>
              <c:layout>
                <c:manualLayout>
                  <c:x val="8.3333333333333332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50D-4A86-9679-810327EA7A51}"/>
                </c:ext>
              </c:extLst>
            </c:dLbl>
            <c:dLbl>
              <c:idx val="5"/>
              <c:layout>
                <c:manualLayout>
                  <c:x val="8.3333333333334356E-3"/>
                  <c:y val="8.65800865800865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50D-4A86-9679-810327EA7A51}"/>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Rawline" panose="00000500000000000000" pitchFamily="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Income!$B$4:$B$6</c:f>
              <c:strCache>
                <c:ptCount val="3"/>
                <c:pt idx="0">
                  <c:v>High</c:v>
                </c:pt>
                <c:pt idx="1">
                  <c:v>Medium</c:v>
                </c:pt>
                <c:pt idx="2">
                  <c:v>Low</c:v>
                </c:pt>
              </c:strCache>
            </c:strRef>
          </c:cat>
          <c:val>
            <c:numRef>
              <c:f>Income!$D$4:$D$6</c:f>
              <c:numCache>
                <c:formatCode>0%</c:formatCode>
                <c:ptCount val="3"/>
                <c:pt idx="0">
                  <c:v>0.27</c:v>
                </c:pt>
                <c:pt idx="1">
                  <c:v>0.5</c:v>
                </c:pt>
                <c:pt idx="2">
                  <c:v>0.23</c:v>
                </c:pt>
              </c:numCache>
            </c:numRef>
          </c:val>
          <c:extLst>
            <c:ext xmlns:c16="http://schemas.microsoft.com/office/drawing/2014/chart" uri="{C3380CC4-5D6E-409C-BE32-E72D297353CC}">
              <c16:uniqueId val="{00000008-A50D-4A86-9679-810327EA7A51}"/>
            </c:ext>
          </c:extLst>
        </c:ser>
        <c:dLbls>
          <c:showLegendKey val="0"/>
          <c:showVal val="0"/>
          <c:showCatName val="0"/>
          <c:showSerName val="0"/>
          <c:showPercent val="0"/>
          <c:showBubbleSize val="0"/>
        </c:dLbls>
        <c:gapWidth val="219"/>
        <c:overlap val="-27"/>
        <c:axId val="-1970471920"/>
        <c:axId val="-1970463760"/>
      </c:barChart>
      <c:catAx>
        <c:axId val="-197047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Rawline" panose="00000500000000000000" pitchFamily="2" charset="0"/>
                <a:ea typeface="+mn-ea"/>
                <a:cs typeface="+mn-cs"/>
              </a:defRPr>
            </a:pPr>
            <a:endParaRPr lang="en-US"/>
          </a:p>
        </c:txPr>
        <c:crossAx val="-1970463760"/>
        <c:crosses val="autoZero"/>
        <c:auto val="1"/>
        <c:lblAlgn val="ctr"/>
        <c:lblOffset val="100"/>
        <c:noMultiLvlLbl val="0"/>
      </c:catAx>
      <c:valAx>
        <c:axId val="-1970463760"/>
        <c:scaling>
          <c:orientation val="minMax"/>
        </c:scaling>
        <c:delete val="1"/>
        <c:axPos val="l"/>
        <c:numFmt formatCode="0%" sourceLinked="1"/>
        <c:majorTickMark val="none"/>
        <c:minorTickMark val="none"/>
        <c:tickLblPos val="nextTo"/>
        <c:crossAx val="-1970471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Rawline" panose="00000500000000000000" pitchFamily="2"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Rawline" panose="00000500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033478180372682E-2"/>
          <c:y val="9.4485797475771117E-3"/>
          <c:w val="0.97816599688524386"/>
          <c:h val="0.83658517628348839"/>
        </c:manualLayout>
      </c:layout>
      <c:barChart>
        <c:barDir val="col"/>
        <c:grouping val="clustered"/>
        <c:varyColors val="0"/>
        <c:ser>
          <c:idx val="0"/>
          <c:order val="0"/>
          <c:spPr>
            <a:solidFill>
              <a:srgbClr val="AF9B6D"/>
            </a:solidFill>
          </c:spPr>
          <c:invertIfNegative val="0"/>
          <c:dPt>
            <c:idx val="0"/>
            <c:invertIfNegative val="0"/>
            <c:bubble3D val="0"/>
            <c:spPr>
              <a:solidFill>
                <a:srgbClr val="003914"/>
              </a:solidFill>
            </c:spPr>
            <c:extLst>
              <c:ext xmlns:c16="http://schemas.microsoft.com/office/drawing/2014/chart" uri="{C3380CC4-5D6E-409C-BE32-E72D297353CC}">
                <c16:uniqueId val="{00000001-FBCA-4BB3-B7EA-44748EBFBB96}"/>
              </c:ext>
            </c:extLst>
          </c:dPt>
          <c:dPt>
            <c:idx val="1"/>
            <c:invertIfNegative val="0"/>
            <c:bubble3D val="0"/>
            <c:extLst>
              <c:ext xmlns:c16="http://schemas.microsoft.com/office/drawing/2014/chart" uri="{C3380CC4-5D6E-409C-BE32-E72D297353CC}">
                <c16:uniqueId val="{00000002-FBCA-4BB3-B7EA-44748EBFBB96}"/>
              </c:ext>
            </c:extLst>
          </c:dPt>
          <c:dPt>
            <c:idx val="2"/>
            <c:invertIfNegative val="0"/>
            <c:bubble3D val="0"/>
            <c:extLst>
              <c:ext xmlns:c16="http://schemas.microsoft.com/office/drawing/2014/chart" uri="{C3380CC4-5D6E-409C-BE32-E72D297353CC}">
                <c16:uniqueId val="{00000003-6C4A-4B78-8529-1EBDE41A0924}"/>
              </c:ext>
            </c:extLst>
          </c:dPt>
          <c:dLbls>
            <c:spPr>
              <a:noFill/>
              <a:ln>
                <a:noFill/>
              </a:ln>
              <a:effectLst/>
            </c:spPr>
            <c:txPr>
              <a:bodyPr wrap="square" lIns="38100" tIns="19050" rIns="38100" bIns="19050" anchor="ctr">
                <a:spAutoFit/>
              </a:bodyPr>
              <a:lstStyle/>
              <a:p>
                <a:pPr>
                  <a:defRPr b="1">
                    <a:latin typeface="Rawline"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'Exposure 2 - On Site'!$R$7:$R$17</c15:sqref>
                  </c15:fullRef>
                </c:ext>
              </c:extLst>
              <c:f>'Exposure 2 - On Site'!$R$7:$R$16</c:f>
              <c:strCache>
                <c:ptCount val="10"/>
                <c:pt idx="0">
                  <c:v>US Open</c:v>
                </c:pt>
                <c:pt idx="1">
                  <c:v>Emirates</c:v>
                </c:pt>
                <c:pt idx="2">
                  <c:v>Mercedes Benz</c:v>
                </c:pt>
                <c:pt idx="3">
                  <c:v>American Express</c:v>
                </c:pt>
                <c:pt idx="4">
                  <c:v>JP Morgan</c:v>
                </c:pt>
                <c:pt idx="5">
                  <c:v>IBM</c:v>
                </c:pt>
                <c:pt idx="6">
                  <c:v>Ralph Lauren</c:v>
                </c:pt>
                <c:pt idx="7">
                  <c:v>Chase</c:v>
                </c:pt>
                <c:pt idx="8">
                  <c:v>Chubb</c:v>
                </c:pt>
                <c:pt idx="9">
                  <c:v>IHG</c:v>
                </c:pt>
              </c:strCache>
            </c:strRef>
          </c:cat>
          <c:val>
            <c:numRef>
              <c:extLst>
                <c:ext xmlns:c15="http://schemas.microsoft.com/office/drawing/2012/chart" uri="{02D57815-91ED-43cb-92C2-25804820EDAC}">
                  <c15:fullRef>
                    <c15:sqref>'Exposure 2 - On Site'!$T$7:$T$17</c15:sqref>
                  </c15:fullRef>
                </c:ext>
              </c:extLst>
              <c:f>'Exposure 2 - On Site'!$T$7:$T$16</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FBCA-4BB3-B7EA-44748EBFBB96}"/>
            </c:ext>
          </c:extLst>
        </c:ser>
        <c:dLbls>
          <c:dLblPos val="outEnd"/>
          <c:showLegendKey val="0"/>
          <c:showVal val="1"/>
          <c:showCatName val="0"/>
          <c:showSerName val="0"/>
          <c:showPercent val="0"/>
          <c:showBubbleSize val="0"/>
        </c:dLbls>
        <c:gapWidth val="100"/>
        <c:axId val="-1970476816"/>
        <c:axId val="-1970475728"/>
      </c:barChart>
      <c:catAx>
        <c:axId val="-1970476816"/>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Rawline" panose="00000500000000000000" pitchFamily="2" charset="0"/>
                <a:ea typeface="Calibri"/>
                <a:cs typeface="Calibri"/>
              </a:defRPr>
            </a:pPr>
            <a:endParaRPr lang="en-US"/>
          </a:p>
        </c:txPr>
        <c:crossAx val="-1970475728"/>
        <c:crosses val="autoZero"/>
        <c:auto val="0"/>
        <c:lblAlgn val="ctr"/>
        <c:lblOffset val="100"/>
        <c:tickLblSkip val="1"/>
        <c:noMultiLvlLbl val="0"/>
      </c:catAx>
      <c:valAx>
        <c:axId val="-1970475728"/>
        <c:scaling>
          <c:orientation val="minMax"/>
        </c:scaling>
        <c:delete val="1"/>
        <c:axPos val="l"/>
        <c:numFmt formatCode="#,##0" sourceLinked="1"/>
        <c:majorTickMark val="out"/>
        <c:minorTickMark val="none"/>
        <c:tickLblPos val="nextTo"/>
        <c:crossAx val="-1970476816"/>
        <c:crosses val="autoZero"/>
        <c:crossBetween val="between"/>
      </c:valAx>
      <c:spPr>
        <a:noFill/>
        <a:ln w="25400">
          <a:noFill/>
        </a:ln>
      </c:spPr>
    </c:plotArea>
    <c:plotVisOnly val="1"/>
    <c:dispBlanksAs val="gap"/>
    <c:showDLblsOverMax val="0"/>
  </c:chart>
  <c:spPr>
    <a:solidFill>
      <a:schemeClr val="bg1"/>
    </a:solidFill>
    <a:ln w="9525" cap="flat" cmpd="sng" algn="ctr">
      <a:no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540659374926915E-2"/>
          <c:y val="0"/>
          <c:w val="0.97082108731637473"/>
          <c:h val="0.89315346873565393"/>
        </c:manualLayout>
      </c:layout>
      <c:barChart>
        <c:barDir val="col"/>
        <c:grouping val="clustered"/>
        <c:varyColors val="0"/>
        <c:ser>
          <c:idx val="0"/>
          <c:order val="0"/>
          <c:spPr>
            <a:solidFill>
              <a:srgbClr val="AF9B6D"/>
            </a:solidFill>
          </c:spPr>
          <c:invertIfNegative val="0"/>
          <c:dPt>
            <c:idx val="0"/>
            <c:invertIfNegative val="0"/>
            <c:bubble3D val="0"/>
            <c:spPr>
              <a:solidFill>
                <a:srgbClr val="003914"/>
              </a:solidFill>
            </c:spPr>
            <c:extLst>
              <c:ext xmlns:c16="http://schemas.microsoft.com/office/drawing/2014/chart" uri="{C3380CC4-5D6E-409C-BE32-E72D297353CC}">
                <c16:uniqueId val="{00000001-FBCA-4BB3-B7EA-44748EBFBB96}"/>
              </c:ext>
            </c:extLst>
          </c:dPt>
          <c:dPt>
            <c:idx val="1"/>
            <c:invertIfNegative val="0"/>
            <c:bubble3D val="0"/>
            <c:extLst>
              <c:ext xmlns:c16="http://schemas.microsoft.com/office/drawing/2014/chart" uri="{C3380CC4-5D6E-409C-BE32-E72D297353CC}">
                <c16:uniqueId val="{00000002-FBCA-4BB3-B7EA-44748EBFBB96}"/>
              </c:ext>
            </c:extLst>
          </c:dPt>
          <c:dPt>
            <c:idx val="2"/>
            <c:invertIfNegative val="0"/>
            <c:bubble3D val="0"/>
            <c:extLst>
              <c:ext xmlns:c16="http://schemas.microsoft.com/office/drawing/2014/chart" uri="{C3380CC4-5D6E-409C-BE32-E72D297353CC}">
                <c16:uniqueId val="{00000003-6C4A-4B78-8529-1EBDE41A0924}"/>
              </c:ext>
            </c:extLst>
          </c:dPt>
          <c:dLbls>
            <c:spPr>
              <a:noFill/>
              <a:ln>
                <a:noFill/>
              </a:ln>
              <a:effectLst/>
            </c:spPr>
            <c:txPr>
              <a:bodyPr wrap="square" lIns="38100" tIns="19050" rIns="38100" bIns="19050" anchor="ctr">
                <a:spAutoFit/>
              </a:bodyPr>
              <a:lstStyle/>
              <a:p>
                <a:pPr>
                  <a:defRPr b="1">
                    <a:latin typeface="Rawline"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'Exposure - Watch'!$R$7:$R$17</c15:sqref>
                  </c15:fullRef>
                </c:ext>
              </c:extLst>
              <c:f>'Exposure - Watch'!$R$7:$R$12</c:f>
              <c:strCache>
                <c:ptCount val="6"/>
                <c:pt idx="0">
                  <c:v>Emirates</c:v>
                </c:pt>
                <c:pt idx="1">
                  <c:v>IBM</c:v>
                </c:pt>
                <c:pt idx="2">
                  <c:v>Mercedes Benz</c:v>
                </c:pt>
                <c:pt idx="3">
                  <c:v>American Express</c:v>
                </c:pt>
                <c:pt idx="4">
                  <c:v>JP Morgan</c:v>
                </c:pt>
                <c:pt idx="5">
                  <c:v>Ralph Lauren</c:v>
                </c:pt>
              </c:strCache>
            </c:strRef>
          </c:cat>
          <c:val>
            <c:numRef>
              <c:extLst>
                <c:ext xmlns:c15="http://schemas.microsoft.com/office/drawing/2012/chart" uri="{02D57815-91ED-43cb-92C2-25804820EDAC}">
                  <c15:fullRef>
                    <c15:sqref>'Exposure - Watch'!$T$7:$T$17</c15:sqref>
                  </c15:fullRef>
                </c:ext>
              </c:extLst>
              <c:f>'Exposure - Watch'!$T$7:$T$12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FBCA-4BB3-B7EA-44748EBFBB96}"/>
            </c:ext>
          </c:extLst>
        </c:ser>
        <c:dLbls>
          <c:dLblPos val="outEnd"/>
          <c:showLegendKey val="0"/>
          <c:showVal val="1"/>
          <c:showCatName val="0"/>
          <c:showSerName val="0"/>
          <c:showPercent val="0"/>
          <c:showBubbleSize val="0"/>
        </c:dLbls>
        <c:gapWidth val="100"/>
        <c:axId val="-1970470832"/>
        <c:axId val="-628682688"/>
      </c:barChart>
      <c:catAx>
        <c:axId val="-1970470832"/>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Rawline" panose="00000500000000000000" pitchFamily="2" charset="0"/>
                <a:ea typeface="Calibri"/>
                <a:cs typeface="Calibri"/>
              </a:defRPr>
            </a:pPr>
            <a:endParaRPr lang="en-US"/>
          </a:p>
        </c:txPr>
        <c:crossAx val="-628682688"/>
        <c:crosses val="autoZero"/>
        <c:auto val="0"/>
        <c:lblAlgn val="ctr"/>
        <c:lblOffset val="100"/>
        <c:tickLblSkip val="1"/>
        <c:noMultiLvlLbl val="0"/>
      </c:catAx>
      <c:valAx>
        <c:axId val="-628682688"/>
        <c:scaling>
          <c:orientation val="minMax"/>
        </c:scaling>
        <c:delete val="1"/>
        <c:axPos val="l"/>
        <c:numFmt formatCode="#,##0" sourceLinked="1"/>
        <c:majorTickMark val="out"/>
        <c:minorTickMark val="none"/>
        <c:tickLblPos val="nextTo"/>
        <c:crossAx val="-1970470832"/>
        <c:crosses val="autoZero"/>
        <c:crossBetween val="between"/>
      </c:valAx>
      <c:spPr>
        <a:noFill/>
        <a:ln w="25400">
          <a:noFill/>
        </a:ln>
      </c:spPr>
    </c:plotArea>
    <c:plotVisOnly val="1"/>
    <c:dispBlanksAs val="gap"/>
    <c:showDLblsOverMax val="0"/>
  </c:chart>
  <c:spPr>
    <a:solidFill>
      <a:schemeClr val="bg1"/>
    </a:solidFill>
    <a:ln w="9525" cap="flat" cmpd="sng" algn="ctr">
      <a:no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363880918675265"/>
          <c:y val="9.6034707115501924E-2"/>
          <c:w val="0.67982402505268635"/>
          <c:h val="0.80988153038998867"/>
        </c:manualLayout>
      </c:layout>
      <c:doughnutChart>
        <c:varyColors val="1"/>
        <c:ser>
          <c:idx val="0"/>
          <c:order val="0"/>
          <c:dPt>
            <c:idx val="0"/>
            <c:bubble3D val="0"/>
            <c:spPr>
              <a:solidFill>
                <a:srgbClr val="003914"/>
              </a:solidFill>
              <a:ln w="19050">
                <a:solidFill>
                  <a:schemeClr val="lt1"/>
                </a:solidFill>
              </a:ln>
              <a:effectLst/>
            </c:spPr>
            <c:extLst>
              <c:ext xmlns:c16="http://schemas.microsoft.com/office/drawing/2014/chart" uri="{C3380CC4-5D6E-409C-BE32-E72D297353CC}">
                <c16:uniqueId val="{00000001-7316-402E-B394-10CBAF158902}"/>
              </c:ext>
            </c:extLst>
          </c:dPt>
          <c:dPt>
            <c:idx val="1"/>
            <c:bubble3D val="0"/>
            <c:spPr>
              <a:solidFill>
                <a:srgbClr val="AF9B6D"/>
              </a:solidFill>
              <a:ln w="19050">
                <a:solidFill>
                  <a:schemeClr val="lt1"/>
                </a:solidFill>
              </a:ln>
              <a:effectLst/>
            </c:spPr>
            <c:extLst>
              <c:ext xmlns:c16="http://schemas.microsoft.com/office/drawing/2014/chart" uri="{C3380CC4-5D6E-409C-BE32-E72D297353CC}">
                <c16:uniqueId val="{00000002-7316-402E-B394-10CBAF15890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964-410F-B79E-03B304231A60}"/>
              </c:ext>
            </c:extLst>
          </c:dPt>
          <c:dPt>
            <c:idx val="3"/>
            <c:bubble3D val="0"/>
            <c:spPr>
              <a:solidFill>
                <a:srgbClr val="6A95A5"/>
              </a:solidFill>
              <a:ln w="19050">
                <a:solidFill>
                  <a:schemeClr val="lt1"/>
                </a:solidFill>
              </a:ln>
              <a:effectLst/>
            </c:spPr>
            <c:extLst>
              <c:ext xmlns:c16="http://schemas.microsoft.com/office/drawing/2014/chart" uri="{C3380CC4-5D6E-409C-BE32-E72D297353CC}">
                <c16:uniqueId val="{00000007-1964-410F-B79E-03B304231A6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8-5655-453D-BB1D-AABEB11C41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B49-4BEB-8CFF-C2C2AA5517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B49-4BEB-8CFF-C2C2AA5517D3}"/>
              </c:ext>
            </c:extLst>
          </c:dPt>
          <c:dLbls>
            <c:dLbl>
              <c:idx val="0"/>
              <c:layout>
                <c:manualLayout>
                  <c:x val="-0.16899077070598106"/>
                  <c:y val="-0.38940374850657111"/>
                </c:manualLayout>
              </c:layout>
              <c:tx>
                <c:rich>
                  <a:bodyPr/>
                  <a:lstStyle/>
                  <a:p>
                    <a:fld id="{C20AAA35-2E9D-4C1E-9FC7-1A6471E28827}" type="CATEGORYNAME">
                      <a:rPr lang="en-US" b="0"/>
                      <a:pPr/>
                      <a:t>[CATEGORY NAME]</a:t>
                    </a:fld>
                    <a:r>
                      <a:rPr lang="en-US" b="0" baseline="0"/>
                      <a:t>
</a:t>
                    </a:r>
                    <a:fld id="{176B4C4A-CCDB-4D75-8969-F17C2D669507}" type="VALUE">
                      <a:rPr lang="en-US" b="1" baseline="0"/>
                      <a:pPr/>
                      <a:t>[VALUE]</a:t>
                    </a:fld>
                    <a:endParaRPr lang="en-US" b="0" baseline="0"/>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7316-402E-B394-10CBAF158902}"/>
                </c:ext>
              </c:extLst>
            </c:dLbl>
            <c:dLbl>
              <c:idx val="1"/>
              <c:layout>
                <c:manualLayout>
                  <c:x val="0.19824493587438571"/>
                  <c:y val="3.4230510752688174E-2"/>
                </c:manualLayout>
              </c:layout>
              <c:tx>
                <c:rich>
                  <a:bodyPr/>
                  <a:lstStyle/>
                  <a:p>
                    <a:fld id="{40DB937C-E4EB-40CF-BF0E-F428C2442526}" type="CATEGORYNAME">
                      <a:rPr lang="en-US"/>
                      <a:pPr/>
                      <a:t>[CATEGORY NAME]</a:t>
                    </a:fld>
                    <a:r>
                      <a:rPr lang="en-US" baseline="0"/>
                      <a:t>
</a:t>
                    </a:r>
                    <a:fld id="{643DA149-1E7B-4EF6-BA3B-93FF79ACC008}" type="VALUE">
                      <a:rPr lang="en-US" b="1" baseline="0"/>
                      <a:pPr/>
                      <a:t>[VALUE]</a:t>
                    </a:fld>
                    <a:endParaRPr lang="en-US" baseline="0"/>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2-7316-402E-B394-10CBAF158902}"/>
                </c:ext>
              </c:extLst>
            </c:dLbl>
            <c:dLbl>
              <c:idx val="2"/>
              <c:layout>
                <c:manualLayout>
                  <c:x val="0.11022246971529928"/>
                  <c:y val="5.4827552243531315E-2"/>
                </c:manualLayout>
              </c:layout>
              <c:tx>
                <c:rich>
                  <a:bodyPr/>
                  <a:lstStyle/>
                  <a:p>
                    <a:fld id="{20F6444C-0BDD-46CB-9641-AC0A84494BD0}" type="CATEGORYNAME">
                      <a:rPr lang="en-US"/>
                      <a:pPr/>
                      <a:t>[CATEGORY NAME]</a:t>
                    </a:fld>
                    <a:r>
                      <a:rPr lang="en-US" baseline="0"/>
                      <a:t>
</a:t>
                    </a:r>
                    <a:fld id="{578A2E83-C7FE-4B90-83CE-FBE1BFE1FA82}" type="VALUE">
                      <a:rPr lang="en-US" b="1" baseline="0"/>
                      <a:pPr/>
                      <a:t>[VALUE]</a:t>
                    </a:fld>
                    <a:endParaRPr lang="en-US" baseline="0"/>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5-1964-410F-B79E-03B304231A60}"/>
                </c:ext>
              </c:extLst>
            </c:dLbl>
            <c:dLbl>
              <c:idx val="3"/>
              <c:layout>
                <c:manualLayout>
                  <c:x val="8.4399196931559256E-2"/>
                  <c:y val="8.168048088410991E-2"/>
                </c:manualLayout>
              </c:layout>
              <c:tx>
                <c:rich>
                  <a:bodyPr/>
                  <a:lstStyle/>
                  <a:p>
                    <a:fld id="{7572A47E-EB6A-4426-B8E4-DAE59C5131A5}" type="CATEGORYNAME">
                      <a:rPr lang="en-US"/>
                      <a:pPr/>
                      <a:t>[CATEGORY NAME]</a:t>
                    </a:fld>
                    <a:r>
                      <a:rPr lang="en-US" baseline="0"/>
                      <a:t>
</a:t>
                    </a:r>
                    <a:fld id="{3738E6D3-F525-45F4-A8B7-FA5EDC1B28E7}" type="VALUE">
                      <a:rPr lang="en-US" b="1" baseline="0"/>
                      <a:pPr/>
                      <a:t>[VALUE]</a:t>
                    </a:fld>
                    <a:endParaRPr lang="en-US" baseline="0"/>
                  </a:p>
                </c:rich>
              </c:tx>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7-1964-410F-B79E-03B304231A60}"/>
                </c:ext>
              </c:extLst>
            </c:dLbl>
            <c:dLbl>
              <c:idx val="4"/>
              <c:layout>
                <c:manualLayout>
                  <c:x val="9.2130411041937407E-2"/>
                  <c:y val="7.491300861120782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Rawline" panose="00000500000000000000" pitchFamily="2" charset="0"/>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10997167570699612"/>
                      <c:h val="0.11310101426623108"/>
                    </c:manualLayout>
                  </c15:layout>
                </c:ext>
                <c:ext xmlns:c16="http://schemas.microsoft.com/office/drawing/2014/chart" uri="{C3380CC4-5D6E-409C-BE32-E72D297353CC}">
                  <c16:uniqueId val="{00000008-5655-453D-BB1D-AABEB11C41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Rawline" panose="00000500000000000000" pitchFamily="2" charset="0"/>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extLst>
          </c:dLbls>
          <c:cat>
            <c:strRef>
              <c:f>'SM Mentions'!$A$6:$A$9</c:f>
              <c:strCache>
                <c:ptCount val="4"/>
                <c:pt idx="0">
                  <c:v>Twitter</c:v>
                </c:pt>
                <c:pt idx="1">
                  <c:v>Instagram</c:v>
                </c:pt>
                <c:pt idx="2">
                  <c:v>Forums</c:v>
                </c:pt>
                <c:pt idx="3">
                  <c:v>Blogs</c:v>
                </c:pt>
              </c:strCache>
            </c:strRef>
          </c:cat>
          <c:val>
            <c:numRef>
              <c:f>'SM Mentions'!$B$6:$B$9</c:f>
              <c:numCache>
                <c:formatCode>General</c:formatCode>
                <c:ptCount val="4"/>
                <c:pt idx="0">
                  <c:v>63</c:v>
                </c:pt>
                <c:pt idx="1">
                  <c:v>44</c:v>
                </c:pt>
                <c:pt idx="2">
                  <c:v>7</c:v>
                </c:pt>
                <c:pt idx="3">
                  <c:v>3</c:v>
                </c:pt>
              </c:numCache>
            </c:numRef>
          </c:val>
          <c:extLst>
            <c:ext xmlns:c16="http://schemas.microsoft.com/office/drawing/2014/chart" uri="{C3380CC4-5D6E-409C-BE32-E72D297353CC}">
              <c16:uniqueId val="{00000000-7316-402E-B394-10CBAF158902}"/>
            </c:ext>
          </c:extLst>
        </c:ser>
        <c:dLbls>
          <c:showLegendKey val="0"/>
          <c:showVal val="1"/>
          <c:showCatName val="0"/>
          <c:showSerName val="0"/>
          <c:showPercent val="0"/>
          <c:showBubbleSize val="0"/>
          <c:showLeaderLines val="0"/>
        </c:dLbls>
        <c:firstSliceAng val="128"/>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21380408734348"/>
          <c:y val="6.7912626262626258E-2"/>
          <c:w val="0.62057777777777789"/>
          <c:h val="0.90265858585858594"/>
        </c:manualLayout>
      </c:layout>
      <c:doughnutChart>
        <c:varyColors val="1"/>
        <c:ser>
          <c:idx val="0"/>
          <c:order val="0"/>
          <c:spPr>
            <a:solidFill>
              <a:srgbClr val="003914"/>
            </a:solidFill>
          </c:spPr>
          <c:dPt>
            <c:idx val="1"/>
            <c:bubble3D val="0"/>
            <c:spPr>
              <a:solidFill>
                <a:srgbClr val="AF9B6D"/>
              </a:solidFill>
            </c:spPr>
            <c:extLst>
              <c:ext xmlns:c16="http://schemas.microsoft.com/office/drawing/2014/chart" uri="{C3380CC4-5D6E-409C-BE32-E72D297353CC}">
                <c16:uniqueId val="{0000000B-1448-40F2-A14F-643323DBC448}"/>
              </c:ext>
            </c:extLst>
          </c:dPt>
          <c:dLbls>
            <c:dLbl>
              <c:idx val="0"/>
              <c:layout>
                <c:manualLayout>
                  <c:x val="-0.20926850867871058"/>
                  <c:y val="-7.2062827667850493E-2"/>
                </c:manualLayout>
              </c:layout>
              <c:tx>
                <c:rich>
                  <a:bodyPr rot="0" spcFirstLastPara="1" vertOverflow="clip" horzOverflow="clip" vert="horz" wrap="none" lIns="38100" tIns="19050" rIns="38100" bIns="19050" anchor="ctr" anchorCtr="1">
                    <a:noAutofit/>
                  </a:bodyPr>
                  <a:lstStyle/>
                  <a:p>
                    <a:pPr>
                      <a:defRPr sz="900" b="0" i="0" u="none" strike="noStrike" kern="1200" baseline="0">
                        <a:solidFill>
                          <a:schemeClr val="dk1">
                            <a:lumMod val="65000"/>
                            <a:lumOff val="35000"/>
                          </a:schemeClr>
                        </a:solidFill>
                        <a:latin typeface="Rawline" panose="00000500000000000000" pitchFamily="2" charset="0"/>
                        <a:ea typeface="+mn-ea"/>
                        <a:cs typeface="+mn-cs"/>
                      </a:defRPr>
                    </a:pPr>
                    <a:fld id="{E9FD85A0-23DF-4612-9093-3D37C5C4DC43}" type="CATEGORYNAME">
                      <a:rPr lang="en-US" b="0" baseline="0">
                        <a:latin typeface="Rawline" panose="00000500000000000000" pitchFamily="2" charset="0"/>
                      </a:rPr>
                      <a:pPr>
                        <a:defRPr sz="900" b="0" i="0" u="none" strike="noStrike" kern="1200" baseline="0">
                          <a:solidFill>
                            <a:schemeClr val="dk1">
                              <a:lumMod val="65000"/>
                              <a:lumOff val="35000"/>
                            </a:schemeClr>
                          </a:solidFill>
                          <a:latin typeface="Rawline" panose="00000500000000000000" pitchFamily="2" charset="0"/>
                          <a:ea typeface="+mn-ea"/>
                          <a:cs typeface="+mn-cs"/>
                        </a:defRPr>
                      </a:pPr>
                      <a:t>[CATEGORY NAME]</a:t>
                    </a:fld>
                    <a:r>
                      <a:rPr lang="en-US" b="1" baseline="0">
                        <a:latin typeface="Rawline" panose="00000500000000000000" pitchFamily="2" charset="0"/>
                      </a:rPr>
                      <a:t>
</a:t>
                    </a:r>
                    <a:fld id="{386C51E7-ABD5-4B8A-AD91-D9C0185C4426}" type="PERCENTAGE">
                      <a:rPr lang="en-US" b="1" baseline="0">
                        <a:latin typeface="Rawline" panose="00000500000000000000" pitchFamily="2" charset="0"/>
                      </a:rPr>
                      <a:pPr>
                        <a:defRPr sz="900" b="0" i="0" u="none" strike="noStrike" kern="1200" baseline="0">
                          <a:solidFill>
                            <a:schemeClr val="dk1">
                              <a:lumMod val="65000"/>
                              <a:lumOff val="35000"/>
                            </a:schemeClr>
                          </a:solidFill>
                          <a:latin typeface="Rawline" panose="00000500000000000000" pitchFamily="2" charset="0"/>
                          <a:ea typeface="+mn-ea"/>
                          <a:cs typeface="+mn-cs"/>
                        </a:defRPr>
                      </a:pPr>
                      <a:t>[PERCENTAGE]</a:t>
                    </a:fld>
                    <a:endParaRPr lang="en-US" b="1" baseline="0">
                      <a:latin typeface="Rawline" panose="00000500000000000000" pitchFamily="2" charset="0"/>
                    </a:endParaRPr>
                  </a:p>
                </c:rich>
              </c:tx>
              <c:spPr>
                <a:solidFill>
                  <a:srgbClr val="FFFFFF"/>
                </a:solidFill>
                <a:ln>
                  <a:solidFill>
                    <a:srgbClr val="003914"/>
                  </a:solid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manualLayout>
                      <c:w val="0.16979172911411472"/>
                      <c:h val="0.22385472751647567"/>
                    </c:manualLayout>
                  </c15:layout>
                  <c15:dlblFieldTable/>
                  <c15:showDataLabelsRange val="0"/>
                </c:ext>
                <c:ext xmlns:c16="http://schemas.microsoft.com/office/drawing/2014/chart" uri="{C3380CC4-5D6E-409C-BE32-E72D297353CC}">
                  <c16:uniqueId val="{00000002-4D61-4A09-B24B-E9A1C8567D71}"/>
                </c:ext>
              </c:extLst>
            </c:dLbl>
            <c:dLbl>
              <c:idx val="1"/>
              <c:layout>
                <c:manualLayout>
                  <c:x val="0.19271755815326486"/>
                  <c:y val="5.9158210722137665E-2"/>
                </c:manualLayout>
              </c:layout>
              <c:tx>
                <c:rich>
                  <a:bodyPr rot="0" spcFirstLastPara="1" vertOverflow="clip" horzOverflow="clip" vert="horz" wrap="none" lIns="38100" tIns="19050" rIns="38100" bIns="19050" anchor="ctr" anchorCtr="1">
                    <a:spAutoFit/>
                  </a:bodyPr>
                  <a:lstStyle/>
                  <a:p>
                    <a:pPr>
                      <a:defRPr sz="900" b="0" i="0" u="none" strike="noStrike" kern="1200" baseline="0">
                        <a:solidFill>
                          <a:schemeClr val="dk1">
                            <a:lumMod val="65000"/>
                            <a:lumOff val="35000"/>
                          </a:schemeClr>
                        </a:solidFill>
                        <a:latin typeface="Rawline" panose="00000500000000000000" pitchFamily="2" charset="0"/>
                        <a:ea typeface="+mn-ea"/>
                        <a:cs typeface="+mn-cs"/>
                      </a:defRPr>
                    </a:pPr>
                    <a:fld id="{12FE911B-6640-43A5-8E67-F532DD4283B2}" type="CATEGORYNAME">
                      <a:rPr lang="en-US" b="0" baseline="0">
                        <a:latin typeface="Rawline" panose="00000500000000000000" pitchFamily="2" charset="0"/>
                      </a:rPr>
                      <a:pPr>
                        <a:defRPr sz="900" b="0" i="0" u="none" strike="noStrike" kern="1200" baseline="0">
                          <a:solidFill>
                            <a:schemeClr val="dk1">
                              <a:lumMod val="65000"/>
                              <a:lumOff val="35000"/>
                            </a:schemeClr>
                          </a:solidFill>
                          <a:latin typeface="Rawline" panose="00000500000000000000" pitchFamily="2" charset="0"/>
                          <a:ea typeface="+mn-ea"/>
                          <a:cs typeface="+mn-cs"/>
                        </a:defRPr>
                      </a:pPr>
                      <a:t>[CATEGORY NAME]</a:t>
                    </a:fld>
                    <a:r>
                      <a:rPr lang="en-US" b="1" baseline="0">
                        <a:latin typeface="Rawline" panose="00000500000000000000" pitchFamily="2" charset="0"/>
                      </a:rPr>
                      <a:t>
</a:t>
                    </a:r>
                    <a:fld id="{4AD63E25-09B5-4078-9279-6AC273FC415C}" type="PERCENTAGE">
                      <a:rPr lang="en-US" b="1" baseline="0">
                        <a:latin typeface="Rawline" panose="00000500000000000000" pitchFamily="2" charset="0"/>
                      </a:rPr>
                      <a:pPr>
                        <a:defRPr sz="900" b="0" i="0" u="none" strike="noStrike" kern="1200" baseline="0">
                          <a:solidFill>
                            <a:schemeClr val="dk1">
                              <a:lumMod val="65000"/>
                              <a:lumOff val="35000"/>
                            </a:schemeClr>
                          </a:solidFill>
                          <a:latin typeface="Rawline" panose="00000500000000000000" pitchFamily="2" charset="0"/>
                          <a:ea typeface="+mn-ea"/>
                          <a:cs typeface="+mn-cs"/>
                        </a:defRPr>
                      </a:pPr>
                      <a:t>[PERCENTAGE]</a:t>
                    </a:fld>
                    <a:endParaRPr lang="en-US" b="1" baseline="0">
                      <a:latin typeface="Rawline" panose="00000500000000000000" pitchFamily="2" charset="0"/>
                    </a:endParaRPr>
                  </a:p>
                </c:rich>
              </c:tx>
              <c:spPr>
                <a:solidFill>
                  <a:srgbClr val="FFFFFF"/>
                </a:solidFill>
                <a:ln>
                  <a:solidFill>
                    <a:srgbClr val="AF9B6D"/>
                  </a:solid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dlblFieldTable/>
                  <c15:showDataLabelsRange val="0"/>
                </c:ext>
                <c:ext xmlns:c16="http://schemas.microsoft.com/office/drawing/2014/chart" uri="{C3380CC4-5D6E-409C-BE32-E72D297353CC}">
                  <c16:uniqueId val="{0000000B-1448-40F2-A14F-643323DBC448}"/>
                </c:ext>
              </c:extLst>
            </c:dLbl>
            <c:spPr>
              <a:solidFill>
                <a:srgbClr val="FFFFFF"/>
              </a:solidFill>
              <a:ln>
                <a:solidFill>
                  <a:srgbClr val="233444">
                    <a:lumMod val="25000"/>
                    <a:lumOff val="75000"/>
                  </a:srgbClr>
                </a:solidFill>
              </a:ln>
              <a:effectLst/>
            </c:spPr>
            <c:txPr>
              <a:bodyPr rot="0" spcFirstLastPara="1" vertOverflow="clip" horzOverflow="clip" vert="horz" wrap="none" lIns="38100" tIns="19050" rIns="38100" bIns="19050" anchor="ctr" anchorCtr="1">
                <a:spAutoFit/>
              </a:bodyPr>
              <a:lstStyle/>
              <a:p>
                <a:pPr>
                  <a:defRPr sz="900" b="0" i="0" u="none" strike="noStrike" kern="1200" baseline="0">
                    <a:solidFill>
                      <a:schemeClr val="dk1">
                        <a:lumMod val="65000"/>
                        <a:lumOff val="35000"/>
                      </a:schemeClr>
                    </a:solidFill>
                    <a:latin typeface="Rawline" panose="00000500000000000000" pitchFamily="2" charset="0"/>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'SM Videos'!$A$2:$A$3</c:f>
              <c:strCache>
                <c:ptCount val="2"/>
                <c:pt idx="0">
                  <c:v>Official</c:v>
                </c:pt>
                <c:pt idx="1">
                  <c:v>Unofficial</c:v>
                </c:pt>
              </c:strCache>
            </c:strRef>
          </c:cat>
          <c:val>
            <c:numRef>
              <c:f>'SM Videos'!$B$2:$B$3</c:f>
              <c:numCache>
                <c:formatCode>0.00%</c:formatCode>
                <c:ptCount val="2"/>
                <c:pt idx="0">
                  <c:v>0.99392956329817317</c:v>
                </c:pt>
                <c:pt idx="1">
                  <c:v>6.0704367018268313E-3</c:v>
                </c:pt>
              </c:numCache>
            </c:numRef>
          </c:val>
          <c:extLst>
            <c:ext xmlns:c16="http://schemas.microsoft.com/office/drawing/2014/chart" uri="{C3380CC4-5D6E-409C-BE32-E72D297353CC}">
              <c16:uniqueId val="{0000000C-1448-40F2-A14F-643323DBC448}"/>
            </c:ext>
          </c:extLst>
        </c:ser>
        <c:dLbls>
          <c:showLegendKey val="0"/>
          <c:showVal val="0"/>
          <c:showCatName val="0"/>
          <c:showSerName val="0"/>
          <c:showPercent val="0"/>
          <c:showBubbleSize val="0"/>
          <c:showLeaderLines val="0"/>
        </c:dLbls>
        <c:firstSliceAng val="150"/>
        <c:holeSize val="70"/>
      </c:doughnutChart>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1055684</xdr:colOff>
      <xdr:row>23</xdr:row>
      <xdr:rowOff>63501</xdr:rowOff>
    </xdr:from>
    <xdr:to>
      <xdr:col>17</xdr:col>
      <xdr:colOff>535809</xdr:colOff>
      <xdr:row>37</xdr:row>
      <xdr:rowOff>25064</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381000</xdr:colOff>
      <xdr:row>9</xdr:row>
      <xdr:rowOff>47625</xdr:rowOff>
    </xdr:from>
    <xdr:to>
      <xdr:col>15</xdr:col>
      <xdr:colOff>256200</xdr:colOff>
      <xdr:row>21</xdr:row>
      <xdr:rowOff>134025</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76200</xdr:colOff>
      <xdr:row>0</xdr:row>
      <xdr:rowOff>95249</xdr:rowOff>
    </xdr:from>
    <xdr:to>
      <xdr:col>11</xdr:col>
      <xdr:colOff>552450</xdr:colOff>
      <xdr:row>22</xdr:row>
      <xdr:rowOff>85724</xdr:rowOff>
    </xdr:to>
    <xdr:graphicFrame macro="">
      <xdr:nvGraphicFramePr>
        <xdr:cNvPr id="2" name="Chart 1">
          <a:extLst>
            <a:ext uri="{FF2B5EF4-FFF2-40B4-BE49-F238E27FC236}">
              <a16:creationId xmlns:a16="http://schemas.microsoft.com/office/drawing/2014/main" id="{00000000-0008-0000-1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581025</xdr:colOff>
      <xdr:row>0</xdr:row>
      <xdr:rowOff>38100</xdr:rowOff>
    </xdr:from>
    <xdr:to>
      <xdr:col>12</xdr:col>
      <xdr:colOff>152625</xdr:colOff>
      <xdr:row>23</xdr:row>
      <xdr:rowOff>104775</xdr:rowOff>
    </xdr:to>
    <xdr:graphicFrame macro="">
      <xdr:nvGraphicFramePr>
        <xdr:cNvPr id="2" name="Chart 1">
          <a:extLst>
            <a:ext uri="{FF2B5EF4-FFF2-40B4-BE49-F238E27FC236}">
              <a16:creationId xmlns:a16="http://schemas.microsoft.com/office/drawing/2014/main" id="{00000000-0008-0000-1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553641</xdr:colOff>
      <xdr:row>2</xdr:row>
      <xdr:rowOff>101202</xdr:rowOff>
    </xdr:from>
    <xdr:to>
      <xdr:col>9</xdr:col>
      <xdr:colOff>233241</xdr:colOff>
      <xdr:row>16</xdr:row>
      <xdr:rowOff>112602</xdr:rowOff>
    </xdr:to>
    <xdr:graphicFrame macro="">
      <xdr:nvGraphicFramePr>
        <xdr:cNvPr id="2" name="Chart 1">
          <a:extLst>
            <a:ext uri="{FF2B5EF4-FFF2-40B4-BE49-F238E27FC236}">
              <a16:creationId xmlns:a16="http://schemas.microsoft.com/office/drawing/2014/main" id="{00000000-0008-0000-1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381000</xdr:colOff>
      <xdr:row>1</xdr:row>
      <xdr:rowOff>95250</xdr:rowOff>
    </xdr:from>
    <xdr:to>
      <xdr:col>14</xdr:col>
      <xdr:colOff>111000</xdr:colOff>
      <xdr:row>13</xdr:row>
      <xdr:rowOff>174450</xdr:rowOff>
    </xdr:to>
    <xdr:graphicFrame macro="">
      <xdr:nvGraphicFramePr>
        <xdr:cNvPr id="2" name="Chart 1">
          <a:extLst>
            <a:ext uri="{FF2B5EF4-FFF2-40B4-BE49-F238E27FC236}">
              <a16:creationId xmlns:a16="http://schemas.microsoft.com/office/drawing/2014/main" id="{00000000-0008-0000-1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SMG.Media\Media\Rolex\2015\Tennis\0815_Davis_Cup_QFs\Davis%20Cup%20QF%20-%20Dedicated%20TV%20Calculations%20(Role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SMG.Media\Media\Formula%20E\2014\Punta%20Del%20Este\Formula%20E%20Uruguay%20Data%20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SMG.Media\Media\Formula%20E\2014\Putrajaya\Formula%20E%20Malaysia%20Data%20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SMG.Media\Media\Rolex\2015\Tennis\0715_Wimbledon\Dedicated%20TV\Wimbledon%20Championships%202015%20Dedicated%20TV%20Calculations%20-%20V2%20recover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SMG.Media\Media\Rolex\2016\Formula%20One\1606%20Monaco%20GP\F1%20Monaco%202016%20-%20Dedicated%20TV%20Calcs%20(merged%20V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michael.lee/Desktop/FA%20Cup%20Round%203%20Replay%202015-16.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SMG.Media\Media\WTA\Tokyo\2016\Toray%20Pan%20Pacific%20Open%20Tokyo%20-%20Dedicated%20TV%20Calc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SMG.Media\Media\Rolex\2016\Golf\1216_Nedbank%20Challenge\Nedbank%20Challenge%20Golf%20Open%202016%20-%20Dedicated%20TV%20Calc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SMG.Media\Media\Rolex\2015\Equestrian\1601%20Chi%20Geneve\CHI%20Age%20Table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SMG.Media\Media\FA%20Reports\England%20Internationals%202014\Dedicated%20TV\England%20Internationals%20TV%20Data%20v3.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SMG.Media\Media\IPTL\2014%20IPTL%20TV%20Data%20V8%20(UFA%20Audienc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I:\SMG.Media\Media\Rolex\2016\Formula%20One\1612%20Abu%20Dhabi%20GP\Copy%20of%20Abu%20Dhabi%20GP%20-%20TV%20Cakcs%20(Recovered).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SMG.Media\Media\Rolex\2015\Motorsport\F1\0915%20Singapore%20GP\Full%20Report\Singapore%20GP%202015%20Dedicated%20TV%20Calc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ldc-fs-v01\SMG%20Insights\Team%20Media\Media\Rolex\2018\F1\1018%20Russia%20GP\F1_Russia_Quick_Report_tables.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I:\SMG.Media\Media\Rolex\2015\Golf\1015_Deutsche_Bank\Deutsche%20Bank%202015%20Dedicated%20TV%20Calcs.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I:\SMG.Media\Media\Rolex\2015\Equestrian\1510%20Spruce%20Meadows\Spruce%20Meadows%20dedicated%20TV%20calcs%20(with%20OL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ing out estimates"/>
      <sheetName val="Sheet6"/>
      <sheetName val="Affiliate"/>
      <sheetName val="Broadcast Data"/>
      <sheetName val="KPIs"/>
      <sheetName val="Slide 7 YoY by Market"/>
      <sheetName val="Slide 8 YoY By Continent"/>
      <sheetName val="Slide 9 Demogs"/>
      <sheetName val="Sheet1"/>
      <sheetName val="Slide 10 Exposure Pivot"/>
      <sheetName val="Slide 11 By Tie"/>
      <sheetName val="Slide 12 -YoY"/>
      <sheetName val="Appendix"/>
      <sheetName val="Exposure (2)"/>
      <sheetName val="Camera 1"/>
      <sheetName val="Distribution"/>
      <sheetName val="Labelling"/>
      <sheetName val="Spot Costs"/>
      <sheetName val="BIS"/>
      <sheetName val="Match IDS"/>
      <sheetName val="VIS Discounts"/>
      <sheetName val="Zen CPTS (ROLEX)"/>
      <sheetName val="Exposure"/>
      <sheetName val="Davis Cup QF - Dedicated TV C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5"/>
      <sheetName val="Audiences"/>
      <sheetName val="Sheet2"/>
      <sheetName val="Sheet6"/>
      <sheetName val="Broadcast Data"/>
      <sheetName val="SeriesPartners"/>
      <sheetName val="Team Exp Piv"/>
      <sheetName val="Charts"/>
      <sheetName val="Virgin PutraCharts"/>
      <sheetName val="Season to date"/>
      <sheetName val="Teams_Exposure"/>
      <sheetName val="BIS"/>
      <sheetName val="Spot Costs"/>
      <sheetName val="Reaches"/>
      <sheetName val="Sheet1"/>
      <sheetName val="Sheet4"/>
      <sheetName val="Sheet3"/>
      <sheetName val="Formula E Uruguay Data v2"/>
      <sheetName val="Formula E Uruguay Data v2.xlsx"/>
      <sheetName val="Sheet8"/>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5"/>
      <sheetName val="Audiences"/>
      <sheetName val="Sheet2"/>
      <sheetName val="Broadcast Data"/>
      <sheetName val="SeriesPartners"/>
      <sheetName val="BIS"/>
      <sheetName val="Team Exp Pivot"/>
      <sheetName val="Charts"/>
      <sheetName val="Charts (2)"/>
      <sheetName val="Season to date"/>
      <sheetName val="Teams_Exposure"/>
      <sheetName val="Reaches"/>
      <sheetName val="Spot Costs"/>
      <sheetName val="Sheet1"/>
      <sheetName val="Sheet4"/>
      <sheetName val="Formula E Malaysia Data v6"/>
      <sheetName val="Broadcaster List - Checks"/>
      <sheetName val="YOY"/>
      <sheetName val="Procurement VLookup"/>
      <sheetName val="C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sheetData sheetId="18"/>
      <sheetData sheetId="1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vot"/>
      <sheetName val="Sheet2"/>
      <sheetName val="Affiliate"/>
      <sheetName val="Programme Averages"/>
      <sheetName val="List of Games"/>
      <sheetName val="Repucom APS"/>
      <sheetName val="Blanks"/>
      <sheetName val="Pan Latin America"/>
      <sheetName val="Pan Lat Am APS"/>
      <sheetName val="Zen CPTS (ROLEX)"/>
      <sheetName val="Estimates pivot"/>
      <sheetName val="Working out estimates"/>
      <sheetName val="Slide 4 - KPIs"/>
      <sheetName val="Slide 7 - YoY by market"/>
      <sheetName val="Slide 8 - YoY by Continent"/>
      <sheetName val="Slide 9 - Demogs"/>
      <sheetName val="Slide 11 - Exposure Pivots"/>
      <sheetName val="Slide 12 -YoY"/>
      <sheetName val="Appendix"/>
      <sheetName val="Split of Live Rpts HLs"/>
      <sheetName val="Sheet7"/>
      <sheetName val="Broadcast Data"/>
      <sheetName val="VIS DIS"/>
      <sheetName val="EXP Data Courts Combined"/>
      <sheetName val="Indian TV Ratings"/>
      <sheetName val="Distribution"/>
      <sheetName val="Host Broadcaster Feed"/>
      <sheetName val="Spot Costs"/>
      <sheetName val="Labelling"/>
      <sheetName val="BIS"/>
      <sheetName val="Sheet1"/>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oadcaster List - Checks"/>
      <sheetName val="Slide 4 - KPIs"/>
      <sheetName val="YoY By Country"/>
      <sheetName val="YoY By Continent"/>
      <sheetName val="Demogs"/>
      <sheetName val="Exp Pivots"/>
      <sheetName val="Appendix"/>
      <sheetName val="Sheet2"/>
      <sheetName val="Sheet3"/>
      <sheetName val="Broadcast Data"/>
      <sheetName val="Exposure Data"/>
      <sheetName val="2015 Data"/>
      <sheetName val="APS"/>
      <sheetName val="Affiliate"/>
      <sheetName val="Sheet1"/>
      <sheetName val="UK Data"/>
      <sheetName val="Procurement VLookup"/>
      <sheetName val="Timezone"/>
      <sheetName val="Zen CPTS"/>
      <sheetName val="BIS"/>
      <sheetName val="F1 Monaco 2016 - Dedicated TV 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urement VLookup"/>
      <sheetName val="Semi Broadcaster List"/>
      <sheetName val="Sheet3"/>
      <sheetName val="FA Cup Round 3 Replay 2015-16"/>
      <sheetName val="FA%20Cup%20Round%203%20Replay%2"/>
      <sheetName val="FA Cup Round 3 Replay 2015-16.x"/>
    </sheetNames>
    <sheetDataSet>
      <sheetData sheetId="0"/>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PIs"/>
      <sheetName val="YOY"/>
      <sheetName val="Day by Day"/>
      <sheetName val="Programme Type"/>
      <sheetName val="Demogs"/>
      <sheetName val="Secondary Media"/>
      <sheetName val="Social Media"/>
      <sheetName val="Appendix"/>
      <sheetName val="Broadcast List - Checks"/>
      <sheetName val="2016 Justification"/>
      <sheetName val="Digital"/>
      <sheetName val="Broadcast Data"/>
      <sheetName val="APS "/>
      <sheetName val="2015 data"/>
      <sheetName val="UK Data"/>
      <sheetName val="Procurement VLookup"/>
      <sheetName val="Spot Costs"/>
      <sheetName val="CST"/>
      <sheetName val="Toray Pan Pacific Open Tokyo -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 By Round Justification"/>
      <sheetName val="Broadcaster List - Checks"/>
      <sheetName val="Broadcast Data"/>
      <sheetName val="Exposure Data"/>
      <sheetName val="Slide 4 - KPIs"/>
      <sheetName val="Slide 5 - KPIs"/>
      <sheetName val="Slide 8 - Country"/>
      <sheetName val="Slide 9 - Continent"/>
      <sheetName val="Slide 10 - Demogs"/>
      <sheetName val="Exposure Pivots"/>
      <sheetName val="Appendix"/>
      <sheetName val="Appendix HHR"/>
      <sheetName val="APS"/>
      <sheetName val="Zen CPTS"/>
      <sheetName val="BIS"/>
      <sheetName val="Affiliate"/>
      <sheetName val="Sheet4"/>
      <sheetName val="UK DATA"/>
      <sheetName val="CST"/>
      <sheetName val="Procurement VLookup"/>
      <sheetName val="Sheet2"/>
      <sheetName val="Working out estimates"/>
      <sheetName val="Affiliate (2)"/>
      <sheetName val="Nedbank Challenge Golf Open 201"/>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5"/>
      <sheetName val="Slide 4 - KPI's"/>
      <sheetName val="Slide 7 - YoY by Country"/>
      <sheetName val="Slide 7 - Graph"/>
      <sheetName val="Slide 8 - YoY by Continent"/>
      <sheetName val="Slide 8 - Graph"/>
      <sheetName val="Slide 9a - Gender"/>
      <sheetName val="Slide 9a - Graph"/>
      <sheetName val="Slide 9b - Ages"/>
      <sheetName val="Sheet8"/>
      <sheetName val="Sheet4"/>
      <sheetName val="Slide 11 Exposure"/>
      <sheetName val="Slide 12 - YOY Graphs (3)"/>
      <sheetName val="Slide 12 - YOY Graphs"/>
      <sheetName val="YOY Graphs"/>
      <sheetName val="Slide 12 - YOY Graphs (2)"/>
      <sheetName val="Appendix"/>
      <sheetName val="Sheet1"/>
      <sheetName val="2014"/>
      <sheetName val="Repucom APS"/>
      <sheetName val="Sheet6"/>
      <sheetName val="Sheet2"/>
      <sheetName val="Demog"/>
      <sheetName val="Broadcast Data"/>
      <sheetName val="Sheet7"/>
      <sheetName val="Sheet3"/>
      <sheetName val="Exposure Data"/>
      <sheetName val="BIS"/>
      <sheetName val="Distribution"/>
      <sheetName val="Labelling"/>
      <sheetName val="Affiliate"/>
      <sheetName val="Host Broadcaster Feed"/>
      <sheetName val="Spot Costs"/>
      <sheetName val="Zen CP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5"/>
      <sheetName val="Broadcast Data"/>
      <sheetName val="Sheet1"/>
      <sheetName val="Sheet2"/>
      <sheetName val="Exposure Pivot Table"/>
      <sheetName val="Exposure"/>
      <sheetName val="Exposure Totals"/>
      <sheetName val="BIS"/>
      <sheetName val="England Internationals TV Data "/>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Cast Pivot"/>
      <sheetName val="Reach %"/>
      <sheetName val="Estimates"/>
      <sheetName val="audit pivot"/>
      <sheetName val="Country-Digital Comparison"/>
      <sheetName val="Region Breakdown"/>
      <sheetName val="UFA Broadcast PT"/>
      <sheetName val="Sheet1"/>
      <sheetName val="Sheet2"/>
      <sheetName val="Sheet3"/>
      <sheetName val="Sheet4"/>
      <sheetName val="Sheet5"/>
      <sheetName val="Sheet6"/>
      <sheetName val="Sheet7"/>
      <sheetName val="Sheet8"/>
      <sheetName val="VIS PIVOT"/>
      <sheetName val="Broadcast Data"/>
      <sheetName val="EXP Pivot"/>
      <sheetName val="Exposure Data"/>
      <sheetName val="Exposure Reference"/>
      <sheetName val="BIS"/>
      <sheetName val="Spot Costs (2)"/>
      <sheetName val="Labelling"/>
      <sheetName val="Vis-Discount"/>
      <sheetName val="Match ID"/>
      <sheetName val="Reaches"/>
      <sheetName val="2014 IPTL TV Data V8 (UFA Audi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6 Justification"/>
      <sheetName val="Broadcaster List - Checks"/>
      <sheetName val="Sheet1"/>
      <sheetName val="YoY Sense Checks"/>
      <sheetName val="Appendix HHR"/>
      <sheetName val="Slide 4 KPIs"/>
      <sheetName val="Slide 5 KPI BCAST"/>
      <sheetName val="Slide 6 KPI SPONSOR"/>
      <sheetName val="Slide 8 YOY Country"/>
      <sheetName val="Slide 9 YOY Continent"/>
      <sheetName val="Slide 10 Demogs"/>
      <sheetName val="Slides 12-14 EXP"/>
      <sheetName val="On Site"/>
      <sheetName val="By Session"/>
      <sheetName val="APPENDIX"/>
      <sheetName val="VALUE BY SESSION"/>
      <sheetName val="Sheet3"/>
      <sheetName val="Broadcast Data"/>
      <sheetName val="Sheet2"/>
      <sheetName val="2015 Data"/>
      <sheetName val="Exposure Data"/>
      <sheetName val="Sheet4"/>
      <sheetName val="APS"/>
      <sheetName val="UK Data"/>
      <sheetName val="Affiliate"/>
      <sheetName val="BIS"/>
      <sheetName val="Procurement VLookup"/>
      <sheetName val="CST"/>
      <sheetName val="Zen CPTS"/>
      <sheetName val="Sheet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Zen CPTS"/>
      <sheetName val="BIS"/>
      <sheetName val="Affiliate"/>
      <sheetName val="Spot Costs"/>
      <sheetName val="Slide 4 - KPIs"/>
      <sheetName val="Slide 7 - YoY Country"/>
      <sheetName val="Slide 8 - YoY Continent"/>
      <sheetName val="Slide 9 - Demogs gender"/>
      <sheetName val="Slide 9 - Demographics new char"/>
      <sheetName val="Slide 10 - EXP Data"/>
      <sheetName val="APPENDIX"/>
      <sheetName val="YOY Graphs"/>
      <sheetName val="Gross Value Comparison"/>
      <sheetName val="Broadcast Data"/>
      <sheetName val="Repucom 2014"/>
      <sheetName val="Exposure Data"/>
      <sheetName val="Distribution Tab"/>
      <sheetName val="Host Broadcaster Feed"/>
      <sheetName val="Labelling"/>
      <sheetName val="Sheet1"/>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PIS - p. 3"/>
      <sheetName val="Rolex - On Site vs Screen"/>
      <sheetName val="On Site Benchmarking"/>
      <sheetName val="Rolex - Screen YoY"/>
      <sheetName val="Watch Manufacturers"/>
      <sheetName val="YOY by Brand &amp; Source Type"/>
      <sheetName val="SM Mentions"/>
      <sheetName val="SM Videos"/>
      <sheetName val="Appendix - Double-Counted"/>
      <sheetName val="Analysis &amp; Insight Pivots"/>
      <sheetName val="Raw Data"/>
      <sheetName val="Look Up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Working out estimates"/>
      <sheetName val="Slide 4 - KPIs"/>
      <sheetName val="Slide 7 - Country"/>
      <sheetName val="Slide 8 - Continent"/>
      <sheetName val="Slide 9 - Demogs (old)"/>
      <sheetName val="Slide 9 - Demographics new char"/>
      <sheetName val="Slide 10 - Exposure"/>
      <sheetName val="Sheet2"/>
      <sheetName val="Broadcast Data"/>
      <sheetName val="Exposure Data"/>
      <sheetName val="Spot Costs"/>
      <sheetName val="Distribution Tab"/>
      <sheetName val="Zen CPTS"/>
      <sheetName val="BIS"/>
      <sheetName val="Labelling"/>
      <sheetName val="Affiliate"/>
      <sheetName val="Host Broadcaster Feed"/>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S"/>
      <sheetName val="Exposure Data"/>
      <sheetName val="Slide 4 - KPIS"/>
      <sheetName val="Slide 7 - Country"/>
      <sheetName val="Slide 8 - Continent"/>
      <sheetName val="Appendix"/>
      <sheetName val="Slide 9 - Gender"/>
      <sheetName val="Slide 9 - Demographics new char"/>
      <sheetName val="Slide 10 - Exposure"/>
      <sheetName val="Broadcast Data"/>
      <sheetName val="Zen CPTS (ROLEX)"/>
      <sheetName val="Affiliate"/>
      <sheetName val="Spot Costs"/>
      <sheetName val="Distribution Tab"/>
      <sheetName val="Host Broadcaster Feed"/>
      <sheetName val="Labelling"/>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ldc-fs-v01\SMG%20Insights\Team%20Media\Media\Rolex\2018\F1\0718%20Hungary%20GP\Charts%20&amp;%20Tables%20-%20Hungary%202018.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Green" refreshedDate="43356.715304050929" createdVersion="5" refreshedVersion="5" minRefreshableVersion="3" recordCount="98" xr:uid="{00000000-000A-0000-FFFF-FFFF00000000}">
  <cacheSource type="worksheet">
    <worksheetSource name="Exposure_BASE" r:id="rId2"/>
  </cacheSource>
  <cacheFields count="11">
    <cacheField name="Tournament" numFmtId="0">
      <sharedItems count="5">
        <s v="Hungarian Grand Prix"/>
        <s v="British Grand Prix" u="1"/>
        <s v="Test" u="1"/>
        <s v="Canadian Grand Prix" u="1"/>
        <s v="Austria Grand Prix" u="1"/>
      </sharedItems>
    </cacheField>
    <cacheField name="Sponsor" numFmtId="0">
      <sharedItems count="38">
        <s v="AWS"/>
        <s v="Bell &amp; Ross"/>
        <s v="Casio"/>
        <s v="Champagne Carbon"/>
        <s v="DHL"/>
        <s v="Emirates"/>
        <s v="F1 TV"/>
        <s v="F1"/>
        <s v="Ferrari"/>
        <s v="FIA Action For Road Safety"/>
        <s v="Force India"/>
        <s v="Haas"/>
        <s v="Heineken"/>
        <s v="Honda"/>
        <s v="Hublot"/>
        <s v="IWC Schaffhausen"/>
        <s v="Johnnie Walker"/>
        <s v="McLaren"/>
        <s v="Mercedes"/>
        <s v="Oris"/>
        <s v="P Zero"/>
        <s v="Pirelli"/>
        <s v="RBR"/>
        <s v="Red Bull"/>
        <s v="Renault"/>
        <s v="Richard Mille"/>
        <s v="Rolex"/>
        <s v="Sauber"/>
        <s v="TAG Heuer"/>
        <s v="Toro Rosso"/>
        <s v="Williams"/>
        <s v="Eyetime" u="1"/>
        <s v="Audemars Piguet" u="1"/>
        <s v="Quebec" u="1"/>
        <s v="F1 Engineered Insanity" u="1"/>
        <s v="Canada" u="1"/>
        <s v="Tata" u="1"/>
        <s v="F1 Experiences" u="1"/>
      </sharedItems>
    </cacheField>
    <cacheField name="Source" numFmtId="0">
      <sharedItems count="54">
        <s v="Screen Graphic"/>
        <s v="Renault Side Pod"/>
        <s v="ToroRosso Nose Top"/>
        <s v="Bottle"/>
        <s v="Podium"/>
        <s v="Podium Room"/>
        <s v="Barrier Sign"/>
        <s v="Free Standing Sign"/>
        <s v="Overhead Sign"/>
        <s v="Pitlane"/>
        <s v="Screen - Circuit Map"/>
        <s v="Ground Mat"/>
        <s v="Interview Backdrop"/>
        <s v="Ferrari Cockpit Outer"/>
        <s v="Ferrari Crew Clothing"/>
        <s v="Ferrari Driver Clothing"/>
        <s v="Ferrari Helmet"/>
        <s v="Ferrari Pits or Garage"/>
        <s v="Mercedes Crew Clothing"/>
        <s v="Mercedes Driver Clothing"/>
        <s v="Mercedes Front Wing"/>
        <s v="Williams Crew Clothing"/>
        <s v="Williams Nose Top"/>
        <s v="Haas Tub Side"/>
        <s v="McLaren Tub Side"/>
        <s v="Sauber Tub Side"/>
        <s v="Bridge"/>
        <s v="Parc Ferme"/>
        <s v="Pitlane Clock"/>
        <s v="Screen - Comparison"/>
        <s v="Screen - Driver ID"/>
        <s v="Screen - Race Sponsor"/>
        <s v="Screen - Results"/>
        <s v="Screen - Tyre Choice"/>
        <s v="RBR Crew Clothing"/>
        <s v="RBR Driver Clothing"/>
        <s v="RBR Engine Cover"/>
        <s v="RBR Halo"/>
        <s v="RBR Pits or Garage"/>
        <s v="RBR Tub Top"/>
        <s v="Haas Nose Side" u="1"/>
        <s v="Net" u="1"/>
        <s v="ToroRosso Driver Clothing" u="1"/>
        <s v="Giant Screen" u="1"/>
        <s v="RBR Helmet" u="1"/>
        <s v="Court End" u="1"/>
        <s v="Corner Clock" u="1"/>
        <s v="McLaren Pits or Garage" u="1"/>
        <s v="Williams Helmet" u="1"/>
        <s v="Williams Driver Clothing" u="1"/>
        <s v="Grandstand" u="1"/>
        <s v="RBR Cockpit Outer" u="1"/>
        <s v="Haas Driver Clothing" u="1"/>
        <s v="Mercedes Pits Or Garage" u="1"/>
      </sharedItems>
    </cacheField>
    <cacheField name="Source Type" numFmtId="0">
      <sharedItems count="3">
        <s v="Screen"/>
        <s v="Team"/>
        <s v="On Site"/>
      </sharedItems>
    </cacheField>
    <cacheField name="Exposure per Hour" numFmtId="0">
      <sharedItems containsSemiMixedTypes="0" containsString="0" containsNumber="1" minValue="0.54965372292585635" maxValue="352.88427411268384"/>
    </cacheField>
    <cacheField name="BIS" numFmtId="0">
      <sharedItems containsSemiMixedTypes="0" containsString="0" containsNumber="1" minValue="0.40000000000000036" maxValue="4.2399999999999993"/>
    </cacheField>
    <cacheField name="Seconds Exposure" numFmtId="165">
      <sharedItems containsSemiMixedTypes="0" containsString="0" containsNumber="1" minValue="1242.2729899110868" maxValue="797554.14001571469"/>
    </cacheField>
    <cacheField name="Gross" numFmtId="0">
      <sharedItems containsString="0" containsBlank="1" containsNumber="1" minValue="210017.07327671687" maxValue="15707066.375063933"/>
    </cacheField>
    <cacheField name="Net" numFmtId="0">
      <sharedItems containsString="0" containsBlank="1" containsNumber="1" minValue="0" maxValue="7510922.8022258524"/>
    </cacheField>
    <cacheField name="Rolex Source" numFmtId="0">
      <sharedItems count="2">
        <s v="N"/>
        <s v="Y"/>
      </sharedItems>
    </cacheField>
    <cacheField name="Total EXP (hh:mm:ss)" numFmtId="0" formula="'Seconds Exposure'/8640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Geaves" refreshedDate="44503.501248726854" createdVersion="5" refreshedVersion="6" minRefreshableVersion="3" recordCount="627" xr:uid="{00000000-000A-0000-FFFF-FFFF04000000}">
  <cacheSource type="worksheet">
    <worksheetSource name="Broadcast_BASE"/>
  </cacheSource>
  <cacheFields count="25">
    <cacheField name="Tournament" numFmtId="0">
      <sharedItems count="6">
        <s v="Event"/>
        <s v="Australia GP" u="1"/>
        <s v="DP World Tour Championship 2019" u="1"/>
        <s v="Nedbank Challenge 2019" u="1"/>
        <s v="Dubai Duty Free Irish Open - 2019" u="1"/>
        <s v="Turkish Airlines Open 2019" u="1"/>
      </sharedItems>
    </cacheField>
    <cacheField name="Broadcast Market" numFmtId="0">
      <sharedItems containsBlank="1" count="91">
        <s v="Argentina"/>
        <s v="Australia"/>
        <s v="Austria"/>
        <s v="Belgium"/>
        <s v="Brazil"/>
        <s v="Canada"/>
        <s v="China"/>
        <s v="Czech Republic"/>
        <s v="Denmark"/>
        <s v="Finland"/>
        <s v="France"/>
        <s v="Germany"/>
        <s v="Hong Kong"/>
        <s v="Hungary"/>
        <s v="India"/>
        <s v="Indonesia"/>
        <s v="Ireland"/>
        <s v="Italy"/>
        <s v="Japan"/>
        <s v="Macau"/>
        <s v="Malaysia"/>
        <s v="Mexico"/>
        <s v="Netherlands"/>
        <s v="New Zealand"/>
        <s v="Pakistan"/>
        <s v="Pan Africa (Sub Sahara)"/>
        <s v="Pan Asia"/>
        <s v="Pan Asia (Indian Subcontinent)"/>
        <s v="Pan C&amp;S America (Caribbean)"/>
        <s v="Pan C&amp;S America (Latin America)"/>
        <s v="Pan Europe"/>
        <s v="Pan Middle East"/>
        <s v="Pan Pacific Rim"/>
        <s v="Philippines"/>
        <s v="Poland"/>
        <s v="Romania"/>
        <s v="Russia"/>
        <s v="Singapore"/>
        <s v="South Africa"/>
        <s v="South Korea"/>
        <s v="Spain"/>
        <s v="Switzerland"/>
        <s v="Taiwan"/>
        <s v="United Kingdom"/>
        <s v="United States"/>
        <s v="Vietnam"/>
        <s v="Digital"/>
        <m u="1"/>
        <s v="Belarus" u="1"/>
        <s v="Luxembourg" u="1"/>
        <s v="Estonia" u="1"/>
        <s v="Colombia" u="1"/>
        <s v="Slovakia" u="1"/>
        <s v="Fiji" u="1"/>
        <s v="Macedonia" u="1"/>
        <s v="Slovenia" u="1"/>
        <s v="North Macedonia" u="1"/>
        <s v="United Arab Emirates" u="1"/>
        <s v="Croatia" u="1"/>
        <s v="Guatemala" u="1"/>
        <s v="Sweden" u="1"/>
        <s v="Turkey" u="1"/>
        <s v="Peru" u="1"/>
        <s v="Pan EurAsia" u="1"/>
        <s v="Global" u="1"/>
        <s v="Malta" u="1"/>
        <s v="Lithuania" u="1"/>
        <s v="Azerbaijan" u="1"/>
        <s v="Puerto Rico" u="1"/>
        <s v="Bulgaria" u="1"/>
        <s v="Latvia" u="1"/>
        <s v="Chile" u="1"/>
        <s v="Kosovo" u="1"/>
        <s v="Serbia" u="1"/>
        <s v="Israel" u="1"/>
        <s v="Bosnia &amp; Herzegovina" u="1"/>
        <s v="Albania" u="1"/>
        <s v="Saudi Arabia" u="1"/>
        <s v="Thailand" u="1"/>
        <s v="Brunei" u="1"/>
        <s v="Georgia" u="1"/>
        <s v="Portugal" u="1"/>
        <s v="Norway" u="1"/>
        <s v="Ukraine" u="1"/>
        <s v="Liechtenstein" u="1"/>
        <s v="Cyprus" u="1"/>
        <s v="Myanmar" u="1"/>
        <s v="Montenegro" u="1"/>
        <s v="Iceland" u="1"/>
        <s v="Andorra" u="1"/>
        <s v="Greece" u="1"/>
      </sharedItems>
    </cacheField>
    <cacheField name="Broadcaster" numFmtId="0">
      <sharedItems containsBlank="1" count="490">
        <s v="ESPN"/>
        <s v="ESPN +"/>
        <s v="ESPN 2"/>
        <s v="ESPN 3"/>
        <s v="SBS"/>
        <s v="Eurosport 1"/>
        <s v="Eurosport 2"/>
        <s v="Servus TV"/>
        <s v="ESPN Extra"/>
        <s v="SporTV 2"/>
        <s v="SporTV 3"/>
        <s v="RDS"/>
        <s v="RDS2"/>
        <s v="TSN"/>
        <s v="TSN2"/>
        <s v="CCTV-5"/>
        <s v="CCTV-5+ Sports Competition"/>
        <s v="Star Sports 1"/>
        <s v="Star Sports 2"/>
        <s v="TV5"/>
        <s v="Fox Sports 1"/>
        <s v="FOX Sports 2"/>
        <s v="Fox Sports 3"/>
        <s v="I Cable Sport"/>
        <s v="Now Sports 4"/>
        <s v="Now Sports 6"/>
        <s v="DD Sports"/>
        <s v="Star Sports Select 1 HD"/>
        <s v="STAR Sports Select 1 SD"/>
        <s v="Star Sports Select 2 HD"/>
        <s v="STAR Sports Select 2 SD"/>
        <s v="Channel 4 Ireland"/>
        <s v="WOWOW Live"/>
        <s v="TDM Desporto"/>
        <s v="Fox Sports 2 HD"/>
        <s v="Fox Sports 3 HD"/>
        <s v="Fox Sports HD"/>
        <s v="PTV Sports"/>
        <s v="SSGrandstand"/>
        <s v="SSMotorsport"/>
        <s v="SSTennis"/>
        <s v="SSVariety1"/>
        <s v="SSVariety2"/>
        <s v="SSVariety4"/>
        <s v="SuperSport 10"/>
        <s v="beIN Sports 2 HD"/>
        <s v="beIN Sports 4 HD"/>
        <s v="beIN Sports 5 HD"/>
        <s v="beIN Sports 6 HD"/>
        <s v="beIN Sports 7 HD"/>
        <s v="Match TV"/>
        <s v="JTBC GOLF &amp; SPORTS"/>
        <s v="RSI La2"/>
        <s v="RTS 2"/>
        <s v="SRF Info"/>
        <s v="SRF2"/>
        <s v="Boss Movement"/>
        <s v="Boss Tennis"/>
        <s v="CH4 (Stagger)"/>
        <s v="AFN Sports"/>
        <s v="AFN Sports 2"/>
        <s v="ESPN Deportes"/>
        <s v="ESPN2"/>
        <s v="Tennis Channel"/>
        <s v="The Thao TV"/>
        <s v="Digital"/>
        <m u="1"/>
        <s v="RTRS" u="1"/>
        <s v="Sky Sports 7" u="1"/>
        <s v="SSFootball" u="1"/>
        <s v="SBS Golf" u="1"/>
        <s v="JTBC3 Fox Sports" u="1"/>
        <s v="CTV Two" u="1"/>
        <s v="Sport Klub 6" u="1"/>
        <s v="TSN 8" u="1"/>
        <s v="ESPNEWS" u="1"/>
        <s v="TDM HD" u="1"/>
        <s v="RTE NEWS NOW" u="1"/>
        <s v="Pick" u="1"/>
        <s v="Ziggo Sport Extra 2" u="1"/>
        <s v="Sky Sport Multifeed Group 3" u="1"/>
        <s v="Silk Sport HD1" u="1"/>
        <s v="Sport 5 4K" u="1"/>
        <s v="CytaVision Sports 2" u="1"/>
        <s v="Cytavision Sports 3" u="1"/>
        <s v="Canal + Decale" u="1"/>
        <s v="SuperSport 1" u="1"/>
        <s v="beIN Sports 1" u="1"/>
        <s v="Polsat" u="1"/>
        <s v="VooSport World 3" u="1"/>
        <s v="Cytavision Sports 4" u="1"/>
        <s v="Cytavision Sports 5" u="1"/>
        <s v="Sky Sport Multifeed Group 4" u="1"/>
        <s v="RTE One" u="1"/>
        <s v="Eurosport" u="1"/>
        <s v="Gem" u="1"/>
        <s v="Sport Klub Golf" u="1"/>
        <s v="TV3 Sport 1" u="1"/>
        <s v="DigiSport 1" u="1"/>
        <s v="PPTV" u="1"/>
        <s v="Cytavision Sports 6" u="1"/>
        <s v="BEIN SPORTS 11 HD EN" u="1"/>
        <s v="DigiSport 2" u="1"/>
        <s v="TV 3+" u="1"/>
        <s v="Voo Sport World 3" u="1"/>
        <s v="DigiSport 3" u="1"/>
        <s v="CCTV5+ Sports Competition Channel" u="1"/>
        <s v="ORF 1" u="1"/>
        <s v="Viasat Sport" u="1"/>
        <s v="DigiSport 4" u="1"/>
        <s v="CCTV5" u="1"/>
        <s v="RTS Deux" u="1"/>
        <s v="NBC Sports" u="1"/>
        <s v="Globo" u="1"/>
        <s v="KSA Sports 1" u="1"/>
        <s v="BeIN Sports 2" u="1"/>
        <s v="M4 Sport" u="1"/>
        <s v="Fox Sports 5" u="1"/>
        <s v="SuperSport 12" u="1"/>
        <s v="Sport Klub 7" u="1"/>
        <s v="RTS 1" u="1"/>
        <s v="YLE Areena" u="1"/>
        <s v="TV TOKYO (TX)" u="1"/>
        <s v="RTE 2" u="1"/>
        <s v="Ziggo Extra" u="1"/>
        <s v="Sky Sport 11" u="1"/>
        <s v="Gala TV" u="1"/>
        <s v="Tipik" u="1"/>
        <s v="Channel 3" u="1"/>
        <s v="Sport TV" u="1"/>
        <s v="Sky Sport Multifeed Group 5" u="1"/>
        <s v="CCTV-5+" u="1"/>
        <s v="VTV Cab 3" u="1"/>
        <s v="Nova Sport 1" u="1"/>
        <s v="Jupiter Golf Network" u="1"/>
        <s v="Bold" u="1"/>
        <s v="Eurosport Norge" u="1"/>
        <s v="Cosmote Sport 5" u="1"/>
        <s v="RTS 3" u="1"/>
        <s v="Viasport +" u="1"/>
        <s v="C More Max" u="1"/>
        <s v="Channel 4" u="1"/>
        <s v="24Vesti" u="1"/>
        <s v="BeIN Sports 3" u="1"/>
        <s v="SuperSport 2" u="1"/>
        <s v="TV3 Max" u="1"/>
        <s v="Guangdong TV Sports Channel" u="1"/>
        <s v="Boss Golf" u="1"/>
        <s v="WIN" u="1"/>
        <s v="TV3+" u="1"/>
        <s v="Canal+ Sport 4" u="1"/>
        <s v="RIK1" u="1"/>
        <s v="Sky Sport Multifeed Group 6" u="1"/>
        <s v="Kanal 5" u="1"/>
        <s v="Canal + (encrypted)" u="1"/>
        <s v="Sky 1 (Stagger)" u="1"/>
        <s v="SKY1" u="1"/>
        <s v="Sky Sport F1" u="1"/>
        <s v="Play Sports 1" u="1"/>
        <s v="Guangdong Golf Channel" u="1"/>
        <s v="Ziggo Sport Docu" u="1"/>
        <s v="Golf Channel Polska" u="1"/>
        <s v="Rik2" u="1"/>
        <s v="Canal+ Sport 3" u="1"/>
        <s v="RTSH 1" u="1"/>
        <s v="BeIN Sports 4" u="1"/>
        <s v="Arena Sport 2" u="1"/>
        <s v="Dubai Sports Channel" u="1"/>
        <s v="FOX Sports 6" u="1"/>
        <s v="Dsports" u="1"/>
        <s v="Sport Klub 8" u="1"/>
        <s v="CCTV5+" u="1"/>
        <s v="Ziggo Golf" u="1"/>
        <s v="Boss Highball 2" u="1"/>
        <s v="Ziggo Sport Select" u="1"/>
        <s v="Match! Planet" u="1"/>
        <s v="Canal+ Sport 2" u="1"/>
        <s v="Fox Sports" u="1"/>
        <s v="Sport TV 4" u="1"/>
        <s v="Nova Sport 2" u="1"/>
        <s v="VTV Cab 23" u="1"/>
        <s v="RTSH Sport" u="1"/>
        <s v="Ziggo Sport Extra" u="1"/>
        <s v="Play Sports 2" u="1"/>
        <s v="Canal + Sport" u="1"/>
        <s v="SuperSport Tennis" u="1"/>
        <s v="ABC" u="1"/>
        <s v="ESPN Latin" u="1"/>
        <s v="Sport TV 3" u="1"/>
        <s v="Polsat Sport Extra" u="1"/>
        <s v="CCTV" u="1"/>
        <s v="BeIN Sports 5" u="1"/>
        <s v="MBC Action" u="1"/>
        <s v="Servus TV Deutschland" u="1"/>
        <s v="DMAX" u="1"/>
        <s v="FOX SPORTS 506" u="1"/>
        <s v="Golf Network" u="1"/>
        <s v="Play Sport 1 HD" u="1"/>
        <s v="Saudi Sports TV" u="1"/>
        <s v="CBS" u="1"/>
        <s v="SonySIX(v)" u="1"/>
        <s v="Play Sports Open" u="1"/>
        <s v="S Sport" u="1"/>
        <s v="CCTV Golf &amp; Tennis" u="1"/>
        <s v="NTV" u="1"/>
        <s v="TV 2 Sport X" u="1"/>
        <s v="Hub Sports 3" u="1"/>
        <s v="FOX Sports 505" u="1"/>
        <s v="MCOT HD" u="1"/>
        <s v="Viasat Motor" u="1"/>
        <s v="Polsat Sport News HD" u="1"/>
        <s v="Play Sports 3" u="1"/>
        <s v="PRIME" u="1"/>
        <s v="GOLFTV" u="1"/>
        <s v="BBC1" u="1"/>
        <s v="RTCG1" u="1"/>
        <s v="RTL" u="1"/>
        <s v="TV10" u="1"/>
        <s v="N-TV GESAMT" u="1"/>
        <s v="Ziggo Sport Tennis" u="1"/>
        <s v="BeIN Sports 6" u="1"/>
        <s v="Arena Sport 4" u="1"/>
        <s v="RTCG2" u="1"/>
        <s v="Sport Klub 1" u="1"/>
        <s v="BeIN Sports 1 HD" u="1"/>
        <s v="NHK" u="1"/>
        <s v="Teleclub 1-30 Live" u="1"/>
        <s v="THE GOLF CHANNEL" u="1"/>
        <s v="BBC2" u="1"/>
        <s v="Sport Klub 9" u="1"/>
        <s v="BeIN Sports 13" u="1"/>
        <s v="Nova Sports 4" u="1"/>
        <s v="ESPN Caribbean" u="1"/>
        <s v="Sky Sports Mix" u="1"/>
        <s v="Nova Sport 3" u="1"/>
        <s v="Golf +" u="1"/>
        <s v="TV 2" u="1"/>
        <s v="FOX SPORTS 503" u="1"/>
        <s v="JTBC" u="1"/>
        <s v="Max Sport 1" u="1"/>
        <s v="Sky Sport Golf" u="1"/>
        <s v="Max Sport 2" u="1"/>
        <s v="ITV3" u="1"/>
        <s v="Max Sport 3" u="1"/>
        <s v="TV2 Sport" u="1"/>
        <s v="beIN Sports 12" u="1"/>
        <s v="TV3 SPORT" u="1"/>
        <s v="2 Golf" u="1"/>
        <s v="Sony ESPN(v)" u="1"/>
        <s v="Sky Sport News" u="1"/>
        <s v="BeIN Sports 7" u="1"/>
        <s v="Arena Sport 5" u="1"/>
        <s v="TVASAHI(EX)" u="1"/>
        <s v="Golf Channel Thailand" u="1"/>
        <s v="Sky 1" u="1"/>
        <s v="FBC TV" u="1"/>
        <s v="TDM" u="1"/>
        <s v="STÖÐ 2 Sport 4" u="1"/>
        <s v="France 2" u="1"/>
        <s v="ArtMotion 1" u="1"/>
        <s v="TDT" u="1"/>
        <s v="MTV3" u="1"/>
        <s v="ITV4" u="1"/>
        <s v="Play Sport 2 HD" u="1"/>
        <s v="First Automotive Channel" u="1"/>
        <s v="NHK E" u="1"/>
        <s v="Elite Sports" u="1"/>
        <s v="Canal+" u="1"/>
        <s v="Dajto" u="1"/>
        <s v="#VAMOS" u="1"/>
        <s v="ESPN2 Caribbean" u="1"/>
        <s v="Sport TV+" u="1"/>
        <s v="Fox Sports Taiwan" u="1"/>
        <s v="Sport Klub HD" u="1"/>
        <s v="Canal+ NOW" u="1"/>
        <s v="Travel Channel" u="1"/>
        <s v="UNIVISION DEPORTES" u="1"/>
        <s v="Nova Sport 24" u="1"/>
        <s v="Eurosport HD" u="1"/>
        <s v="ZDF" u="1"/>
        <s v="C More Sport 2" u="1"/>
        <s v="Idman TV" u="1"/>
        <s v="NHK G" u="1"/>
        <s v="BeIN Sports HD 5" u="1"/>
        <s v="BeIN Sports 10" u="1"/>
        <s v="BeIN Sports 8" u="1"/>
        <s v="Arena Sport 6" u="1"/>
        <s v="Guangdong Sports" u="1"/>
        <s v="Sport Klub 2" u="1"/>
        <s v="ERT Sports" u="1"/>
        <s v="GO!" u="1"/>
        <s v="Belarus 5" u="1"/>
        <s v="France 3" u="1"/>
        <s v="Sony Ten 3" u="1"/>
        <s v="Sony Six" u="1"/>
        <s v="C More Sport 1" u="1"/>
        <s v="Silk Universal" u="1"/>
        <s v="GRT Sports" u="1"/>
        <s v="Skynet" u="1"/>
        <s v="Claro Sports" u="1"/>
        <s v="9Go!" u="1"/>
        <s v="Golf Channel" u="1"/>
        <s v="Sony Ten 2" u="1"/>
        <s v="Sky Sport 24" u="1"/>
        <s v="YLE2" u="1"/>
        <s v="Sony ESPN" u="1"/>
        <s v="Nova Sport 4" u="1"/>
        <s v="Sony Ten 1" u="1"/>
        <s v="Telekom Sport 1" u="1"/>
        <s v="Match! Our Sport" u="1"/>
        <s v="Play Sports 1 HD" u="1"/>
        <s v="Polsat Sport" u="1"/>
        <s v="BeIN Sports 9" u="1"/>
        <s v="BNT 2" u="1"/>
        <s v="VooSport World 1" u="1"/>
        <s v="Telekom Sport 3" u="1"/>
        <s v="SuperSport 5" u="1"/>
        <s v="Match Arena" u="1"/>
        <s v="Great Sports" u="1"/>
        <s v="ORF Sport +" u="1"/>
        <s v="BNT 3" u="1"/>
        <s v="BBC 1" u="1"/>
        <s v="France 4" u="1"/>
        <s v="Shanghai TV Great Sports Channel" u="1"/>
        <s v="Play Sport 3 HD" u="1"/>
        <s v="FOX SPORTS NEWS 500" u="1"/>
        <s v="Ziggo Sport" u="1"/>
        <s v="BBC 2" u="1"/>
        <s v="Sky Sport Arena" u="1"/>
        <s v="Play Sports 2 HD" u="1"/>
        <s v="Sport 1" u="1"/>
        <s v="Sport 2" u="1"/>
        <s v="Star Sports 3" u="1"/>
        <s v="SPTV" u="1"/>
        <s v="Sport 5" u="1"/>
        <s v="Golf+ HD" u="1"/>
        <s v="Ziggo Sport Racing" u="1"/>
        <s v="Sport Klub 3" u="1"/>
        <s v="Univision" u="1"/>
        <s v="Play Sports HD 1" u="1"/>
        <s v="Canal + Sport 3" u="1"/>
        <s v="ESPN+" u="1"/>
        <s v="Viasat Golf" u="1"/>
        <s v="Canal + Sport 4" u="1"/>
        <s v="Nova Sport 5" u="1"/>
        <s v="SCA Nine/NBN" u="1"/>
        <s v="STAR Sports Select 2" u="1"/>
        <s v="Now Golf" u="1"/>
        <s v="Channel 4+1" u="1"/>
        <s v="Play Sports 3 HD" u="1"/>
        <s v="TRT 2" u="1"/>
        <s v="Ziggo Sport Golf" u="1"/>
        <s v="Three" u="1"/>
        <s v="Sport TV2" u="1"/>
        <s v="TSN1" u="1"/>
        <s v="Band Sports" u="1"/>
        <s v="ESPN 2 Caribbean" u="1"/>
        <s v="SuperSport 6" u="1"/>
        <s v="C More Golf" u="1"/>
        <s v="Play Sport 4 HD" u="1"/>
        <s v="Movistar Deportes 1" u="1"/>
        <s v="SuperSport Grandstand" u="1"/>
        <s v="TVNZ DUKE" u="1"/>
        <s v="Sport TV3" u="1"/>
        <s v="Sportcast" u="1"/>
        <s v="CT2" u="1"/>
        <s v="CT3" u="1"/>
        <s v="SSGolf" u="1"/>
        <s v="Sky Sport 252" u="1"/>
        <s v="Play Sports 4 HD" u="1"/>
        <s v="Sport TV4" u="1"/>
        <s v="Sport 5 Plus" u="1"/>
        <s v="BBC Scotland" u="1"/>
        <s v="ONE SPORTS+" u="1"/>
        <s v="Sport Klub 4" u="1"/>
        <s v="Sport 5 HD" u="1"/>
        <s v="RTV SLO 2" u="1"/>
        <s v="RTVS2" u="1"/>
        <s v="Sport TV5" u="1"/>
        <s v="Cytavision Sports HD" u="1"/>
        <s v="Play Sports 5 HD" u="1"/>
        <s v="CCTV Golf &amp;Tennis" u="1"/>
        <s v="La Deux" u="1"/>
        <s v="GolfStodin" u="1"/>
        <s v="BeIN Sports 13 HD" u="1"/>
        <s v="Super Tennis" u="1"/>
        <s v="beIN Sports 8 HD" u="1"/>
        <s v="Golf HD" u="1"/>
        <s v="VooSport World 2" u="1"/>
        <s v="Star Sports 1 HD" u="1"/>
        <s v="Nine" u="1"/>
        <s v="Now Golf 3" u="1"/>
        <s v="Sky Sport Uno" u="1"/>
        <s v="ERT1" u="1"/>
        <s v="Play Sport 5 HD" u="1"/>
        <s v="BeIN Sports 12 HD" u="1"/>
        <s v="Now Golf 2" u="1"/>
        <s v="TV3" u="1"/>
        <s v="SilkNet" u="1"/>
        <s v="TV8" u="1"/>
        <s v="NHKBS1" u="1"/>
        <s v="Now Golf 1" u="1"/>
        <s v="Play Sports 6 HD" u="1"/>
        <s v="K+PC" u="1"/>
        <s v="Viasat Urheilu" u="1"/>
        <s v="TVA" u="1"/>
        <s v="ERT Sport" u="1"/>
        <s v="Voo Sport World 1" u="1"/>
        <s v="ERT2" u="1"/>
        <s v="TRT Spor Yildiz" u="1"/>
        <s v="beIN Sports 11 HD" u="1"/>
        <s v="beIN Sports 9 HD" u="1"/>
        <s v="Setanta Sports +" u="1"/>
        <s v="TVN" u="1"/>
        <s v="TVO" u="1"/>
        <s v="STAR Sports 2(v)" u="1"/>
        <s v="Eleven Sports 1" u="1"/>
        <s v="MOVISTAR F1" u="1"/>
        <s v="Eleven Sports 2" u="1"/>
        <s v="Sport Klub 5" u="1"/>
        <s v="WOWOW Prime" u="1"/>
        <s v="TRT SPOR" u="1"/>
        <s v="Play Sport Golf" u="1"/>
        <s v="XTVn" u="1"/>
        <s v="Sky Sport Multifeed Group 1" u="1"/>
        <s v="NBC" u="1"/>
        <s v="ERT3" u="1"/>
        <s v="BeIN Sports 10 HD" u="1"/>
        <s v="Channel 4 + 1" u="1"/>
        <s v="FOX SPORTS MORE" u="1"/>
        <s v="Sport 5 Live" u="1"/>
        <s v="Play Sports Golf" u="1"/>
        <s v="TSN 1" u="1"/>
        <s v="SuperSport Variety 2" u="1"/>
        <s v="ELTA Sports 1" u="1"/>
        <s v="Adjara Sport 2" u="1"/>
        <s v="NBN" u="1"/>
        <s v="S Sport 2" u="1"/>
        <s v="9Gem" u="1"/>
        <s v="Teleclub Sport" u="1"/>
        <s v="Sky Wimbledon 1" u="1"/>
        <s v="Ten Sports" u="1"/>
        <s v="CT Sport" u="1"/>
        <s v="Channel 2 Sport" u="1"/>
        <s v="TSN 2" u="1"/>
        <s v="Sky Sports F1" u="1"/>
        <s v="SuperSport Variety 4" u="1"/>
        <s v="Sky Sports Main Event" u="1"/>
        <s v="Sky Wimbledon 2" u="1"/>
        <s v="MOVISTARGOLF" u="1"/>
        <s v="Sky Sport 1" u="1"/>
        <s v="Sky Sport 2" u="1"/>
        <s v="Sky Wimbledon 3" u="1"/>
        <s v="Sony ESPN HD" u="1"/>
        <s v="Sky Sport 3" u="1"/>
        <s v="Movistar Golf" u="1"/>
        <s v="TSN 3" u="1"/>
        <s v="STAR Sports 3(v)" u="1"/>
        <s v="Sky Sport 4" u="1"/>
        <s v="Sky Wimbledon 4" u="1"/>
        <s v="Match! The Country" u="1"/>
        <s v="Sky Sport 5" u="1"/>
        <s v="Adjara Sport 1" u="1"/>
        <s v="Sky Sport 6" u="1"/>
        <s v="Canal+ Sport" u="1"/>
        <s v="Sky Wimbledon 5" u="1"/>
        <s v="SuperSport 8" u="1"/>
        <s v="TSN 4" u="1"/>
        <s v="Sky Sport 8" u="1"/>
        <s v="Sky Wimbledon 6" u="1"/>
        <s v="Sky Sport 9" u="1"/>
        <s v="Sony Ten 3 HD" u="1"/>
        <s v="Sky Sport Multifeed Group 2" u="1"/>
        <s v="Silk Sport HD3" u="1"/>
        <s v="Sky Sports Golf" u="1"/>
        <s v="Play Sport 6 HD" u="1"/>
        <s v="JTBC Golf" u="1"/>
        <s v="TSN 5" u="1"/>
        <s v="ELTA SPORTS 2" u="1"/>
        <s v="V Sport Golf" u="1"/>
        <s v="Sony Ten 2 HD" u="1"/>
        <s v="GolfNetwork" u="1"/>
        <s v="TSN 6" u="1"/>
        <s v="Voo Sport World 2" u="1"/>
        <s v="Diema" u="1"/>
        <s v="BeIN Sports" u="1"/>
        <s v="VTVcab" u="1"/>
        <s v="Sony Ten 1 HD" u="1"/>
        <s v="Astro Supersport" u="1"/>
        <s v="TSN 7" u="1"/>
      </sharedItems>
    </cacheField>
    <cacheField name="Programme Type" numFmtId="0">
      <sharedItems containsBlank="1" count="5">
        <s v="Live"/>
        <s v="Repeats/Delayed"/>
        <s v="Highlights"/>
        <m u="1"/>
        <s v="Digital" u="1"/>
      </sharedItems>
    </cacheField>
    <cacheField name="Broadcast Duration" numFmtId="46">
      <sharedItems containsSemiMixedTypes="0" containsNonDate="0" containsDate="1" containsString="0" minDate="1899-12-30T00:30:00" maxDate="1900-01-07T17:30:00"/>
    </cacheField>
    <cacheField name="Audience" numFmtId="0">
      <sharedItems containsSemiMixedTypes="0" containsString="0" containsNumber="1" minValue="8.356944351450581" maxValue="16528600"/>
    </cacheField>
    <cacheField name="Rolex EXP" numFmtId="46">
      <sharedItems containsSemiMixedTypes="0" containsNonDate="0" containsDate="1" containsString="0" minDate="1899-12-30T00:01:10" maxDate="1899-12-30T13:42:59"/>
    </cacheField>
    <cacheField name="Rolex G" numFmtId="0">
      <sharedItems containsSemiMixedTypes="0" containsString="0" containsNumber="1" minValue="2.2206100833459108" maxValue="12996921.535725407"/>
    </cacheField>
    <cacheField name="Rolex N" numFmtId="0">
      <sharedItems containsSemiMixedTypes="0" containsString="0" containsNumber="1" minValue="0.61651740281587564" maxValue="3698360.6338043101"/>
    </cacheField>
    <cacheField name="Dashboard Rated?" numFmtId="0">
      <sharedItems containsBlank="1"/>
    </cacheField>
    <cacheField name="Broadcast Continent" numFmtId="0">
      <sharedItems containsBlank="1" count="9">
        <s v="Central &amp; South America"/>
        <s v="Asia Pacific"/>
        <s v="Europe"/>
        <s v="North America"/>
        <s v="Africa &amp; Middle East"/>
        <s v="Digital"/>
        <m u="1"/>
        <s v="Global" u="1"/>
        <e v="#N/A" u="1"/>
      </sharedItems>
    </cacheField>
    <cacheField name="Digital?" numFmtId="0">
      <sharedItems count="3">
        <s v="N"/>
        <s v="Y"/>
        <e v="#N/A" u="1"/>
      </sharedItems>
    </cacheField>
    <cacheField name="Pan Region?" numFmtId="0">
      <sharedItems count="2">
        <s v="N"/>
        <s v="Y"/>
      </sharedItems>
    </cacheField>
    <cacheField name="Pay TV vs. FTA" numFmtId="0">
      <sharedItems count="4">
        <s v="Pay TV"/>
        <s v="Free-to-Air"/>
        <s v="Digital"/>
        <e v="#N/A" u="1"/>
      </sharedItems>
    </cacheField>
    <cacheField name="Household Reach" numFmtId="3">
      <sharedItems containsMixedTypes="1" containsNumber="1" minValue="0" maxValue="393350661"/>
    </cacheField>
    <cacheField name="Rolex S" numFmtId="165">
      <sharedItems containsSemiMixedTypes="0" containsString="0" containsNumber="1" minValue="70.497544397704047" maxValue="49378.745637594991"/>
    </cacheField>
    <cacheField name="Rated?" numFmtId="165">
      <sharedItems containsBlank="1" count="3">
        <s v="N"/>
        <s v="Y"/>
        <m u="1"/>
      </sharedItems>
    </cacheField>
    <cacheField name="Men Rat#" numFmtId="0">
      <sharedItems containsNonDate="0" containsString="0" containsBlank="1"/>
    </cacheField>
    <cacheField name="Women Rat#" numFmtId="0">
      <sharedItems containsNonDate="0" containsString="0" containsBlank="1"/>
    </cacheField>
    <cacheField name="Rolex EXP (hh:mm:ss)" numFmtId="0" formula="'Rolex S'/86400" databaseField="0"/>
    <cacheField name="EPH" numFmtId="0" formula="('Rolex EXP'/'Broadcast Duration')*3600" databaseField="0"/>
    <cacheField name="Rolex Only EXP (hh:mm:ss)" numFmtId="0" formula="#NAME?/86400" databaseField="0"/>
    <cacheField name="Rolex Only EPH" numFmtId="0" formula="('Rolex Only EXP (hh:mm:ss)'/'Broadcast Duration')*3600" databaseField="0"/>
    <cacheField name="Rolex Series Only EXP (hh:mm:ss)" numFmtId="0" formula="#NAME?/86400" databaseField="0"/>
    <cacheField name="Rolex Series Only EPH" numFmtId="0" formula="('Rolex Series Only EXP (hh:mm:ss)'/'Broadcast Duration')*360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Geaves" refreshedDate="44503.501251851849" createdVersion="6" refreshedVersion="6" minRefreshableVersion="3" recordCount="579" xr:uid="{00000000-000A-0000-FFFF-FFFF13000000}">
  <cacheSource type="worksheet">
    <worksheetSource name="Historic_BCast_BASE"/>
  </cacheSource>
  <cacheFields count="20">
    <cacheField name="Tournament" numFmtId="0">
      <sharedItems containsBlank="1" count="4">
        <s v="US Open 2020"/>
        <m u="1"/>
        <s v="TOUR Championship" u="1"/>
        <s v="The Championships, Wimbledon" u="1"/>
      </sharedItems>
    </cacheField>
    <cacheField name="Broadcast Market" numFmtId="0">
      <sharedItems containsBlank="1" count="85">
        <s v="Argentina"/>
        <s v="Australia"/>
        <s v="Austria"/>
        <s v="Belgium"/>
        <s v="Brazil"/>
        <s v="Canada"/>
        <s v="China"/>
        <s v="Czech Republic"/>
        <s v="Denmark"/>
        <s v="France"/>
        <s v="Germany"/>
        <s v="Hong Kong"/>
        <s v="Hungary"/>
        <s v="India"/>
        <s v="Indonesia"/>
        <s v="Italy"/>
        <s v="Japan"/>
        <s v="Macau"/>
        <s v="Malaysia"/>
        <s v="Mexico"/>
        <s v="Netherlands"/>
        <s v="Pakistan"/>
        <s v="Pan Africa (Sub Sahara)"/>
        <s v="Pan Asia"/>
        <s v="Pan Asia (Indian Subcontinent)"/>
        <s v="Pan C&amp;S America (Caribbean)"/>
        <s v="Pan C&amp;S America (Latin America)"/>
        <s v="Pan Europe"/>
        <s v="Pan Middle East"/>
        <s v="Pan Pacific Rim"/>
        <s v="Philippines"/>
        <s v="Poland"/>
        <s v="Romania"/>
        <s v="Russia"/>
        <s v="Singapore"/>
        <s v="South Africa"/>
        <s v="South Korea"/>
        <s v="Spain"/>
        <s v="Switzerland"/>
        <s v="Taiwan"/>
        <s v="United States"/>
        <s v="Vietnam"/>
        <s v="Digital"/>
        <m u="1"/>
        <s v="Belarus" u="1"/>
        <s v="Luxembourg" u="1"/>
        <s v="Estonia" u="1"/>
        <s v="Colombia" u="1"/>
        <s v="Slovakia" u="1"/>
        <s v="Fiji" u="1"/>
        <s v="Macedonia" u="1"/>
        <s v="Slovenia" u="1"/>
        <s v="North Macedonia" u="1"/>
        <s v="United Arab Emirates" u="1"/>
        <s v="Croatia" u="1"/>
        <s v="Sweden" u="1"/>
        <s v="Turkey" u="1"/>
        <s v="Peru" u="1"/>
        <s v="Pan EurAsia" u="1"/>
        <s v="Malta" u="1"/>
        <s v="Lithuania" u="1"/>
        <s v="New Zealand" u="1"/>
        <s v="Bulgaria" u="1"/>
        <s v="Latvia" u="1"/>
        <s v="Chile" u="1"/>
        <s v="United Kingdom" u="1"/>
        <s v="Serbia" u="1"/>
        <s v="Israel" u="1"/>
        <s v="Bosnia &amp; Herzegovina" u="1"/>
        <s v="Albania" u="1"/>
        <s v="Thailand" u="1"/>
        <s v="Brunei" u="1"/>
        <s v="Georgia" u="1"/>
        <s v="Ireland" u="1"/>
        <s v="Portugal" u="1"/>
        <s v="Norway" u="1"/>
        <s v="Central America" u="1"/>
        <s v="Ukraine" u="1"/>
        <s v="Liechtenstein" u="1"/>
        <s v="Cyprus" u="1"/>
        <s v="Finland" u="1"/>
        <s v="Montenegro" u="1"/>
        <s v="Iceland" u="1"/>
        <s v="Andorra" u="1"/>
        <s v="Greece" u="1"/>
      </sharedItems>
    </cacheField>
    <cacheField name="Broadcaster" numFmtId="0">
      <sharedItems containsBlank="1" count="398">
        <s v="ESPN +"/>
        <s v="ESPN 2"/>
        <s v="ESPN 3"/>
        <s v="ESPN Latin"/>
        <s v="ESPN"/>
        <s v="SBS"/>
        <s v="Eurosport"/>
        <s v="Eurosport 2"/>
        <s v="ORF Sport +"/>
        <s v="Servus TV"/>
        <s v="EEN"/>
        <s v="ESPN Extra"/>
        <s v="SporTV 3"/>
        <s v="RDS"/>
        <s v="RDS2"/>
        <s v="TSN"/>
        <s v="TSN2"/>
        <s v="CCTV Golf &amp;Tennis"/>
        <s v="CCTV-5"/>
        <s v="CCTV-5+ Sports Competition"/>
        <s v="Star Sports 1"/>
        <s v="Star Sports 2"/>
        <s v="Eurosport 1"/>
        <s v="Fox Sports"/>
        <s v="FOX Sports 2"/>
        <s v="Fox Sports 3"/>
        <s v="Star Sports Select 1 HD"/>
        <s v="STAR Sports Select 1 SD"/>
        <s v="Star Sports Select 2 HD"/>
        <s v="STAR Sports Select 2 SD"/>
        <s v="Fox Sports 1"/>
        <s v="WOWOW Live"/>
        <s v="WOWOW Prime"/>
        <s v="TDM Desporto"/>
        <s v="Fox Sports 2 HD"/>
        <s v="Fox Sports 3 HD"/>
        <s v="Fox Sports HD"/>
        <s v="PTV Sports"/>
        <s v="Ten Sports"/>
        <s v="SSGrandstand"/>
        <s v="SSMotorsport"/>
        <s v="SSTennis"/>
        <s v="SSVariety1"/>
        <s v="SSVariety2"/>
        <s v="SSVariety4"/>
        <s v="SuperSport 10"/>
        <s v="ESPN Caribbean"/>
        <s v="ESPN2 Caribbean"/>
        <s v="Claro Sports"/>
        <s v="beIN Sports 11 HD"/>
        <s v="BeIN Sports 12 HD"/>
        <s v="BeIN Sports 13 HD"/>
        <s v="beIN Sports 7 HD"/>
        <s v="beIN Sports 8 HD"/>
        <s v="beIN Sports 9 HD"/>
        <s v="Perviy Kanal"/>
        <s v="JTBC GOLF &amp; SPORTS"/>
        <s v="Movistar Deportes 1"/>
        <s v="RSI La2"/>
        <s v="RTS Deux"/>
        <s v="SRF2"/>
        <s v="ESPN Deportes"/>
        <s v="Tennis Channel"/>
        <s v="The Thao TV"/>
        <s v="Digital"/>
        <m u="1"/>
        <s v="iQiyi" u="1"/>
        <s v="RTRS" u="1"/>
        <s v="FOX Sports 4" u="1"/>
        <s v="JTBC3 Fox Sports" u="1"/>
        <s v="CTV Two" u="1"/>
        <s v="Sport Klub 6" u="1"/>
        <s v="TSN 8" u="1"/>
        <s v="ESPNEWS" u="1"/>
        <s v="Sky Sport Multifeed Group 3" u="1"/>
        <s v="SRF Info" u="1"/>
        <s v="Teleclub Sport 1" u="1"/>
        <s v="CH Ontario (CHCH)" u="1"/>
        <s v="BS Asahi" u="1"/>
        <s v="Golfstoddin" u="1"/>
        <s v="DD Sports" u="1"/>
        <s v="FOX" u="1"/>
        <s v="Sports HD TV" u="1"/>
        <s v="SuperSport 1" u="1"/>
        <s v="beIN Sports 1" u="1"/>
        <s v="VooSport World 3" u="1"/>
        <s v="Golfstödin" u="1"/>
        <s v="SuperSport 9" u="1"/>
        <s v="HTV 2" u="1"/>
        <s v="SporTV" u="1"/>
        <s v="Sky Sport Multifeed Group 4" u="1"/>
        <s v="Gem" u="1"/>
        <s v="Sport Klub Golf" u="1"/>
        <s v="TV3 Sport 1" u="1"/>
        <s v="PPTV" u="1"/>
        <s v="BEIN SPORTS 11 HD EN" u="1"/>
        <s v="TV 3+" u="1"/>
        <s v="Voo Sport World 3" u="1"/>
        <s v="ORF 1" u="1"/>
        <s v="Viasat Sport" u="1"/>
        <s v="CCTV5" u="1"/>
        <s v="NBC Sports" u="1"/>
        <s v="BeIN Sports 2" u="1"/>
        <s v="Fox Sports 5" u="1"/>
        <s v="SuperSport 12" u="1"/>
        <s v="Sport Klub 7" u="1"/>
        <s v="RTS 1" u="1"/>
        <s v="YLE Areena" u="1"/>
        <s v="TV TOKYO (TX)" u="1"/>
        <s v="Ziggo Extra" u="1"/>
        <s v="Sky Sport 11" u="1"/>
        <s v="Tipik" u="1"/>
        <s v="Sport TV" u="1"/>
        <s v="Sky Sport Multifeed Group 5" u="1"/>
        <s v="CCTV-5+" u="1"/>
        <s v="VTV Cab 3" u="1"/>
        <s v="RTS 2" u="1"/>
        <s v="La 1" u="1"/>
        <s v="Nova Sport 1" u="1"/>
        <s v="Star Sports HD 2" u="1"/>
        <s v="Eurosport Norge" u="1"/>
        <s v="RTS 3" u="1"/>
        <s v="7TWO" u="1"/>
        <s v="C More Max" u="1"/>
        <s v="Silknet HD1" u="1"/>
        <s v="FOX Deportes" u="1"/>
        <s v="Silknet HD3" u="1"/>
        <s v="BeIN Sports 3" u="1"/>
        <s v="SuperSport 2" u="1"/>
        <s v="TV ASAHI (EX)" u="1"/>
        <s v="Canal+ Sport 4" u="1"/>
        <s v="K+PM HD" u="1"/>
        <s v="Nova Sports 1" u="1"/>
        <s v="Kanal 5" u="1"/>
        <s v="Play Sports 1" u="1"/>
        <s v="Golf Channel Polska" u="1"/>
        <s v="BeIN Sports 4" u="1"/>
        <s v="Cytavision Sports HD 1" u="1"/>
        <s v="Cytavision Sports HD 2" u="1"/>
        <s v="Cytavision Sports HD 3" u="1"/>
        <s v="Cytavision Sports HD 4" u="1"/>
        <s v="Cytavision Sports HD 5" u="1"/>
        <s v="Cytavision Sports HD 6" u="1"/>
        <s v="FOX Sports 6" u="1"/>
        <s v="Dsports" u="1"/>
        <s v="Sport Klub 8" u="1"/>
        <s v="CCTV5+" u="1"/>
        <s v="Ziggo Golf" u="1"/>
        <s v="Boss Highball 2" u="1"/>
        <s v="Go Sports" u="1"/>
        <s v="Ziggo Sport Select" u="1"/>
        <s v="Match! Planet" u="1"/>
        <s v="Nova Sports 2" u="1"/>
        <s v="Canal+ Sport 2" u="1"/>
        <s v="Sport TV 4" u="1"/>
        <s v="Teleclub Sport 2" u="1"/>
        <s v="Nova Sport 2" u="1"/>
        <s v="RTSH Sport" u="1"/>
        <s v="Canal + Sport" u="1"/>
        <s v="ABC" u="1"/>
        <s v="Sport TV 3" u="1"/>
        <s v="Polsat Sport Extra" u="1"/>
        <s v="BeIN Sports 5" u="1"/>
        <s v="SuperSport 3" u="1"/>
        <s v="DMAX" u="1"/>
        <s v="Eir Sport 1" u="1"/>
        <s v="SporTV 2" u="1"/>
        <s v="Golf Network" u="1"/>
        <s v="Sky Sport Multifeed Group 11" u="1"/>
        <s v="Sport Klub 10" u="1"/>
        <s v="CBS" u="1"/>
        <s v="SonySIX(v)" u="1"/>
        <s v="Nova Sports 3" u="1"/>
        <s v="CCTV Golf &amp; Tennis" u="1"/>
        <s v="TV 2 Sport X" u="1"/>
        <s v="Hub Sports 3" u="1"/>
        <s v="FOX Sports 505" u="1"/>
        <s v="MCOT HD" u="1"/>
        <s v="Polsat Sport News HD" u="1"/>
        <s v="PRIME" u="1"/>
        <s v="BBC1" u="1"/>
        <s v="Nova Action" u="1"/>
        <s v="BeIN Sports 6" u="1"/>
        <s v="ITV HD" u="1"/>
        <s v="Sport Klub 1" u="1"/>
        <s v="BeIN Sports 1 HD" u="1"/>
        <s v="Kanal 12" u="1"/>
        <s v="Teleclub 1-30 Live" u="1"/>
        <s v="Fox Sports 7" u="1"/>
        <s v="The Golf Channel" u="1"/>
        <s v="BBC2" u="1"/>
        <s v="Sport Klub 9" u="1"/>
        <s v="5 Plus" u="1"/>
        <s v="Nova Sports 4" u="1"/>
        <s v="Sky Sports Mix" u="1"/>
        <s v="ESPN Internacional" u="1"/>
        <s v="K+PCHD" u="1"/>
        <s v="Nova Sport 3" u="1"/>
        <s v="Golf +" u="1"/>
        <s v="TV 2" u="1"/>
        <s v="FOX SPORTS 503" u="1"/>
        <s v="JTBC" u="1"/>
        <s v="Max Sport 1" u="1"/>
        <s v="Sky Sport Golf" u="1"/>
        <s v="Max Sport 2" u="1"/>
        <s v="Max Sport 3" u="1"/>
        <s v="TV2 Sport" u="1"/>
        <s v="5 Live" u="1"/>
        <s v="Sony ESPN(v)" u="1"/>
        <s v="Sky Sport News" u="1"/>
        <s v="SBSgolf" u="1"/>
        <s v="FBC TV" u="1"/>
        <s v="Star Sports Select HD1" u="1"/>
        <s v="Star Sports Select HD2" u="1"/>
        <s v="TDM" u="1"/>
        <s v="France 2" u="1"/>
        <s v="TDT" u="1"/>
        <s v="ITV4" u="1"/>
        <s v="Teledeporte" u="1"/>
        <s v="NHK E" u="1"/>
        <s v="Canal+" u="1"/>
        <s v="Nova Sports 5" u="1"/>
        <s v="Dajto" u="1"/>
        <s v="#VAMOS" u="1"/>
        <s v="Saran" u="1"/>
        <s v="Sport TV+" u="1"/>
        <s v="JGN+" u="1"/>
        <s v="Fox Sports Taiwan" u="1"/>
        <s v="Sport Klub HD" u="1"/>
        <s v="Travel Channel" u="1"/>
        <s v="Eurosport HD" u="1"/>
        <s v="C More Sport 2" u="1"/>
        <s v="NHK G" u="1"/>
        <s v="Sport Klub 2" u="1"/>
        <s v="Belarus 5" u="1"/>
        <s v="Supertennis" u="1"/>
        <s v="Silknet UNI" u="1"/>
        <s v="PRIME7/7QLD" u="1"/>
        <s v="France 3" u="1"/>
        <s v="Sony Ten 3" u="1"/>
        <s v="Sony Six" u="1"/>
        <s v="5 Sport 4k" u="1"/>
        <s v="C More Sport 1" u="1"/>
        <s v="GRT Sports" u="1"/>
        <s v="9Go!" u="1"/>
        <s v="Golf Channel" u="1"/>
        <s v="WOWOW" u="1"/>
        <s v="Sony Ten 2" u="1"/>
        <s v="Sky Sport 24" u="1"/>
        <s v="Viaplay" u="1"/>
        <s v="Sony ESPN" u="1"/>
        <s v="Nova Sport 4" u="1"/>
        <s v="CS Asahi" u="1"/>
        <s v="Sony Ten 1" u="1"/>
        <s v="Play Sports 1 HD" u="1"/>
        <s v="Polsat Sport" u="1"/>
        <s v="VooSport World 1" u="1"/>
        <s v="CTV Two Barrie/Toronto (CKVR)" u="1"/>
        <s v="SuperSport 5" u="1"/>
        <s v="Great Sports" u="1"/>
        <s v="BNT 3" u="1"/>
        <s v="OSN SPORTS 3 HD" u="1"/>
        <s v="BBC 1" u="1"/>
        <s v="France 4" u="1"/>
        <s v="Nova Sports 24" u="1"/>
        <s v="Southern Cross Tas" u="1"/>
        <s v="Shanghai TV Great Sports Channel" u="1"/>
        <s v="One Sports" u="1"/>
        <s v="Ziggo Sport" u="1"/>
        <s v="BBC 2" u="1"/>
        <s v="Play Sports 7" u="1"/>
        <s v="Ziggo Select" u="1"/>
        <s v="1TV" u="1"/>
        <s v="Sport 1" u="1"/>
        <s v="Star Sports 3" u="1"/>
        <s v="Sport 5" u="1"/>
        <s v="Golf+ HD" u="1"/>
        <s v="Sport Klub 3" u="1"/>
        <s v="Vodafone TV" u="1"/>
        <s v="Match Game" u="1"/>
        <s v="YLE TV2" u="1"/>
        <s v="EDGE Sport" u="1"/>
        <s v="GreatSports Channel" u="1"/>
        <s v="7MATE" u="1"/>
        <s v="ESPN+" u="1"/>
        <s v="Viasat Golf" u="1"/>
        <s v="Canal + Sport 4" u="1"/>
        <s v="Nova Sport 5" u="1"/>
        <s v="SCA Nine/NBN" u="1"/>
        <s v="SportKanalen" u="1"/>
        <s v="Ziggo Sport Golf" u="1"/>
        <s v="Sport TV2" u="1"/>
        <s v="beIN Sports 6 HD" u="1"/>
        <s v="TSN1" u="1"/>
        <s v="RTCG 2" u="1"/>
        <s v="Band Sports" u="1"/>
        <s v="SuperSport 6" u="1"/>
        <s v="C More Golf" u="1"/>
        <s v="BeIN Sports 16 HD" u="1"/>
        <s v="TVNZ DUKE" u="1"/>
        <s v="Sport TV3" u="1"/>
        <s v="CT2" u="1"/>
        <s v="SSGolf" u="1"/>
        <s v="BeIN Sports 15 HD" u="1"/>
        <s v="Sport TV4" u="1"/>
        <s v="Sport 5 Plus" u="1"/>
        <s v="BBC Scotland" u="1"/>
        <s v="ONE SPORTS+" u="1"/>
        <s v="Sport Klub 4" u="1"/>
        <s v="Match TV" u="1"/>
        <s v="ČT2" u="1"/>
        <s v="beIN Sports News HD" u="1"/>
        <s v="RTV SLO 2" u="1"/>
        <s v="beIN Sports 14 HD" u="1"/>
        <s v="CCTV - Golf &amp; Tennis" u="1"/>
        <s v="RTVS2" u="1"/>
        <s v="Cytavision Sports HD" u="1"/>
        <s v="BeIN Sports 4K" u="1"/>
        <s v="La Deux" u="1"/>
        <s v="GolfStodin" u="1"/>
        <s v="ITV" u="1"/>
        <s v="Super Tennis" u="1"/>
        <s v="CH Vancouver (CHEK)" u="1"/>
        <s v="Golf HD" u="1"/>
        <s v="VooSport World 2" u="1"/>
        <s v="Nine" u="1"/>
        <s v="Now Golf 3" u="1"/>
        <s v="SuperSport 7" u="1"/>
        <s v="Teleclub 1" u="1"/>
        <s v="ERT1" u="1"/>
        <s v="SilkNet" u="1"/>
        <s v="NHKBS1" u="1"/>
        <s v="Now Golf 1" u="1"/>
        <s v="K+PC" u="1"/>
        <s v="TVA" u="1"/>
        <s v="ERT Sport" u="1"/>
        <s v="Voo Sport World 1" u="1"/>
        <s v="TVN" u="1"/>
        <s v="TVO" u="1"/>
        <s v="Eleven Sports 1" u="1"/>
        <s v="Star Sports 2 HD" u="1"/>
        <s v="S Sport 1" u="1"/>
        <s v="HTV2" u="1"/>
        <s v="Sport Klub 5" u="1"/>
        <s v="VTVcab 18" u="1"/>
        <s v="Sky Sport Multifeed Group 1" u="1"/>
        <s v="K+PC HD" u="1"/>
        <s v="NBC" u="1"/>
        <s v="Play Sports HD 2" u="1"/>
        <s v="BeIN Sports 10 HD" u="1"/>
        <s v="FOX SPORTS MORE" u="1"/>
        <s v="Play Sports Golf" u="1"/>
        <s v="TSN 1" u="1"/>
        <s v="NBN" u="1"/>
        <s v="9Gem" u="1"/>
        <s v="TV Asahi" u="1"/>
        <s v="Sky Wimbledon 1" u="1"/>
        <s v="CT Sport" u="1"/>
        <s v="TSN 2" u="1"/>
        <s v="Sky Sports Main Event" u="1"/>
        <s v="Sky Wimbledon 2" u="1"/>
        <s v="MOVISTARGOLF" u="1"/>
        <s v="Sky Sport 1" u="1"/>
        <s v="Sky Sport 2" u="1"/>
        <s v="Sky Wimbledon 3" u="1"/>
        <s v="Sony ESPN HD" u="1"/>
        <s v="Sky Sport 3" u="1"/>
        <s v="Movistar Golf" u="1"/>
        <s v="TSN 3" u="1"/>
        <s v="Sky Sport 4" u="1"/>
        <s v="Sky Wimbledon 4" u="1"/>
        <s v="NPO2" u="1"/>
        <s v="Sky Sport 5" u="1"/>
        <s v="Sky Sport 6" u="1"/>
        <s v="Canal+ Sport" u="1"/>
        <s v="Sky Wimbledon 5" u="1"/>
        <s v="Dubai Sports 2" u="1"/>
        <s v="SuperSport 8" u="1"/>
        <s v="TSN 4" u="1"/>
        <s v="Sky Sport 8" u="1"/>
        <s v="Sky Wimbledon 6" u="1"/>
        <s v="Sky Sport 9" u="1"/>
        <s v="Sony Ten 3 HD" u="1"/>
        <s v="Sky Sport Multifeed Group 2" u="1"/>
        <s v="Sky Sports Golf" u="1"/>
        <s v="ČT Sport" u="1"/>
        <s v="JTBC Golf" u="1"/>
        <s v="C More Golf HD" u="1"/>
        <s v="TSN 5" u="1"/>
        <s v="ELTA SPORTS 2" u="1"/>
        <s v="NPO3" u="1"/>
        <s v="Sony Ten 2 HD" u="1"/>
        <s v="Play Sports 8 HD" u="1"/>
        <s v="GolfNetwork" u="1"/>
        <s v="TSN 6" u="1"/>
        <s v="Voo Sport World 2" u="1"/>
        <s v="Sony Ten 1 HD" u="1"/>
        <s v="TSN 7" u="1"/>
      </sharedItems>
    </cacheField>
    <cacheField name="Programme Type" numFmtId="0">
      <sharedItems containsBlank="1" count="5">
        <s v="Live"/>
        <s v="Repeats/Delayed"/>
        <s v="Highlights"/>
        <s v="Digital"/>
        <m u="1"/>
      </sharedItems>
    </cacheField>
    <cacheField name="Broadcast Duration" numFmtId="46">
      <sharedItems containsSemiMixedTypes="0" containsNonDate="0" containsDate="1" containsString="0" minDate="1899-12-30T00:12:11" maxDate="1900-01-06T21:39:00"/>
    </cacheField>
    <cacheField name="Audience" numFmtId="0">
      <sharedItems containsSemiMixedTypes="0" containsString="0" containsNumber="1" minValue="0" maxValue="25596125"/>
    </cacheField>
    <cacheField name="Rolex EXP" numFmtId="46">
      <sharedItems containsSemiMixedTypes="0" containsNonDate="0" containsDate="1" containsString="0" minDate="1899-12-30T00:01:09" maxDate="1899-12-30T18:02:11"/>
    </cacheField>
    <cacheField name="Rolex G" numFmtId="0">
      <sharedItems containsSemiMixedTypes="0" containsString="0" containsNumber="1" minValue="0" maxValue="16796931.09121925"/>
    </cacheField>
    <cacheField name="Rolex N" numFmtId="0">
      <sharedItems containsSemiMixedTypes="0" containsString="0" containsNumber="1" minValue="0" maxValue="4998805.5206386782"/>
    </cacheField>
    <cacheField name="Dashboard Rated?" numFmtId="0">
      <sharedItems containsBlank="1"/>
    </cacheField>
    <cacheField name="Broadcast Continent" numFmtId="0">
      <sharedItems count="7">
        <s v="Central &amp; South America"/>
        <s v="Asia Pacific"/>
        <s v="Europe"/>
        <s v="North America"/>
        <s v="Africa &amp; Middle East"/>
        <s v="Digital"/>
        <e v="#N/A" u="1"/>
      </sharedItems>
    </cacheField>
    <cacheField name="Digital?" numFmtId="0">
      <sharedItems count="3">
        <s v="N"/>
        <s v="Y"/>
        <e v="#N/A" u="1"/>
      </sharedItems>
    </cacheField>
    <cacheField name="Pan Region?" numFmtId="0">
      <sharedItems/>
    </cacheField>
    <cacheField name="Pay TV vs. FTA" numFmtId="0">
      <sharedItems count="4">
        <s v="Pay TV"/>
        <s v="Free-to-Air"/>
        <s v="Digital"/>
        <e v="#N/A" u="1"/>
      </sharedItems>
    </cacheField>
    <cacheField name="Household Reach" numFmtId="3">
      <sharedItems containsMixedTypes="1" containsNumber="1" minValue="0" maxValue="393350661"/>
    </cacheField>
    <cacheField name="Rolex S" numFmtId="165">
      <sharedItems containsSemiMixedTypes="0" containsString="0" containsNumber="1" minValue="69.101283880171209" maxValue="64930.982967179414"/>
    </cacheField>
    <cacheField name="Rated?" numFmtId="165">
      <sharedItems/>
    </cacheField>
    <cacheField name="Men Rat#" numFmtId="0">
      <sharedItems containsNonDate="0" containsString="0" containsBlank="1"/>
    </cacheField>
    <cacheField name="Women Rat#" numFmtId="0">
      <sharedItems containsNonDate="0" containsString="0" containsBlank="1"/>
    </cacheField>
    <cacheField name="EPH" numFmtId="0" formula="('Rolex EXP'/'Broadcast Duration')*360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Geaves" refreshedDate="44503.501254513889" createdVersion="6" refreshedVersion="6" minRefreshableVersion="3" recordCount="153" xr:uid="{00000000-000A-0000-FFFF-FFFF02000000}">
  <cacheSource type="worksheet">
    <worksheetSource name="Historic_EXP_BASE"/>
  </cacheSource>
  <cacheFields count="17">
    <cacheField name="Tournament" numFmtId="0">
      <sharedItems/>
    </cacheField>
    <cacheField name="Sponsor" numFmtId="0">
      <sharedItems containsBlank="1" count="143">
        <s v="American Express"/>
        <s v="Bermuda"/>
        <s v="Body Armor"/>
        <s v="Camera1"/>
        <s v="Chase"/>
        <s v="Chubb"/>
        <s v="Deloitte"/>
        <s v="Emirates"/>
        <s v="ESPN"/>
        <s v="Evian"/>
        <s v="IBM"/>
        <s v="IHG"/>
        <s v="JP Morgan"/>
        <s v="Mercedes Benz"/>
        <s v="Ralph Lauren"/>
        <s v="Rolex"/>
        <s v="Spectrum"/>
        <s v="US Open"/>
        <s v="usopen.org"/>
        <s v="USTA"/>
        <s v="Wilson"/>
        <m u="1"/>
        <s v="Lacoste" u="1"/>
        <s v="HSBC" u="1"/>
        <s v="Develop" u="1"/>
        <s v="Toyo Tires" u="1"/>
        <s v="Grupo Salinas" u="1"/>
        <s v="Lexus" u="1"/>
        <s v="Destination NSW" u="1"/>
        <s v="DP World" u="1"/>
        <s v="Calvin Klein" u="1"/>
        <s v="ISPS Handa PGA Tour of Australasia" u="1"/>
        <s v="AIG WBO" u="1"/>
        <s v="ANA" u="1"/>
        <s v="BMW" u="1"/>
        <s v="Mitsubishi" u="1"/>
        <s v="Woburn Golf Club" u="1"/>
        <s v="Arnold Clark" u="1"/>
        <s v="Regnum" u="1"/>
        <s v="Sauber" u="1"/>
        <s v="Renault" u="1"/>
        <s v="Dunlop" u="1"/>
        <s v="NEC" u="1"/>
        <s v="ITO EN" u="1"/>
        <s v="St Jude" u="1"/>
        <s v="Rory Foundation" u="1"/>
        <s v="Toro Rosso" u="1"/>
        <s v="Loch Lomond Whiskies" u="1"/>
        <s v="Toptracer" u="1"/>
        <s v="Mexico" u="1"/>
        <s v="cdw" u="1"/>
        <s v="Bidvest" u="1"/>
        <s v="Alfa Romeo" u="1"/>
        <s v="FedEx" u="1"/>
        <s v="Oris" u="1"/>
        <s v="Pirelli" u="1"/>
        <s v="ANZ" u="1"/>
        <s v="IMG" u="1"/>
        <s v="McLaren" u="1"/>
        <s v="Dubai Duty Free" u="1"/>
        <s v="DHL" u="1"/>
        <s v="Bank Of Ireland" u="1"/>
        <s v="Kia" u="1"/>
        <s v="Carbon" u="1"/>
        <s v="Tourism &amp; Events Queensland" u="1"/>
        <s v="Hero" u="1"/>
        <s v="Tourism WA" u="1"/>
        <s v="Epic Flash" u="1"/>
        <s v="Force India" u="1"/>
        <s v="Melbourne" u="1"/>
        <s v="Antalya Airport" u="1"/>
        <s v="Red Bull" u="1"/>
        <s v="Asian Tour" u="1"/>
        <s v="Ferrari" u="1"/>
        <s v="Mastercard" u="1"/>
        <s v="TAG Heuer" u="1"/>
        <s v="Race to CME Globe" u="1"/>
        <s v="Ricoh" u="1"/>
        <s v="Ishga" u="1"/>
        <s v="Ganten" u="1"/>
        <s v="Tata" u="1"/>
        <s v="F1 Experiences" u="1"/>
        <s v="Engie" u="1"/>
        <s v="IWC Schaffhausen" u="1"/>
        <s v="Haas" u="1"/>
        <s v="Turkish Airlines" u="1"/>
        <s v="Infosys" u="1"/>
        <s v="Bell &amp; Ross" u="1"/>
        <s v="Mission Hills" u="1"/>
        <s v="Zurich" u="1"/>
        <s v="Waste Management" u="1"/>
        <s v="AgBioEn" u="1"/>
        <s v="Robinsons" u="1"/>
        <s v="Jumeirah Golf Estates" u="1"/>
        <s v="Millennium Golf" u="1"/>
        <s v="Highland Spring" u="1"/>
        <s v="Rancho Mirage" u="1"/>
        <s v="Slazenger" u="1"/>
        <s v="BNP Paribas" u="1"/>
        <s v="European Tour" u="1"/>
        <s v="Grey Goose" u="1"/>
        <s v="Sunshine Tour" u="1"/>
        <s v="Ruck Maul" u="1"/>
        <s v="Jaguar" u="1"/>
        <s v="Mercedes" u="1"/>
        <s v="Opet" u="1"/>
        <s v="P Zero" u="1"/>
        <s v="Allergan" u="1"/>
        <s v="Marriott Bonvoy" u="1"/>
        <s v="Atlantis" u="1"/>
        <s v="Rolex Series" u="1"/>
        <s v="Audemars Piguet" u="1"/>
        <s v="Cisco Systems" u="1"/>
        <s v="Vodacom" u="1"/>
        <s v="Nedbank" u="1"/>
        <s v="R&amp;A" u="1"/>
        <s v="Perrier" u="1"/>
        <s v="Dell" u="1"/>
        <s v="Honda" u="1"/>
        <s v="Richard Mille" u="1"/>
        <s v="Titleist" u="1"/>
        <s v="Stella Artois" u="1"/>
        <s v="F1" u="1"/>
        <s v="Acer" u="1"/>
        <s v="Hublot" u="1"/>
        <s v="Bovet" u="1"/>
        <s v="Race to Dubai" u="1"/>
        <s v="Oppo" u="1"/>
        <s v="Sportoto" u="1"/>
        <s v="Guojiao 1573" u="1"/>
        <s v="AIG" u="1"/>
        <s v="Hilton" u="1"/>
        <s v="Japan Golf Tour" u="1"/>
        <s v="Casio" u="1"/>
        <s v="Australia" u="1"/>
        <s v="PWC" u="1"/>
        <s v="Heineken" u="1"/>
        <s v="Peugeot" u="1"/>
        <s v="Williams" u="1"/>
        <s v="Sun International" u="1"/>
        <s v="Consumer Cellular" u="1"/>
        <s v="ATP Cup" u="1"/>
        <s v="CME Group" u="1"/>
      </sharedItems>
    </cacheField>
    <cacheField name="Source" numFmtId="0">
      <sharedItems count="240">
        <s v="Backwall Corner Signage"/>
        <s v="Broadcaster Activation Signage"/>
        <s v="Fan Cam"/>
        <s v="Lower Ring Signage"/>
        <s v="Screen Graphic"/>
        <s v="Screen Graphic - Fan Cam"/>
        <s v="Screen Text"/>
        <s v="Sidewall Signage"/>
        <s v="Signage on the Grounds"/>
        <s v="Upper Ring Signage"/>
        <s v="LED Board"/>
        <s v="Ball Cooler Branding"/>
        <s v="Bottle"/>
        <s v="Camera1"/>
        <s v="Backwall Signage"/>
        <s v="Line Judge Box"/>
        <s v="Review Graphic"/>
        <s v="Ball Flight Target"/>
        <s v="Giant Screen"/>
        <s v="Sports Cafe Sign"/>
        <s v="Videoboard"/>
        <s v="Practice Pavillion"/>
        <s v="Ice Box"/>
        <s v="Radar Signage"/>
        <s v="Upper Ring LED"/>
        <s v="Car"/>
        <s v="Net Signage"/>
        <s v="Apparel Branding"/>
        <s v="Equipment"/>
        <s v="Line Judge Clothing"/>
        <s v="Officials Clothing"/>
        <s v="Player Mat"/>
        <s v="Player Seatback"/>
        <s v="Umpire Clothing"/>
        <s v="Arthur Ashe Stadium Sign (Exterior)"/>
        <s v="Corner Clock"/>
        <s v="Game Duration Graphic"/>
        <s v="Grandstand Clock"/>
        <s v="Off Court Clock"/>
        <s v="Scoreboard"/>
        <s v="Microphone Chair Branding"/>
        <s v="Umpire Chair Branding"/>
        <s v="Ball"/>
        <s v="Chair"/>
        <s v="Face Mask"/>
        <s v="General Product Branding"/>
        <s v="Grandstand"/>
        <s v="Lanyard"/>
        <s v="Magazine"/>
        <s v="Media Backdrop"/>
        <s v="Poster"/>
        <s v="Screen Flash"/>
        <s v="Shot Clock"/>
        <s v="Trophy"/>
        <s v="Trophy Table"/>
        <s v="Tunnel"/>
        <s v="Tee Clock - Vignette" u="1"/>
        <s v="Hole 05 Yardage Board" u="1"/>
        <s v="Hole 06 Yardage Board" u="1"/>
        <s v="Hole 07 Yardage Board" u="1"/>
        <s v="Hole 09 Yardage Board" u="1"/>
        <s v="Hole 14 Yardage Board" u="1"/>
        <s v="Hole 15 Yardage Board" u="1"/>
        <s v="Hole 18 Yardage Board" u="1"/>
        <s v="Radio" u="1"/>
        <s v="Screen - Rules of Golf" u="1"/>
        <s v="Hole 01 Flag" u="1"/>
        <s v="Grace Clothing" u="1"/>
        <s v="Screen - Amateur Leaderboard" u="1"/>
        <s v="Hole 03 Flag" u="1"/>
        <s v="Umpire Chair" u="1"/>
        <s v="Hole 05 Flag" u="1"/>
        <s v="Tent" u="1"/>
        <s v="Tee Signage" u="1"/>
        <s v="Hole 01 Tee Signage" u="1"/>
        <s v="Hole 04 Tee Signage" u="1"/>
        <s v="Hole 05 Tee Signage" u="1"/>
        <s v="Hole 07 Tee Signage" u="1"/>
        <s v="Hole 08 Tee Signage" u="1"/>
        <s v="Hole 09 Tee Signage" u="1"/>
        <s v="Hole 11 Tee Signage" u="1"/>
        <s v="Hole 13 Tee Signage" u="1"/>
        <s v="Hole 14 Tee Signage" u="1"/>
        <s v="Hole 15 Tee Signage" u="1"/>
        <s v="Hole 17 Tee Signage" u="1"/>
        <s v="Hole 18 Tee Signage" u="1"/>
        <s v="Hole 06 Flag" u="1"/>
        <s v="Boat" u="1"/>
        <s v="Hole 07 Flag" u="1"/>
        <s v="Hole 08 Flag" u="1"/>
        <s v="Course Sign" u="1"/>
        <s v="Line Judge Chair" u="1"/>
        <s v="Player Entrance" u="1"/>
        <s v="Poulter Clothing" u="1"/>
        <s v="Hole 01 Tee Fence" u="1"/>
        <s v="Hole 03 Tee Fence" u="1"/>
        <s v="Hole 05 Tee Fence" u="1"/>
        <s v="Hole 06 Tee Fence" u="1"/>
        <s v="Hole 07 Tee Fence" u="1"/>
        <s v="Hole 08 Tee Fence" u="1"/>
        <s v="Hole 09 Tee Fence" u="1"/>
        <s v="Hole 10 Tee Fence" u="1"/>
        <s v="Hole 11 Tee Fence" u="1"/>
        <s v="Hole 13 Tee Fence" u="1"/>
        <s v="Hole 14 Tee Fence" u="1"/>
        <s v="Hole 15 Tee Fence" u="1"/>
        <s v="Hole 17 Tee Fence" u="1"/>
        <s v="Hole 18 Tee Fence" u="1"/>
        <s v="Player Area" u="1"/>
        <s v="Ball Boy Clothing" u="1"/>
        <s v="Ball Kid Clothing" u="1"/>
        <s v="Hole 09 Green Grandstand" u="1"/>
        <s v="Hole 12 Green Grandstand" u="1"/>
        <s v="Hole 13 Green Grandstand" u="1"/>
        <s v="Hole 14 Green Grandstand" u="1"/>
        <s v="Hole 15 Green Grandstand" u="1"/>
        <s v="Hole 16 Green Grandstand" u="1"/>
        <s v="Hole 17 Green Grandstand" u="1"/>
        <s v="Hole 18 Green Grandstand" u="1"/>
        <s v="Pin Flag" u="1"/>
        <s v="Screen - Standings" u="1"/>
        <s v="Screen - Event Info" u="1"/>
        <s v="Course Signage" u="1"/>
        <s v="Kerr Clothing" u="1"/>
        <s v="Willett Clothing" u="1"/>
        <s v="Net" u="1"/>
        <s v="Clock" u="1"/>
        <s v="Hole 06 Tee Billboard" u="1"/>
        <s v="Hole 08 Tee Billboard" u="1"/>
        <s v="Hole 10 Tee Billboard" u="1"/>
        <s v="Hole 11 Tee Billboard" u="1"/>
        <s v="Hole 16 Tee Billboard" u="1"/>
        <s v="Hole 17 Tee Billboard" u="1"/>
        <s v="Hole 18 Tee Billboard" u="1"/>
        <s v="Screen - Groupings" u="1"/>
        <s v="Tee Fence" u="1"/>
        <s v="Flag" u="1"/>
        <s v="Binoculars" u="1"/>
        <s v="Caddie Bib" u="1"/>
        <s v="Training Kit" u="1"/>
        <s v="Practice Area Clock" u="1"/>
        <s v="Ball Bin" u="1"/>
        <s v="Park Clothing" u="1"/>
        <s v="Net Box" u="1"/>
        <s v="Screen - Backing U.S. Open fans" u="1"/>
        <s v="Screen - Wipe" u="1"/>
        <s v="Umbrella" u="1"/>
        <s v="Screen - Break Bumper" u="1"/>
        <s v="Cheque" u="1"/>
        <s v="Player Clothing" u="1"/>
        <s v="Clock - Court Side" u="1"/>
        <s v="Screen - Recap" u="1"/>
        <s v="Yardage Board" u="1"/>
        <s v="Hatton Clothing" u="1"/>
        <s v="Mascot Clothing" u="1"/>
        <s v="Hole 01 Tee Clock" u="1"/>
        <s v="Hole 04 Tee Clock" u="1"/>
        <s v="Hole 06 Tee Clock" u="1"/>
        <s v="Hole 07 Tee Clock" u="1"/>
        <s v="Hole 09 Tee Clock" u="1"/>
        <s v="Hole 10 Tee Clock" u="1"/>
        <s v="Hole 13 Tee Clock" u="1"/>
        <s v="Hole 14 Tee Clock" u="1"/>
        <s v="Hole 17 Tee Clock" u="1"/>
        <s v="Hole 18 Tee Clock" u="1"/>
        <s v="Hole 18 Green Clock" u="1"/>
        <s v="Court End - Review Graphic" u="1"/>
        <s v="Court End" u="1"/>
        <s v="Court Side" u="1"/>
        <s v="Screen - Stats" u="1"/>
        <s v="Tee Marker" u="1"/>
        <s v="Cup Tunnel" u="1"/>
        <s v="Screen Text - Standings" u="1"/>
        <s v="Hole 11 Fairway Signage" u="1"/>
        <s v="Tee Grandstand" u="1"/>
        <s v="Hole 12 Green Signage" u="1"/>
        <s v="Hole 18 Green Signage" u="1"/>
        <s v="Screen Logo" u="1"/>
        <s v="Entrance Signage" u="1"/>
        <s v="Screen - Top Tracer" u="1"/>
        <s v="Schauffele Clothing" u="1"/>
        <s v="Board - Feature" u="1"/>
        <s v="Screen - Sting" u="1"/>
        <s v="Ground Mat" u="1"/>
        <s v="Microphone" u="1"/>
        <s v="Lake Sign" u="1"/>
        <s v="Hole 04 Scoreboard" u="1"/>
        <s v="Hole 09 Scoreboard" u="1"/>
        <s v="Hole 12 Scoreboard" u="1"/>
        <s v="Hole 16 Scoreboard" u="1"/>
        <s v="Hole 17 Scoreboard" u="1"/>
        <s v="Hole 18 Scoreboard" u="1"/>
        <s v="Spectator Merchandise" u="1"/>
        <s v="Westwood Clothing" u="1"/>
        <s v="Player Clothing - Poulter" u="1"/>
        <s v="Hole 01 Tee Marker" u="1"/>
        <s v="Hole 03 Tee Marker" u="1"/>
        <s v="Hole 04 Tee Marker" u="1"/>
        <s v="Hole 05 Tee Marker" u="1"/>
        <s v="Hole 06 Tee Marker" u="1"/>
        <s v="Hole 07 Tee Marker" u="1"/>
        <s v="Hole 08 Tee Marker" u="1"/>
        <s v="Hole 09 Tee Marker" u="1"/>
        <s v="Hole 10 Tee Marker" u="1"/>
        <s v="Hole 11 Tee Marker" u="1"/>
        <s v="Hole 12 Tee Marker" u="1"/>
        <s v="Hole 13 Tee Marker" u="1"/>
        <s v="Hole 14 Tee Marker" u="1"/>
        <s v="Hole 15 Tee Marker" u="1"/>
        <s v="Hole 16 Tee Marker" u="1"/>
        <s v="Hole 17 Tee Marker" u="1"/>
        <s v="Hole 18 Tee Marker" u="1"/>
        <s v="Bin" u="1"/>
        <s v="Interview Board" u="1"/>
        <s v="Screen - Uninterrupted Coverage" u="1"/>
        <s v="Hole 10 Flag" u="1"/>
        <s v="Hole 11 Flag" u="1"/>
        <s v="Hole 13 Flag" u="1"/>
        <s v="Hole 14 Flag" u="1"/>
        <s v="Cooler" u="1"/>
        <s v="Floating Sign" u="1"/>
        <s v="Screen - Signature Moments" u="1"/>
        <s v="Hole 17 Flag" u="1"/>
        <s v="Green Signage" u="1"/>
        <s v="Screen - Celebration of Champions" u="1"/>
        <s v="Plane" u="1"/>
        <s v="Portable Scoreboard" u="1"/>
        <s v="Green Grandstand" u="1"/>
        <s v="Fan Services Tent" u="1"/>
        <s v="Screen - Lexus Tracker" u="1"/>
        <s v="Off Court" u="1"/>
        <s v="Player Chair" u="1"/>
        <s v="Hole 01 Tee Grandstand" u="1"/>
        <s v="Off Course Signage" u="1"/>
        <s v="Spectator Clothing" u="1"/>
        <s v="Screen - Full Leaderboard" u="1"/>
        <s v="Player Clothing - Stenson" u="1"/>
        <s v="Speedometer" u="1"/>
        <s v="Floor" u="1"/>
        <s v="Clothing" u="1"/>
      </sharedItems>
    </cacheField>
    <cacheField name="Eph (mm:ss)" numFmtId="46">
      <sharedItems containsSemiMixedTypes="0" containsNonDate="0" containsDate="1" containsString="0" minDate="1899-12-30T00:00:00" maxDate="1899-12-30T00:29:16"/>
    </cacheField>
    <cacheField name="BIS" numFmtId="0">
      <sharedItems containsSemiMixedTypes="0" containsString="0" containsNumber="1" minValue="0.3" maxValue="5"/>
    </cacheField>
    <cacheField name="Exposure" numFmtId="46">
      <sharedItems containsSemiMixedTypes="0" containsNonDate="0" containsDate="1" containsString="0" minDate="1899-12-30T01:03:38" maxDate="1900-08-17T01:08:28"/>
    </cacheField>
    <cacheField name="Gross" numFmtId="0">
      <sharedItems containsSemiMixedTypes="0" containsString="0" containsNumber="1" minValue="53625.173884912256" maxValue="331343815.90469152"/>
    </cacheField>
    <cacheField name="Net" numFmtId="0">
      <sharedItems containsSemiMixedTypes="0" containsString="0" containsNumber="1" minValue="11272.226051304096" maxValue="128482869.38955513"/>
    </cacheField>
    <cacheField name="Exposure per Hour" numFmtId="0">
      <sharedItems containsSemiMixedTypes="0" containsString="0" containsNumber="1" minValue="0.43100371832801765" maxValue="1756.2522675841972"/>
    </cacheField>
    <cacheField name="Source Type" numFmtId="0">
      <sharedItems containsBlank="1" count="7">
        <s v="On Site"/>
        <s v="Screen"/>
        <s v="-"/>
        <m u="1"/>
        <s v="Team" u="1"/>
        <s v="Player" u="1"/>
        <e v="#N/A" u="1"/>
      </sharedItems>
    </cacheField>
    <cacheField name="Watch Manufacturer?" numFmtId="0">
      <sharedItems containsBlank="1" count="7">
        <s v="N"/>
        <s v="-"/>
        <s v="Y"/>
        <m u="1"/>
        <s v="Watch" u="1"/>
        <e v="#N/A" u="1"/>
        <s v="Check" u="1"/>
      </sharedItems>
    </cacheField>
    <cacheField name="Event?" numFmtId="165">
      <sharedItems/>
    </cacheField>
    <cacheField name="Seconds Exposure" numFmtId="165">
      <sharedItems containsSemiMixedTypes="0" containsString="0" containsNumber="1" minValue="3817.530790749066" maxValue="19876107.519124616"/>
    </cacheField>
    <cacheField name="Rolex Source" numFmtId="165">
      <sharedItems/>
    </cacheField>
    <cacheField name="Clock" numFmtId="165">
      <sharedItems count="2">
        <b v="0"/>
        <b v="1"/>
      </sharedItems>
    </cacheField>
    <cacheField name="Total EXP (hh:mm:ss)" numFmtId="0" formula="'Seconds Exposure'/86400" databaseField="0"/>
    <cacheField name="Discount %" numFmtId="0" formula="Net/Gross"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s McInley" refreshedDate="44505.704874884257" createdVersion="5" refreshedVersion="6" minRefreshableVersion="3" recordCount="167" xr:uid="{00000000-000A-0000-FFFF-FFFF03000000}">
  <cacheSource type="worksheet">
    <worksheetSource name="Exposure_BASE"/>
  </cacheSource>
  <cacheFields count="17">
    <cacheField name="Tournament" numFmtId="0">
      <sharedItems/>
    </cacheField>
    <cacheField name="Sponsor" numFmtId="0">
      <sharedItems containsBlank="1" count="187">
        <s v="American Express"/>
        <s v="Bermuda"/>
        <s v="Camera1"/>
        <s v="Chase"/>
        <s v="Chubb"/>
        <s v="Deloitte"/>
        <s v="Emirates"/>
        <s v="ESPN"/>
        <s v="Evian"/>
        <s v="IBM"/>
        <s v="IHG"/>
        <s v="JP Morgan"/>
        <s v="Mercedes Benz"/>
        <s v="Ralph Lauren"/>
        <s v="Rolex"/>
        <s v="Spectrum"/>
        <s v="Ticketmaster"/>
        <s v="US Open"/>
        <s v="usopen.org"/>
        <s v="USTA"/>
        <s v="Wilson"/>
        <m u="1"/>
        <s v="Racing Point" u="1"/>
        <s v="Spor Toto" u="1"/>
        <s v="Suntory" u="1"/>
        <s v="Lacoste" u="1"/>
        <s v="HSBC" u="1"/>
        <s v="Intercity" u="1"/>
        <s v="Toyo Tires" u="1"/>
        <s v="Turkish Airlines Open" u="1"/>
        <s v="Dubai Sports Council" u="1"/>
        <s v="Lexus" u="1"/>
        <s v="DP World" u="1"/>
        <s v="ISPS Handa PGA Tour of Australasia" u="1"/>
        <s v="AIG WBO" u="1"/>
        <s v="ANA" u="1"/>
        <s v="BMW" u="1"/>
        <s v="Workday" u="1"/>
        <s v="Mitsubishi" u="1"/>
        <s v="Arnold Clark" u="1"/>
        <s v="Ernie Els Wines" u="1"/>
        <s v="Flow" u="1"/>
        <s v="Rocket" u="1"/>
        <s v="Renault" u="1"/>
        <s v="Dunlop" u="1"/>
        <s v="Champagne Carbon" u="1"/>
        <s v="NEC" u="1"/>
        <s v="Travelers Championship" u="1"/>
        <s v="ITO EN" u="1"/>
        <s v="Worldwide Golf" u="1"/>
        <s v="St Jude" u="1"/>
        <s v="Toro Rosso" u="1"/>
        <s v="Telkom" u="1"/>
        <s v="Toptracer" u="1"/>
        <s v="Mexico" u="1"/>
        <s v="cdw" u="1"/>
        <s v="Bidvest" u="1"/>
        <s v="Alfa Romeo" u="1"/>
        <s v="FedEx" u="1"/>
        <s v="Pirelli" u="1"/>
        <s v="Powerade" u="1"/>
        <s v="Geico" u="1"/>
        <s v="Nestle" u="1"/>
        <s v="ANZ" u="1"/>
        <s v="Road to Mallorca" u="1"/>
        <s v="Dubai" u="1"/>
        <s v="McLaren" u="1"/>
        <s v="Dubai Duty Free" u="1"/>
        <s v="DHL" u="1"/>
        <s v="Kia" u="1"/>
        <s v="Carbon" u="1"/>
        <s v="Turkey" u="1"/>
        <s v="Hero" u="1"/>
        <s v="EPIC" u="1"/>
        <s v="Eversource" u="1"/>
        <s v="Odyssey" u="1"/>
        <s v="Salesforce" u="1"/>
        <s v="Melbourne" u="1"/>
        <s v="Antalya Airport" u="1"/>
        <s v="DP World Tour Championship" u="1"/>
        <s v="Red Bull" u="1"/>
        <s v="Asian Tour" u="1"/>
        <s v="Ferrari" u="1"/>
        <s v="Mastercard" u="1"/>
        <s v="TAG Heuer" u="1"/>
        <s v="Hero Challenge" u="1"/>
        <s v="Race to CME Globe" u="1"/>
        <s v="Xerox" u="1"/>
        <s v="Glad Africa" u="1"/>
        <s v="Ishga" u="1"/>
        <s v="Sun City" u="1"/>
        <s v="Canon" u="1"/>
        <s v="Total Sports" u="1"/>
        <s v="Visit Vic" u="1"/>
        <s v="Tata" u="1"/>
        <s v="Ministry of Youth and Sports" u="1"/>
        <s v="Nedbank Golf Challenge hosted by Gary Player" u="1"/>
        <s v="Engie" u="1"/>
        <s v="Sunbet" u="1"/>
        <s v="IWC Schaffhausen" u="1"/>
        <s v="Pacific Life" u="1"/>
        <s v="Haas" u="1"/>
        <s v="Turkish Airlines" u="1"/>
        <s v="Golf International" u="1"/>
        <s v="Johnnie Walker" u="1"/>
        <s v="Infosys" u="1"/>
        <s v="Mission Hills" u="1"/>
        <s v="Zurich" u="1"/>
        <s v="Waste Management" u="1"/>
        <s v="Wicked" u="1"/>
        <s v="Robinsons" u="1"/>
        <s v="Jumeirah Golf Estates" u="1"/>
        <s v="Millennium Golf" u="1"/>
        <s v="Al Andalus" u="1"/>
        <s v="Rancho Mirage" u="1"/>
        <s v="Slazenger" u="1"/>
        <s v="BNP Paribas" u="1"/>
        <s v="European Tour" u="1"/>
        <s v="European Challenge Tour" u="1"/>
        <s v="Sunshine Tour" u="1"/>
        <s v="Peroni" u="1"/>
        <s v="Ruck Maul" u="1"/>
        <s v="Nedbank Golf Challenge" u="1"/>
        <s v="Top Golf" u="1"/>
        <s v="Jaguar" u="1"/>
        <s v="Mercedes" u="1"/>
        <s v="TMGM" u="1"/>
        <s v="CNN" u="1"/>
        <s v="Callaway" u="1"/>
        <s v="P Zero" u="1"/>
        <s v="US Bank" u="1"/>
        <s v="Allergan" u="1"/>
        <s v="Supersport" u="1"/>
        <s v="Marriott Bonvoy" u="1"/>
        <s v="FootJoy" u="1"/>
        <s v="Gary Player Country Club" u="1"/>
        <s v="Atlantis" u="1"/>
        <s v="Wall Street Journal" u="1"/>
        <s v="Rolex Series" u="1"/>
        <s v="Audemars Piguet" u="1"/>
        <s v="TUV Sud" u="1"/>
        <s v="Cisco Systems" u="1"/>
        <s v="Nedbank" u="1"/>
        <s v="South Ayrshire Council" u="1"/>
        <s v="Perrier" u="1"/>
        <s v="Trinity Health" u="1"/>
        <s v="Dell" u="1"/>
        <s v="Santos" u="1"/>
        <s v="Honda" u="1"/>
        <s v="T-Mobile" u="1"/>
        <s v="Challenge Tour Grand Final" u="1"/>
        <s v="Richard Mille" u="1"/>
        <s v="Titleist" u="1"/>
        <s v="Stella Artois" u="1"/>
        <s v="Circa" u="1"/>
        <s v="F1" u="1"/>
        <s v="Bonaqua" u="1"/>
        <s v="Redwood" u="1"/>
        <s v="Maxx Royal" u="1"/>
        <s v="FedEx St Jude Invitational" u="1"/>
        <s v="AWS" u="1"/>
        <s v="Acer" u="1"/>
        <s v="Scotland Home of Golf" u="1"/>
        <s v="Hublot" u="1"/>
        <s v="Al Laith" u="1"/>
        <s v="Bovet" u="1"/>
        <s v="International Sports Management" u="1"/>
        <s v="Race to Dubai" u="1"/>
        <s v="Oppo" u="1"/>
        <s v="Guojiao 1573" u="1"/>
        <s v="AIG" u="1"/>
        <s v="Hilton" u="1"/>
        <s v="CocaCola" u="1"/>
        <s v="Japan Golf Tour" u="1"/>
        <s v="SoFi" u="1"/>
        <s v="Casio" u="1"/>
        <s v="Australia" u="1"/>
        <s v="Aston Martin" u="1"/>
        <s v="PwC" u="1"/>
        <s v="Heineken" u="1"/>
        <s v="Mediclinic" u="1"/>
        <s v="Peugeot" u="1"/>
        <s v="Williams" u="1"/>
        <s v="Sun International" u="1"/>
        <s v="Consumer Cellular" u="1"/>
        <s v="Stanley Black &amp; Decker" u="1"/>
        <s v="ATP Cup" u="1"/>
      </sharedItems>
    </cacheField>
    <cacheField name="Source" numFmtId="0">
      <sharedItems containsBlank="1" count="365">
        <s v="Court End"/>
        <s v="Court Side"/>
        <s v="Lanyard"/>
        <s v="Lower Ring Signage"/>
        <s v="Screen Graphic"/>
        <s v="Signage on the Grounds"/>
        <s v="Studio"/>
        <s v="Upper Ring Signage"/>
        <s v="Scoreboard"/>
        <s v="Upper Ring LED"/>
        <s v="Camera1"/>
        <s v="Line Judge Chair"/>
        <s v="Review Graphic"/>
        <s v="Screen Text"/>
        <s v="Stadium Roof"/>
        <s v="Air Hostess"/>
        <s v="Practice Pavillion"/>
        <s v="Bottle"/>
        <s v="Ice Box"/>
        <s v="Speedometer"/>
        <s v="Videoboard"/>
        <s v="Net"/>
        <s v="Ball Kid Clothing"/>
        <s v="Line Judge Clothing"/>
        <s v="Officials Clothing"/>
        <s v="Player Chair"/>
        <s v="Player Mat"/>
        <s v="Towel"/>
        <s v="Umbrella"/>
        <s v="Umpire Chair"/>
        <s v="Umpire Clothing"/>
        <s v="Arthur Ashe Stadium Sign (Exterior)"/>
        <s v="Corner Clock"/>
        <s v="Game Duration Graphic"/>
        <s v="Grandstand Clock"/>
        <s v="Microphone"/>
        <s v="Award"/>
        <s v="Ball"/>
        <s v="Car"/>
        <s v="Cup"/>
        <s v="Equipment"/>
        <s v="General Product Branding"/>
        <s v="Media Backdrop"/>
        <s v="Podium"/>
        <s v="Shot Clock"/>
        <s v="Spectator Clothing"/>
        <s v="Spectator Merchandise"/>
        <s v="Trophy"/>
        <s v="Trophy Table"/>
        <s v="Tunnel"/>
        <s v="Ball Bin"/>
        <m u="1"/>
        <s v="Hole 01 Green Signage" u="1"/>
        <s v="Hole 02 Green Signage" u="1"/>
        <s v="Hole 03 Green Signage" u="1"/>
        <s v="Hole 04 Green Signage" u="1"/>
        <s v="Hole 05 Green Signage" u="1"/>
        <s v="Hole 06 Green Signage" u="1"/>
        <s v="Hole 07 Green Signage" u="1"/>
        <s v="Hole 08 Green Signage" u="1"/>
        <s v="Hole 09 Green Signage" u="1"/>
        <s v="Hole 10 Green Signage" u="1"/>
        <s v="Hole 11 Green Signage" u="1"/>
        <s v="Hole 12 Green Signage" u="1"/>
        <s v="Hole 13 Green Signage" u="1"/>
        <s v="Hole 14 Green Signage" u="1"/>
        <s v="Hole 15 Green Signage" u="1"/>
        <s v="Hole 16 Green Signage" u="1"/>
        <s v="Hole 17 Green Signage" u="1"/>
        <s v="Hole 18 Green Signage" u="1"/>
        <s v="Ferrari Driver Clothing" u="1"/>
        <s v="Hole 16 Lake Sign" u="1"/>
        <s v="Hole 17 Lake Sign" u="1"/>
        <s v="Screen - Update Strap" u="1"/>
        <s v="Screen - Carousel" u="1"/>
        <s v="Clock" u="1"/>
        <s v="Screen Text - RTM Rankings" u="1"/>
        <s v="Clock - Court Side" u="1"/>
        <s v="Floor" u="1"/>
        <s v="Hospitality Area" u="1"/>
        <s v="Yardage Board" u="1"/>
        <s v="Tee Grandstand" u="1"/>
        <s v="Screen - RTD Leaderboard Sting" u="1"/>
        <s v="Time Spent on Court Graphic" u="1"/>
        <s v="Screen - Winner's Review" u="1"/>
        <s v="RBR Crew Clothing" u="1"/>
        <s v="Trophy Stand" u="1"/>
        <s v="Screen Text - Stats Graphic" u="1"/>
        <s v="Green Scoreboard" u="1"/>
        <s v="Alfa Romeo Tub Side" u="1"/>
        <s v="ToroRosso Driver Clothing" u="1"/>
        <s v="Virtual Green Signage" u="1"/>
        <s v="Clothing" u="1"/>
        <s v="Green Grandstand" u="1"/>
        <s v="Golf Buggy" u="1"/>
        <s v="Hole 01 Yardage Board" u="1"/>
        <s v="Hole 02 Yardage Board" u="1"/>
        <s v="Hole 03 Yardage Board" u="1"/>
        <s v="Hole 04 Yardage Board" u="1"/>
        <s v="Hole 05 Yardage Board" u="1"/>
        <s v="Hole 06 Yardage Board" u="1"/>
        <s v="Hole 07 Yardage Board" u="1"/>
        <s v="Hole 08 Yardage Board" u="1"/>
        <s v="Hole 09 Yardage Board" u="1"/>
        <s v="Hole 10 Yardage Board" u="1"/>
        <s v="Hole 11 Yardage Board" u="1"/>
        <s v="Hole 12 Yardage Board" u="1"/>
        <s v="Hole 13 Yardage Board" u="1"/>
        <s v="Hole 14 Yardage Board" u="1"/>
        <s v="Hole 15 Yardage Board" u="1"/>
        <s v="Hole 16 Yardage Board" u="1"/>
        <s v="Hole 17 Yardage Board" u="1"/>
        <s v="Hole 18 Yardage Board" u="1"/>
        <s v="Virtual Lake Sign" u="1"/>
        <s v="Overhead Sign" u="1"/>
        <s v="Court Side - Official Timekeeper" u="1"/>
        <s v="Mascot Clothing" u="1"/>
        <s v="Mercedes Front Wing" u="1"/>
        <s v="Screen - Circuit Map" u="1"/>
        <s v="Big Screen" u="1"/>
        <s v="Lake Signage" u="1"/>
        <s v="Tee Billboard" u="1"/>
        <s v="Screen - Watermark" u="1"/>
        <s v="Screen - Shot of the Day" u="1"/>
        <s v="Screen - Driver ID" u="1"/>
        <s v="Hole 16 On Course Product" u="1"/>
        <s v="Hole 16 On-Course Product" u="1"/>
        <s v="Hole 17 On Course Product" u="1"/>
        <s v="Haas Tub Side" u="1"/>
        <s v="Lake Sign" u="1"/>
        <s v="Grandstand" u="1"/>
        <s v="Hole 01 Tee Fence" u="1"/>
        <s v="Hole 02 Tee Fence" u="1"/>
        <s v="Hole 03 Tee Fence" u="1"/>
        <s v="Hole 04 Tee Fence" u="1"/>
        <s v="Hole 05 Tee Fence" u="1"/>
        <s v="Hole 06 Tee Fence" u="1"/>
        <s v="Hole 07 Tee Fence" u="1"/>
        <s v="Hole 08 Tee Fence" u="1"/>
        <s v="Hole 09 Tee Fence" u="1"/>
        <s v="Hole 10 Tee Fence" u="1"/>
        <s v="Hole 11 Tee Fence" u="1"/>
        <s v="Hole 12 Tee Fence" u="1"/>
        <s v="Hole 13 Tee Fence" u="1"/>
        <s v="Hole 14 Tee Fence" u="1"/>
        <s v="Hole 15 Tee Fence" u="1"/>
        <s v="Hole 16 Tee Fence" u="1"/>
        <s v="Hole 17 Tee Fence" u="1"/>
        <s v="Hole 18 Tee Fence" u="1"/>
        <s v="Hatton Clothing" u="1"/>
        <s v="RBR Halo" u="1"/>
        <s v="Screen - Overlay" u="1"/>
        <s v="Hole 01 Scoreboard" u="1"/>
        <s v="Hole 02 Scoreboard" u="1"/>
        <s v="Hole 04 Scoreboard" u="1"/>
        <s v="Hole 05 Scoreboard" u="1"/>
        <s v="Hole 06 Scoreboard" u="1"/>
        <s v="Hole 07 Scoreboard" u="1"/>
        <s v="Hole 08 Scoreboard" u="1"/>
        <s v="Hole 09 Scoreboard" u="1"/>
        <s v="Hole 11 Scoreboard" u="1"/>
        <s v="Hole 12 Scoreboard" u="1"/>
        <s v="Hole 13 Scoreboard" u="1"/>
        <s v="Hole 14 Scoreboard" u="1"/>
        <s v="Hole 15 Scoreboard" u="1"/>
        <s v="Hole 16 Scoreboard" u="1"/>
        <s v="Hole 17 Scoreboard" u="1"/>
        <s v="Hole 18 Scoreboard" u="1"/>
        <s v="Ground Mat" u="1"/>
        <s v="Screen - Title" u="1"/>
        <s v="Ferrari Crew Clothing" u="1"/>
        <s v="Screen - Annika Major Award" u="1"/>
        <s v="Tee Fence" u="1"/>
        <s v="Off Court" u="1"/>
        <s v="Virtual Yardage Board" u="1"/>
        <s v="McLaren Engine Cover" u="1"/>
        <s v="Mercedes Crew Clothing" u="1"/>
        <s v="Hole 01 Pin Flag" u="1"/>
        <s v="Hole 02 Pin Flag" u="1"/>
        <s v="Hole 04 Pin Flag" u="1"/>
        <s v="Hole 05 Pin Flag" u="1"/>
        <s v="Hole 08 Pin Flag" u="1"/>
        <s v="Hole 09 Pin Flag" u="1"/>
        <s v="Hole 10 Pin Flag" u="1"/>
        <s v="Hole 11 Pin Flag" u="1"/>
        <s v="Hole 12 Pin Flag" u="1"/>
        <s v="Hole 13 Pin Flag" u="1"/>
        <s v="Hole 16 Pin Flag" u="1"/>
        <s v="Hole 01 Tee Marker" u="1"/>
        <s v="Hole 02 Tee Marker" u="1"/>
        <s v="Hole 03 Tee Marker" u="1"/>
        <s v="Hole 04 Tee Marker" u="1"/>
        <s v="Hole 05 Tee Marker" u="1"/>
        <s v="Hole 06 Tee Marker" u="1"/>
        <s v="Hole 07 Tee Marker" u="1"/>
        <s v="Hole 08 Tee Marker" u="1"/>
        <s v="Hole 09 Tee Marker" u="1"/>
        <s v="Hole 10 Tee Marker" u="1"/>
        <s v="Hole 11 Tee Marker" u="1"/>
        <s v="Hole 12 Tee Marker" u="1"/>
        <s v="Hole 13 Tee Marker" u="1"/>
        <s v="Hole 14 Tee Marker" u="1"/>
        <s v="Hole 15 Tee Marker" u="1"/>
        <s v="Hole 16 Tee Marker" u="1"/>
        <s v="Hole 17 Tee Marker" u="1"/>
        <s v="Hole 18 Tee Marker" u="1"/>
        <s v="Scoreboard - Camera1" u="1"/>
        <s v="Hole 18 Course Clock" u="1"/>
        <s v="Screen Text - Event Info" u="1"/>
        <s v="Screen Text - Update Strap" u="1"/>
        <s v="Screen - Top Tracer" u="1"/>
        <s v="Parc Ferme" u="1"/>
        <s v="Virtual Tee Fence" u="1"/>
        <s v="Podium Room" u="1"/>
        <s v="Virtual Scoreboard" u="1"/>
        <s v="Screen Text - Rookie Of The Year" u="1"/>
        <s v="Free Standing Sign" u="1"/>
        <s v="Ferrari Helmet" u="1"/>
        <s v="Hole 08 Tee Billboard" u="1"/>
        <s v="Hole 14 Tee Billboard" u="1"/>
        <s v="Hole 15 Tee Billboard" u="1"/>
        <s v="Hole 16 Tee Billboard" u="1"/>
        <s v="Hole 17 Tee Billboard" u="1"/>
        <s v="Virtual Sign" u="1"/>
        <s v="McLaren Side Blades" u="1"/>
        <s v="Screen - Schedule" u="1"/>
        <s v="Virtual Tee Marker" u="1"/>
        <s v="Screen - Race Sponsor" u="1"/>
        <s v="Screen - Winner's Strap" u="1"/>
        <s v="Media Center" u="1"/>
        <s v="Marshall Equipment" u="1"/>
        <s v="Screen - Stats Graphic" u="1"/>
        <s v="On Course Product" u="1"/>
        <s v="Off Course Product" u="1"/>
        <s v="Screen - End Slate" u="1"/>
        <s v="Player Area" u="1"/>
        <s v="Screen Text - Player Painting" u="1"/>
        <s v="On-Course Product" u="1"/>
        <s v="Screen - Comparison" u="1"/>
        <s v="Mini Scoreboard" u="1"/>
        <s v="Screen - RTM Rankings" u="1"/>
        <s v="Screen - ProTracer" u="1"/>
        <s v="Screen - Surprise of the Day" u="1"/>
        <s v="Screen - Hole Update" u="1"/>
        <s v="Screen - Rookie Of The Year" u="1"/>
        <s v="Screen - Wipe" u="1"/>
        <s v="Screen - Hole Flyover" u="1"/>
        <s v="Speed Serve Unit" u="1"/>
        <s v="Screen - Name Strap" u="1"/>
        <s v="Course Clock" u="1"/>
        <s v="Screen Text - Annika Major Award" u="1"/>
        <s v="Screen - TopTracer" u="1"/>
        <s v="Arch" u="1"/>
        <s v="Screen Text - Winners Strap" u="1"/>
        <s v="Hole 01 Tee Clock" u="1"/>
        <s v="Hole 02 Tee Clock" u="1"/>
        <s v="Hole 03 Tee Clock" u="1"/>
        <s v="Hole 04 Tee Clock" u="1"/>
        <s v="Hole 05 Tee Clock" u="1"/>
        <s v="Hole 06 Tee Clock" u="1"/>
        <s v="Hole 07 Tee Clock" u="1"/>
        <s v="Hole 08 Tee Clock" u="1"/>
        <s v="Hole 09 Tee Clock" u="1"/>
        <s v="Hole 10 Tee Clock" u="1"/>
        <s v="Hole 11 Tee Clock" u="1"/>
        <s v="Hole 12 Tee Clock" u="1"/>
        <s v="Hole 13 Tee Clock" u="1"/>
        <s v="Hole 14 Tee Clock" u="1"/>
        <s v="Hole 15 Tee Clock" u="1"/>
        <s v="Hole 16 Tee Clock" u="1"/>
        <s v="Hole 17 Tee Clock" u="1"/>
        <s v="Hole 18 Tee Clock" u="1"/>
        <s v="Board - Feature" u="1"/>
        <s v="Flag" u="1"/>
        <s v="Screen - RTD Full Leaderboard" u="1"/>
        <s v="Screen Text - RTD Leaderboard" u="1"/>
        <s v="Screen Text - Winner's Strap" u="1"/>
        <s v="Giant Screen" u="1"/>
        <s v="Tee Marker" u="1"/>
        <s v="Screen - Tablet" u="1"/>
        <s v="Presentation Board" u="1"/>
        <s v="Hole 01 Green Grandstand" u="1"/>
        <s v="Hole 09 Green Grandstand" u="1"/>
        <s v="Hole 10 Green Grandstand" u="1"/>
        <s v="Hole 16 Green Grandstand" u="1"/>
        <s v="Hole 18 Green Grandstand" u="1"/>
        <s v="Pitlane" u="1"/>
        <s v="Portable Scoreboard" u="1"/>
        <s v="Screen - Advert" u="1"/>
        <s v="Screen - Squeeze back" u="1"/>
        <s v="Screen Text - Name Strap" u="1"/>
        <s v="Screen Text - Full Leaderboard" u="1"/>
        <s v="Screen Text - Mini Leaderboard" u="1"/>
        <s v="Mercedes Pits Or Garage" u="1"/>
        <s v="Court End - Official Timekeeper" u="1"/>
        <s v="Cheque" u="1"/>
        <s v="Screen - Social Media" u="1"/>
        <s v="Green Signage" u="1"/>
        <s v="Board" u="1"/>
        <s v="ToroRosso Nose Top" u="1"/>
        <s v="Hole 02 Flag" u="1"/>
        <s v="Screen - Feature" u="1"/>
        <s v="Screen Text - Feature" u="1"/>
        <s v="Screen Text - Title" u="1"/>
        <s v="Virtual Green Grandstand" u="1"/>
        <s v="Practice Area" u="1"/>
        <s v="Screen Text - Overlay" u="1"/>
        <s v="Tunnel Clock" u="1"/>
        <s v="Team Clothing" u="1"/>
        <s v="Screen - Event Info" u="1"/>
        <s v="Caddie Bib" u="1"/>
        <s v="Screen Text - Leaderboard Sting" u="1"/>
        <s v="Net Box" u="1"/>
        <s v="Presenter Clothing" u="1"/>
        <s v="Screen - Ambassador" u="1"/>
        <s v="Screen - Full Leaderboard" u="1"/>
        <s v="Screen - Mini Leaderboard" u="1"/>
        <s v="Screen Text - Leaderboard" u="1"/>
        <s v="Screen Text - Commentators" u="1"/>
        <s v="Screen Text - Tablet" u="1"/>
        <s v="Screen - RTD Leaderboard" u="1"/>
        <s v="Pin Flag" u="1"/>
        <s v="Hole 18 Green Scoreboard" u="1"/>
        <s v="Screen Text - Social Media" u="1"/>
        <s v="Screen - Rankings" u="1"/>
        <s v="RBR Driver Clothing" u="1"/>
        <s v="Practice Area Clock" u="1"/>
        <s v="Hostess" u="1"/>
        <s v="Screen Text - End Slate" u="1"/>
        <s v="Player Entrance" u="1"/>
        <s v="RBR Helmet" u="1"/>
        <s v="Hole 18 Green Clock" u="1"/>
        <s v="Ferrari Cockpit Outer" u="1"/>
        <s v="Screen - Player Scorecard" u="1"/>
        <s v="Tee Clock" u="1"/>
        <s v="RBR Tub Top" u="1"/>
        <s v="TV Tower" u="1"/>
        <s v="Screen - Standings" u="1"/>
        <s v="Pitlane Clock" u="1"/>
        <s v="Screen - Groupings" u="1"/>
        <s v="Hole 01 Tee Grandstand" u="1"/>
        <s v="Board - Other Event" u="1"/>
        <s v="Interview Board" u="1"/>
        <s v="Screen - Putt Tracker" u="1"/>
        <s v="Plane" u="1"/>
        <s v="Player Clothing" u="1"/>
        <s v="Mercedes Driver Clothing" u="1"/>
        <s v="Screen Logo - Rankings" u="1"/>
        <s v="Screen Text - Rankings" u="1"/>
        <s v="Screen - Sting" u="1"/>
        <s v="Screen Text - Rolex Annika Major Award" u="1"/>
        <s v="Bridge" u="1"/>
        <s v="Marshall Clothing" u="1"/>
        <s v="Screen Text - Standings" u="1"/>
        <s v="Presentation Case" u="1"/>
        <s v="Screen - Player Painting" u="1"/>
        <s v="Fridge" u="1"/>
        <s v="Barrier Sign" u="1"/>
        <s v="Ferrari Pits or Garage" u="1"/>
        <s v="Grass Logo" u="1"/>
        <s v="Screen - Rolex Annika Major Award" u="1"/>
        <s v="Off Course Signage" u="1"/>
        <s v="Screen - Leaderboard Sting" u="1"/>
        <s v="Carpet" u="1"/>
        <s v="Screen Text - Up Next" u="1"/>
      </sharedItems>
    </cacheField>
    <cacheField name="Eph (mm:ss)" numFmtId="46">
      <sharedItems containsSemiMixedTypes="0" containsNonDate="0" containsDate="1" containsString="0" minDate="1899-12-30T00:00:00" maxDate="1899-12-30T00:17:48"/>
    </cacheField>
    <cacheField name="BIS" numFmtId="0">
      <sharedItems containsSemiMixedTypes="0" containsString="0" containsNumber="1" minValue="0.28999999999999998" maxValue="4.6399999999999997"/>
    </cacheField>
    <cacheField name="Exposure" numFmtId="46">
      <sharedItems containsSemiMixedTypes="0" containsNonDate="0" containsDate="1" containsString="0" minDate="1899-12-30T01:00:32" maxDate="1900-07-27T12:59:28"/>
    </cacheField>
    <cacheField name="Gross" numFmtId="0">
      <sharedItems containsSemiMixedTypes="0" containsString="0" containsNumber="1" minValue="46249.222300896618" maxValue="276966831.77346396"/>
    </cacheField>
    <cacheField name="Net" numFmtId="0">
      <sharedItems containsSemiMixedTypes="0" containsString="0" containsNumber="1" minValue="3991.0539681687455" maxValue="78273836.966372564"/>
    </cacheField>
    <cacheField name="Exposure per Hour" numFmtId="1">
      <sharedItems containsSemiMixedTypes="0" containsString="0" containsNumber="1" minValue="0.37362326824130759" maxValue="1067.5626158641485"/>
    </cacheField>
    <cacheField name="Source Type" numFmtId="0">
      <sharedItems containsBlank="1" count="7">
        <s v="On Site"/>
        <s v="Screen"/>
        <s v="-"/>
        <m u="1"/>
        <s v="Team" u="1"/>
        <s v="Player" u="1"/>
        <e v="#N/A" u="1"/>
      </sharedItems>
    </cacheField>
    <cacheField name="Watch Manufacturer?" numFmtId="0">
      <sharedItems containsBlank="1" count="6">
        <s v="N"/>
        <s v="-"/>
        <s v="Y"/>
        <m u="1"/>
        <s v="Watch" u="1"/>
        <e v="#N/A" u="1"/>
      </sharedItems>
    </cacheField>
    <cacheField name="Event?" numFmtId="0">
      <sharedItems containsBlank="1" count="6">
        <s v="Event"/>
        <s v="-"/>
        <m u="1"/>
        <s v="Player" u="1"/>
        <e v="#N/A" u="1"/>
        <s v="Screen" u="1"/>
      </sharedItems>
    </cacheField>
    <cacheField name="Seconds Exposure" numFmtId="165">
      <sharedItems containsSemiMixedTypes="0" containsString="0" containsNumber="1" minValue="3631.7655409279828" maxValue="18104368.267029263"/>
    </cacheField>
    <cacheField name="Rolex Source" numFmtId="0">
      <sharedItems count="2">
        <s v="Y"/>
        <s v="N"/>
      </sharedItems>
    </cacheField>
    <cacheField name="Clock?" numFmtId="0">
      <sharedItems count="2">
        <b v="0"/>
        <b v="1"/>
      </sharedItems>
    </cacheField>
    <cacheField name="Total EXP (hh:mm:ss)" numFmtId="0" formula="'Seconds Exposure'/86400" databaseField="0"/>
    <cacheField name="Discount %" numFmtId="0" formula="Net/Gros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8">
  <r>
    <x v="0"/>
    <x v="0"/>
    <x v="0"/>
    <x v="0"/>
    <n v="24.468179009621323"/>
    <n v="2.0999999999999996"/>
    <n v="55300.558566510721"/>
    <m/>
    <m/>
    <x v="0"/>
  </r>
  <r>
    <x v="0"/>
    <x v="1"/>
    <x v="1"/>
    <x v="1"/>
    <n v="4.13099126136464"/>
    <n v="3.3099999999999996"/>
    <n v="9336.4579398005117"/>
    <m/>
    <m/>
    <x v="0"/>
  </r>
  <r>
    <x v="0"/>
    <x v="2"/>
    <x v="2"/>
    <x v="1"/>
    <n v="1.2710742342660428"/>
    <n v="3.5000000000000009"/>
    <n v="2872.7562891693883"/>
    <m/>
    <m/>
    <x v="0"/>
  </r>
  <r>
    <x v="0"/>
    <x v="3"/>
    <x v="3"/>
    <x v="2"/>
    <n v="15.926713296827526"/>
    <n v="2.7099999999999991"/>
    <n v="35995.982418508"/>
    <m/>
    <m/>
    <x v="0"/>
  </r>
  <r>
    <x v="0"/>
    <x v="3"/>
    <x v="4"/>
    <x v="2"/>
    <n v="12.542286721251676"/>
    <n v="2.58"/>
    <n v="28346.836154575049"/>
    <m/>
    <m/>
    <x v="1"/>
  </r>
  <r>
    <x v="0"/>
    <x v="3"/>
    <x v="5"/>
    <x v="2"/>
    <n v="4.5789300728379132"/>
    <n v="1.7599999999999993"/>
    <n v="10348.844945321049"/>
    <m/>
    <m/>
    <x v="0"/>
  </r>
  <r>
    <x v="0"/>
    <x v="4"/>
    <x v="6"/>
    <x v="2"/>
    <n v="39.237508970821317"/>
    <n v="4.09"/>
    <n v="88680.73762218545"/>
    <m/>
    <m/>
    <x v="1"/>
  </r>
  <r>
    <x v="0"/>
    <x v="4"/>
    <x v="7"/>
    <x v="2"/>
    <n v="13.816024285500468"/>
    <n v="2.9299999999999993"/>
    <n v="31225.611838797704"/>
    <m/>
    <m/>
    <x v="1"/>
  </r>
  <r>
    <x v="0"/>
    <x v="4"/>
    <x v="8"/>
    <x v="2"/>
    <n v="16.57922914260056"/>
    <n v="1.8999999999999995"/>
    <n v="37470.734206557245"/>
    <m/>
    <m/>
    <x v="1"/>
  </r>
  <r>
    <x v="0"/>
    <x v="4"/>
    <x v="9"/>
    <x v="2"/>
    <n v="45.040239170731525"/>
    <n v="2.9800000000000004"/>
    <n v="101795.49459448051"/>
    <m/>
    <m/>
    <x v="1"/>
  </r>
  <r>
    <x v="0"/>
    <x v="4"/>
    <x v="4"/>
    <x v="2"/>
    <n v="6.3553711713302148"/>
    <n v="1.2400000000000011"/>
    <n v="14363.781445846942"/>
    <m/>
    <m/>
    <x v="1"/>
  </r>
  <r>
    <x v="0"/>
    <x v="4"/>
    <x v="5"/>
    <x v="2"/>
    <n v="15.750267685470531"/>
    <n v="2.64"/>
    <n v="35597.197496229375"/>
    <m/>
    <m/>
    <x v="0"/>
  </r>
  <r>
    <x v="0"/>
    <x v="4"/>
    <x v="10"/>
    <x v="0"/>
    <n v="3.0395253428101023"/>
    <n v="1.4999999999999991"/>
    <n v="6869.6346045354931"/>
    <m/>
    <m/>
    <x v="0"/>
  </r>
  <r>
    <x v="0"/>
    <x v="5"/>
    <x v="6"/>
    <x v="2"/>
    <n v="180.12969135461216"/>
    <n v="3.620000000000001"/>
    <n v="407111.31557466043"/>
    <m/>
    <m/>
    <x v="1"/>
  </r>
  <r>
    <x v="0"/>
    <x v="5"/>
    <x v="11"/>
    <x v="2"/>
    <n v="6.5393617323456565"/>
    <n v="2.8600000000000003"/>
    <n v="14779.618717231899"/>
    <m/>
    <m/>
    <x v="1"/>
  </r>
  <r>
    <x v="0"/>
    <x v="5"/>
    <x v="8"/>
    <x v="2"/>
    <n v="44.586557265993115"/>
    <n v="2.5"/>
    <n v="100770.12761749022"/>
    <m/>
    <m/>
    <x v="1"/>
  </r>
  <r>
    <x v="0"/>
    <x v="5"/>
    <x v="9"/>
    <x v="2"/>
    <n v="2.0807060057463453"/>
    <n v="0.86000000000000076"/>
    <n v="4702.6059554828771"/>
    <m/>
    <m/>
    <x v="1"/>
  </r>
  <r>
    <x v="0"/>
    <x v="5"/>
    <x v="4"/>
    <x v="2"/>
    <n v="6.8366054474522793"/>
    <n v="1.37"/>
    <n v="15451.419568015172"/>
    <m/>
    <m/>
    <x v="1"/>
  </r>
  <r>
    <x v="0"/>
    <x v="5"/>
    <x v="5"/>
    <x v="2"/>
    <n v="14.267698325117797"/>
    <n v="1.7100000000000004"/>
    <n v="32246.440837596874"/>
    <m/>
    <m/>
    <x v="0"/>
  </r>
  <r>
    <x v="0"/>
    <x v="5"/>
    <x v="10"/>
    <x v="0"/>
    <n v="3.2696808661728283"/>
    <n v="1.4999999999999991"/>
    <n v="7389.8093586159493"/>
    <m/>
    <m/>
    <x v="0"/>
  </r>
  <r>
    <x v="0"/>
    <x v="6"/>
    <x v="6"/>
    <x v="2"/>
    <n v="62.918174596169116"/>
    <n v="3.0299999999999994"/>
    <n v="142201.43631388471"/>
    <m/>
    <m/>
    <x v="1"/>
  </r>
  <r>
    <x v="0"/>
    <x v="7"/>
    <x v="6"/>
    <x v="2"/>
    <n v="6.3553711713302139"/>
    <n v="2.8499999999999992"/>
    <n v="14363.78144584694"/>
    <m/>
    <m/>
    <x v="1"/>
  </r>
  <r>
    <x v="0"/>
    <x v="7"/>
    <x v="12"/>
    <x v="2"/>
    <n v="12.075205225527409"/>
    <n v="1.9100000000000006"/>
    <n v="27291.18474710919"/>
    <m/>
    <m/>
    <x v="1"/>
  </r>
  <r>
    <x v="0"/>
    <x v="7"/>
    <x v="8"/>
    <x v="2"/>
    <n v="3.4954541442316183"/>
    <n v="1.0000000000000009"/>
    <n v="7900.0797952158191"/>
    <m/>
    <m/>
    <x v="1"/>
  </r>
  <r>
    <x v="0"/>
    <x v="7"/>
    <x v="9"/>
    <x v="2"/>
    <n v="19.383882072557153"/>
    <n v="2.2500000000000009"/>
    <n v="43809.533409833173"/>
    <m/>
    <m/>
    <x v="1"/>
  </r>
  <r>
    <x v="0"/>
    <x v="7"/>
    <x v="4"/>
    <x v="2"/>
    <n v="31.141318739518049"/>
    <n v="2.1199999999999997"/>
    <n v="70382.529084649999"/>
    <m/>
    <m/>
    <x v="1"/>
  </r>
  <r>
    <x v="0"/>
    <x v="7"/>
    <x v="5"/>
    <x v="2"/>
    <n v="15.888427928325541"/>
    <n v="2.8200000000000003"/>
    <n v="35909.453614617363"/>
    <m/>
    <m/>
    <x v="0"/>
  </r>
  <r>
    <x v="0"/>
    <x v="8"/>
    <x v="0"/>
    <x v="0"/>
    <n v="235.78427045635092"/>
    <n v="1.8100000000000005"/>
    <n v="532896.2916409215"/>
    <m/>
    <m/>
    <x v="0"/>
  </r>
  <r>
    <x v="0"/>
    <x v="9"/>
    <x v="9"/>
    <x v="2"/>
    <n v="3.1776855856651069"/>
    <n v="1.1499999999999999"/>
    <n v="7181.8907229234701"/>
    <m/>
    <m/>
    <x v="1"/>
  </r>
  <r>
    <x v="0"/>
    <x v="10"/>
    <x v="0"/>
    <x v="0"/>
    <n v="24.468179009621323"/>
    <n v="1.7100000000000004"/>
    <n v="55300.558566510721"/>
    <m/>
    <m/>
    <x v="0"/>
  </r>
  <r>
    <x v="0"/>
    <x v="11"/>
    <x v="0"/>
    <x v="0"/>
    <n v="36.225615676582215"/>
    <n v="1.7500000000000004"/>
    <n v="81873.554241327554"/>
    <m/>
    <m/>
    <x v="0"/>
  </r>
  <r>
    <x v="0"/>
    <x v="12"/>
    <x v="6"/>
    <x v="2"/>
    <n v="86.247801685186673"/>
    <n v="2.9499999999999993"/>
    <n v="194928.75241958117"/>
    <m/>
    <m/>
    <x v="1"/>
  </r>
  <r>
    <x v="0"/>
    <x v="12"/>
    <x v="8"/>
    <x v="2"/>
    <n v="61.024387984801898"/>
    <n v="2.9299999999999993"/>
    <n v="137921.2870893263"/>
    <m/>
    <m/>
    <x v="1"/>
  </r>
  <r>
    <x v="0"/>
    <x v="12"/>
    <x v="9"/>
    <x v="2"/>
    <n v="10.577560584032328"/>
    <n v="0.84999999999999964"/>
    <n v="23906.356428816562"/>
    <m/>
    <m/>
    <x v="1"/>
  </r>
  <r>
    <x v="0"/>
    <x v="12"/>
    <x v="4"/>
    <x v="2"/>
    <n v="6.5092680517122021"/>
    <n v="1.19"/>
    <n v="14711.603956194806"/>
    <m/>
    <m/>
    <x v="1"/>
  </r>
  <r>
    <x v="0"/>
    <x v="12"/>
    <x v="5"/>
    <x v="2"/>
    <n v="14.103414112043103"/>
    <n v="1.8300000000000005"/>
    <n v="31875.141905088742"/>
    <m/>
    <m/>
    <x v="0"/>
  </r>
  <r>
    <x v="0"/>
    <x v="12"/>
    <x v="10"/>
    <x v="0"/>
    <n v="2.9834145237014265"/>
    <n v="1.4999999999999991"/>
    <n v="6742.8184799226201"/>
    <m/>
    <m/>
    <x v="0"/>
  </r>
  <r>
    <x v="0"/>
    <x v="13"/>
    <x v="0"/>
    <x v="0"/>
    <n v="35.590078559449196"/>
    <n v="1.6999999999999993"/>
    <n v="80437.176096742856"/>
    <m/>
    <m/>
    <x v="0"/>
  </r>
  <r>
    <x v="0"/>
    <x v="14"/>
    <x v="13"/>
    <x v="1"/>
    <n v="170.8633528440063"/>
    <n v="2.7800000000000002"/>
    <n v="386168.45361090847"/>
    <m/>
    <m/>
    <x v="0"/>
  </r>
  <r>
    <x v="0"/>
    <x v="14"/>
    <x v="14"/>
    <x v="1"/>
    <n v="2.2857973624616226"/>
    <n v="2.5"/>
    <n v="5166.1331586743609"/>
    <m/>
    <m/>
    <x v="0"/>
  </r>
  <r>
    <x v="0"/>
    <x v="14"/>
    <x v="15"/>
    <x v="1"/>
    <n v="23.143698294923936"/>
    <n v="1.8100000000000005"/>
    <n v="52307.098231577911"/>
    <m/>
    <m/>
    <x v="0"/>
  </r>
  <r>
    <x v="0"/>
    <x v="14"/>
    <x v="16"/>
    <x v="1"/>
    <n v="7.1431167576925718"/>
    <n v="2.9600000000000004"/>
    <n v="16144.166120857379"/>
    <m/>
    <m/>
    <x v="0"/>
  </r>
  <r>
    <x v="0"/>
    <x v="14"/>
    <x v="17"/>
    <x v="1"/>
    <n v="0.57144934061540564"/>
    <n v="3.5000000000000009"/>
    <n v="1291.5332896685902"/>
    <m/>
    <m/>
    <x v="0"/>
  </r>
  <r>
    <x v="0"/>
    <x v="15"/>
    <x v="18"/>
    <x v="1"/>
    <n v="6.9497852985310988"/>
    <n v="2.390000000000001"/>
    <n v="15707.217475193802"/>
    <m/>
    <m/>
    <x v="0"/>
  </r>
  <r>
    <x v="0"/>
    <x v="15"/>
    <x v="19"/>
    <x v="1"/>
    <n v="24.640147876610264"/>
    <n v="1.9300000000000006"/>
    <n v="55689.225593868941"/>
    <m/>
    <m/>
    <x v="0"/>
  </r>
  <r>
    <x v="0"/>
    <x v="15"/>
    <x v="20"/>
    <x v="1"/>
    <n v="22.112953222598954"/>
    <n v="2.2300000000000009"/>
    <n v="49977.510148343914"/>
    <m/>
    <m/>
    <x v="0"/>
  </r>
  <r>
    <x v="0"/>
    <x v="16"/>
    <x v="9"/>
    <x v="2"/>
    <n v="1.9066113513990641"/>
    <n v="1.17"/>
    <n v="4309.1344337540822"/>
    <m/>
    <m/>
    <x v="1"/>
  </r>
  <r>
    <x v="0"/>
    <x v="16"/>
    <x v="4"/>
    <x v="2"/>
    <n v="7.3086768470297478"/>
    <n v="1.2400000000000011"/>
    <n v="16518.348662723984"/>
    <m/>
    <m/>
    <x v="1"/>
  </r>
  <r>
    <x v="0"/>
    <x v="16"/>
    <x v="5"/>
    <x v="2"/>
    <n v="1.2710742342660428"/>
    <n v="1.7500000000000004"/>
    <n v="2872.7562891693883"/>
    <m/>
    <m/>
    <x v="0"/>
  </r>
  <r>
    <x v="0"/>
    <x v="16"/>
    <x v="10"/>
    <x v="0"/>
    <n v="3.4954541442316178"/>
    <n v="1.4999999999999991"/>
    <n v="7900.0797952158173"/>
    <m/>
    <m/>
    <x v="0"/>
  </r>
  <r>
    <x v="0"/>
    <x v="17"/>
    <x v="0"/>
    <x v="0"/>
    <n v="54.020654956306828"/>
    <n v="2.1100000000000008"/>
    <n v="122092.14228969903"/>
    <m/>
    <m/>
    <x v="0"/>
  </r>
  <r>
    <x v="0"/>
    <x v="18"/>
    <x v="0"/>
    <x v="0"/>
    <n v="214.49377703239475"/>
    <n v="1.9700000000000006"/>
    <n v="484777.62379733426"/>
    <m/>
    <m/>
    <x v="0"/>
  </r>
  <r>
    <x v="0"/>
    <x v="19"/>
    <x v="21"/>
    <x v="1"/>
    <n v="2.2243799099655752"/>
    <n v="2.569999999999999"/>
    <n v="5027.3235060464294"/>
    <m/>
    <m/>
    <x v="0"/>
  </r>
  <r>
    <x v="0"/>
    <x v="19"/>
    <x v="22"/>
    <x v="1"/>
    <n v="0.63553711713302152"/>
    <n v="2.5"/>
    <n v="1436.3781445846944"/>
    <m/>
    <m/>
    <x v="0"/>
  </r>
  <r>
    <x v="0"/>
    <x v="20"/>
    <x v="6"/>
    <x v="2"/>
    <n v="36.543384235148736"/>
    <n v="2.589999999999999"/>
    <n v="82591.743313619911"/>
    <m/>
    <m/>
    <x v="1"/>
  </r>
  <r>
    <x v="0"/>
    <x v="20"/>
    <x v="7"/>
    <x v="2"/>
    <n v="19.066113513990643"/>
    <n v="1.35"/>
    <n v="43091.344337540824"/>
    <m/>
    <m/>
    <x v="1"/>
  </r>
  <r>
    <x v="0"/>
    <x v="20"/>
    <x v="8"/>
    <x v="2"/>
    <n v="1.5888427928325535"/>
    <n v="0.40000000000000036"/>
    <n v="3590.945361461735"/>
    <m/>
    <m/>
    <x v="1"/>
  </r>
  <r>
    <x v="0"/>
    <x v="20"/>
    <x v="0"/>
    <x v="0"/>
    <n v="8.26198252272928"/>
    <n v="3.5000000000000009"/>
    <n v="18672.915879601027"/>
    <m/>
    <m/>
    <x v="0"/>
  </r>
  <r>
    <x v="0"/>
    <x v="21"/>
    <x v="6"/>
    <x v="2"/>
    <n v="78.892363925244112"/>
    <n v="2.9800000000000004"/>
    <n v="178304.71936562637"/>
    <m/>
    <m/>
    <x v="1"/>
  </r>
  <r>
    <x v="0"/>
    <x v="21"/>
    <x v="7"/>
    <x v="2"/>
    <n v="17.968367584397232"/>
    <n v="1.5599999999999992"/>
    <n v="40610.327542349056"/>
    <m/>
    <m/>
    <x v="1"/>
  </r>
  <r>
    <x v="0"/>
    <x v="21"/>
    <x v="11"/>
    <x v="2"/>
    <n v="1.4037787175310341"/>
    <n v="3.0000000000000004"/>
    <n v="3172.6818392460209"/>
    <m/>
    <m/>
    <x v="1"/>
  </r>
  <r>
    <x v="0"/>
    <x v="21"/>
    <x v="8"/>
    <x v="2"/>
    <n v="58.677950392797221"/>
    <n v="2.2300000000000009"/>
    <n v="132618.10088048366"/>
    <m/>
    <m/>
    <x v="1"/>
  </r>
  <r>
    <x v="0"/>
    <x v="21"/>
    <x v="9"/>
    <x v="2"/>
    <n v="7.5804050746675831"/>
    <n v="1.0000000000000009"/>
    <n v="17132.481931928509"/>
    <m/>
    <m/>
    <x v="1"/>
  </r>
  <r>
    <x v="0"/>
    <x v="21"/>
    <x v="4"/>
    <x v="2"/>
    <n v="6.4573821006427572"/>
    <n v="1.2400000000000011"/>
    <n v="14594.336460531697"/>
    <m/>
    <m/>
    <x v="1"/>
  </r>
  <r>
    <x v="0"/>
    <x v="21"/>
    <x v="5"/>
    <x v="2"/>
    <n v="16.283833123359994"/>
    <n v="2.8099999999999992"/>
    <n v="36803.109335253837"/>
    <m/>
    <m/>
    <x v="0"/>
  </r>
  <r>
    <x v="0"/>
    <x v="21"/>
    <x v="10"/>
    <x v="0"/>
    <n v="3.0883131785682747"/>
    <n v="1.4999999999999991"/>
    <n v="6979.9000463412449"/>
    <m/>
    <m/>
    <x v="0"/>
  </r>
  <r>
    <x v="0"/>
    <x v="21"/>
    <x v="0"/>
    <x v="0"/>
    <n v="7.2996493311613762"/>
    <n v="3.67"/>
    <n v="16497.945564079306"/>
    <m/>
    <m/>
    <x v="0"/>
  </r>
  <r>
    <x v="0"/>
    <x v="22"/>
    <x v="0"/>
    <x v="0"/>
    <n v="11.121899549827875"/>
    <n v="0.58999999999999941"/>
    <n v="25136.617530232146"/>
    <m/>
    <m/>
    <x v="0"/>
  </r>
  <r>
    <x v="0"/>
    <x v="23"/>
    <x v="0"/>
    <x v="0"/>
    <n v="129.64957189513638"/>
    <n v="1.7300000000000004"/>
    <n v="293021.14149527764"/>
    <m/>
    <m/>
    <x v="0"/>
  </r>
  <r>
    <x v="0"/>
    <x v="24"/>
    <x v="0"/>
    <x v="0"/>
    <n v="44.487598199311499"/>
    <n v="1.7300000000000004"/>
    <n v="100546.47012092858"/>
    <m/>
    <m/>
    <x v="0"/>
  </r>
  <r>
    <x v="0"/>
    <x v="25"/>
    <x v="23"/>
    <x v="1"/>
    <n v="11.121899549827877"/>
    <n v="2.8899999999999992"/>
    <n v="25136.61753023215"/>
    <m/>
    <m/>
    <x v="0"/>
  </r>
  <r>
    <x v="0"/>
    <x v="25"/>
    <x v="24"/>
    <x v="1"/>
    <n v="2.2243799099655757"/>
    <n v="2.7899999999999991"/>
    <n v="5027.3235060464303"/>
    <m/>
    <m/>
    <x v="0"/>
  </r>
  <r>
    <x v="0"/>
    <x v="25"/>
    <x v="25"/>
    <x v="1"/>
    <n v="3.1776855856651078"/>
    <n v="3.0000000000000004"/>
    <n v="7181.8907229234719"/>
    <m/>
    <m/>
    <x v="0"/>
  </r>
  <r>
    <x v="0"/>
    <x v="26"/>
    <x v="6"/>
    <x v="2"/>
    <n v="352.88427411268384"/>
    <n v="3.839999999999999"/>
    <n v="797554.14001571469"/>
    <n v="15707066.375063933"/>
    <n v="7510922.8022258524"/>
    <x v="1"/>
  </r>
  <r>
    <x v="0"/>
    <x v="26"/>
    <x v="26"/>
    <x v="2"/>
    <n v="105.04577617851177"/>
    <n v="3.2000000000000006"/>
    <n v="237414.07545858354"/>
    <n v="4675643.2629500646"/>
    <n v="1889163.2687137569"/>
    <x v="1"/>
  </r>
  <r>
    <x v="0"/>
    <x v="26"/>
    <x v="7"/>
    <x v="2"/>
    <n v="48.177022644518402"/>
    <n v="2.7699999999999991"/>
    <n v="108884.94240890119"/>
    <n v="2144384.8534570034"/>
    <n v="759601.15787036461"/>
    <x v="1"/>
  </r>
  <r>
    <x v="0"/>
    <x v="26"/>
    <x v="11"/>
    <x v="2"/>
    <n v="68.043836106175462"/>
    <n v="3.5400000000000009"/>
    <n v="153785.9495878295"/>
    <n v="3028667.2672537053"/>
    <n v="1343009.4979864731"/>
    <x v="1"/>
  </r>
  <r>
    <x v="0"/>
    <x v="26"/>
    <x v="12"/>
    <x v="2"/>
    <n v="25.33018716361277"/>
    <n v="4.2399999999999993"/>
    <n v="57248.784153133623"/>
    <n v="1127460.0775907957"/>
    <n v="591383.81584850349"/>
    <x v="1"/>
  </r>
  <r>
    <x v="0"/>
    <x v="26"/>
    <x v="8"/>
    <x v="2"/>
    <n v="91.387341923622557"/>
    <n v="3.1899999999999995"/>
    <n v="206544.63302307035"/>
    <n v="4067699.1034648321"/>
    <n v="1638814.9532994223"/>
    <x v="1"/>
  </r>
  <r>
    <x v="0"/>
    <x v="26"/>
    <x v="27"/>
    <x v="2"/>
    <n v="27.068533341507763"/>
    <n v="3.2200000000000006"/>
    <n v="61177.622281289849"/>
    <n v="1204834.7887980072"/>
    <n v="489597.26719335065"/>
    <x v="1"/>
  </r>
  <r>
    <x v="0"/>
    <x v="26"/>
    <x v="9"/>
    <x v="2"/>
    <n v="8.1950605529335441"/>
    <n v="3.67"/>
    <n v="18521.665461307941"/>
    <n v="364766.49569113983"/>
    <n v="167242.88490891707"/>
    <x v="1"/>
  </r>
  <r>
    <x v="0"/>
    <x v="26"/>
    <x v="28"/>
    <x v="2"/>
    <n v="23.343505817447063"/>
    <n v="3.91"/>
    <n v="52758.68343524079"/>
    <n v="1039031.8362111255"/>
    <n v="505278.06485395948"/>
    <x v="1"/>
  </r>
  <r>
    <x v="0"/>
    <x v="26"/>
    <x v="4"/>
    <x v="2"/>
    <n v="36.256934567524169"/>
    <n v="4.2199999999999989"/>
    <n v="81944.338101544228"/>
    <n v="1613815.4051789823"/>
    <n v="842751.34964621521"/>
    <x v="1"/>
  </r>
  <r>
    <x v="0"/>
    <x v="26"/>
    <x v="29"/>
    <x v="0"/>
    <n v="93.870693606329667"/>
    <n v="2.38"/>
    <n v="212157.25892043635"/>
    <n v="4178234.4051894192"/>
    <n v="1291268.7191033678"/>
    <x v="1"/>
  </r>
  <r>
    <x v="0"/>
    <x v="26"/>
    <x v="30"/>
    <x v="0"/>
    <n v="135.09433153926813"/>
    <n v="1.5700000000000003"/>
    <n v="305326.84881671274"/>
    <n v="6013120.413817578"/>
    <n v="1294071.6180168507"/>
    <x v="1"/>
  </r>
  <r>
    <x v="0"/>
    <x v="26"/>
    <x v="31"/>
    <x v="0"/>
    <n v="34.766923557899879"/>
    <n v="2.1700000000000008"/>
    <n v="78576.762563124576"/>
    <n v="1547494.2241442294"/>
    <n v="440599.46050989541"/>
    <x v="1"/>
  </r>
  <r>
    <x v="0"/>
    <x v="26"/>
    <x v="32"/>
    <x v="0"/>
    <n v="4.7183681971435556"/>
    <n v="1.2599999999999989"/>
    <n v="10663.98920499548"/>
    <n v="210017.07327671687"/>
    <n v="37654.906144612272"/>
    <x v="1"/>
  </r>
  <r>
    <x v="0"/>
    <x v="26"/>
    <x v="33"/>
    <x v="0"/>
    <n v="14.155104591430664"/>
    <n v="2.1999999999999997"/>
    <n v="31991.967614986432"/>
    <n v="630051.21983015048"/>
    <n v="181576.66622211991"/>
    <x v="1"/>
  </r>
  <r>
    <x v="0"/>
    <x v="27"/>
    <x v="0"/>
    <x v="0"/>
    <n v="23.514873333921791"/>
    <n v="1.2799999999999989"/>
    <n v="53145.991349633681"/>
    <m/>
    <n v="0"/>
    <x v="0"/>
  </r>
  <r>
    <x v="0"/>
    <x v="28"/>
    <x v="34"/>
    <x v="1"/>
    <n v="1.0993074458517127"/>
    <n v="2.5"/>
    <n v="2484.5459798221736"/>
    <m/>
    <n v="0"/>
    <x v="0"/>
  </r>
  <r>
    <x v="0"/>
    <x v="28"/>
    <x v="35"/>
    <x v="1"/>
    <n v="4.9468835063327079"/>
    <n v="2.56"/>
    <n v="11180.456909199782"/>
    <m/>
    <m/>
    <x v="0"/>
  </r>
  <r>
    <x v="0"/>
    <x v="28"/>
    <x v="36"/>
    <x v="1"/>
    <n v="8.2448058438878462"/>
    <n v="1.9300000000000006"/>
    <n v="18634.094848666304"/>
    <m/>
    <m/>
    <x v="0"/>
  </r>
  <r>
    <x v="0"/>
    <x v="28"/>
    <x v="37"/>
    <x v="1"/>
    <n v="63.210178136473502"/>
    <n v="3.4400000000000008"/>
    <n v="142861.39383977503"/>
    <m/>
    <m/>
    <x v="0"/>
  </r>
  <r>
    <x v="0"/>
    <x v="28"/>
    <x v="38"/>
    <x v="1"/>
    <n v="0.82448058438878469"/>
    <n v="2.669999999999999"/>
    <n v="1863.4094848666305"/>
    <m/>
    <m/>
    <x v="0"/>
  </r>
  <r>
    <x v="0"/>
    <x v="28"/>
    <x v="39"/>
    <x v="1"/>
    <n v="0.54965372292585635"/>
    <n v="0.50000000000000044"/>
    <n v="1242.2729899110868"/>
    <m/>
    <m/>
    <x v="0"/>
  </r>
  <r>
    <x v="0"/>
    <x v="28"/>
    <x v="0"/>
    <x v="0"/>
    <n v="63.485004997936429"/>
    <n v="1.319999999999999"/>
    <n v="143482.53033473055"/>
    <m/>
    <m/>
    <x v="0"/>
  </r>
  <r>
    <x v="0"/>
    <x v="29"/>
    <x v="0"/>
    <x v="0"/>
    <n v="38.767764145114299"/>
    <n v="1.7300000000000004"/>
    <n v="87619.066819666332"/>
    <m/>
    <m/>
    <x v="0"/>
  </r>
  <r>
    <x v="0"/>
    <x v="30"/>
    <x v="0"/>
    <x v="0"/>
    <n v="26.692558919586894"/>
    <n v="1.6900000000000004"/>
    <n v="60327.882072557142"/>
    <m/>
    <m/>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7">
  <r>
    <x v="0"/>
    <x v="0"/>
    <x v="0"/>
    <x v="0"/>
    <d v="1900-01-03T00:30:00"/>
    <n v="636422"/>
    <d v="1899-12-30T06:03:05"/>
    <n v="270463.52740050328"/>
    <n v="75389.756696462544"/>
    <s v="No"/>
    <x v="0"/>
    <x v="0"/>
    <x v="0"/>
    <x v="0"/>
    <n v="10977116"/>
    <n v="21784.684986578988"/>
    <x v="0"/>
    <m/>
    <m/>
  </r>
  <r>
    <x v="0"/>
    <x v="0"/>
    <x v="0"/>
    <x v="1"/>
    <d v="1899-12-30T12:00:00"/>
    <n v="46728"/>
    <d v="1899-12-30T00:40:50"/>
    <n v="10466.605857678755"/>
    <n v="3045.6407295204876"/>
    <s v="No"/>
    <x v="0"/>
    <x v="0"/>
    <x v="0"/>
    <x v="0"/>
    <n v="10977116"/>
    <n v="2449.5778079225038"/>
    <x v="0"/>
    <m/>
    <m/>
  </r>
  <r>
    <x v="0"/>
    <x v="0"/>
    <x v="1"/>
    <x v="0"/>
    <d v="1899-12-30T20:00:00"/>
    <n v="116796"/>
    <d v="1899-12-30T01:13:30"/>
    <n v="47101.926483733609"/>
    <n v="13077.107773743381"/>
    <s v="No"/>
    <x v="0"/>
    <x v="0"/>
    <x v="0"/>
    <x v="0"/>
    <n v="10977116"/>
    <n v="4410.3521004288268"/>
    <x v="0"/>
    <m/>
    <m/>
  </r>
  <r>
    <x v="0"/>
    <x v="0"/>
    <x v="1"/>
    <x v="1"/>
    <d v="1899-12-30T21:30:00"/>
    <n v="107248"/>
    <d v="1899-12-30T01:19:17"/>
    <n v="22915.511667645165"/>
    <n v="6552.9077649588562"/>
    <s v="No"/>
    <x v="0"/>
    <x v="0"/>
    <x v="0"/>
    <x v="0"/>
    <n v="10977116"/>
    <n v="4757.4760811673659"/>
    <x v="0"/>
    <m/>
    <m/>
  </r>
  <r>
    <x v="0"/>
    <x v="0"/>
    <x v="2"/>
    <x v="2"/>
    <d v="1899-12-30T00:30:00"/>
    <n v="8859"/>
    <d v="1899-12-30T00:01:35"/>
    <n v="309.35632437858283"/>
    <n v="92.814970759113521"/>
    <s v="No"/>
    <x v="0"/>
    <x v="0"/>
    <x v="0"/>
    <x v="0"/>
    <n v="10977116"/>
    <n v="95.472186287192713"/>
    <x v="0"/>
    <m/>
    <m/>
  </r>
  <r>
    <x v="0"/>
    <x v="0"/>
    <x v="2"/>
    <x v="0"/>
    <d v="1900-01-01T11:45:00"/>
    <n v="412839"/>
    <d v="1899-12-30T03:53:51"/>
    <n v="159582.80661835728"/>
    <n v="45320.293662080119"/>
    <s v="No"/>
    <x v="0"/>
    <x v="0"/>
    <x v="0"/>
    <x v="0"/>
    <n v="10977116"/>
    <n v="14030.652367950197"/>
    <x v="0"/>
    <m/>
    <m/>
  </r>
  <r>
    <x v="0"/>
    <x v="0"/>
    <x v="2"/>
    <x v="1"/>
    <d v="1899-12-30T16:20:00"/>
    <n v="70092"/>
    <d v="1899-12-30T01:10:31"/>
    <n v="18077.100539372626"/>
    <n v="5179.1724674463458"/>
    <s v="No"/>
    <x v="0"/>
    <x v="0"/>
    <x v="0"/>
    <x v="0"/>
    <n v="10977116"/>
    <n v="4230.7186221543316"/>
    <x v="0"/>
    <m/>
    <m/>
  </r>
  <r>
    <x v="0"/>
    <x v="0"/>
    <x v="3"/>
    <x v="0"/>
    <d v="1899-12-31T19:30:00"/>
    <n v="325242"/>
    <d v="1899-12-30T02:47:24"/>
    <n v="118000.95568351093"/>
    <n v="33141.028056741969"/>
    <s v="No"/>
    <x v="0"/>
    <x v="0"/>
    <x v="0"/>
    <x v="0"/>
    <n v="10977116"/>
    <n v="10044.42013275592"/>
    <x v="0"/>
    <m/>
    <m/>
  </r>
  <r>
    <x v="0"/>
    <x v="0"/>
    <x v="3"/>
    <x v="1"/>
    <d v="1899-12-30T08:30:00"/>
    <n v="46728"/>
    <d v="1899-12-30T00:33:15"/>
    <n v="8522.5270632727024"/>
    <n v="2424.0346764194755"/>
    <s v="No"/>
    <x v="0"/>
    <x v="0"/>
    <x v="0"/>
    <x v="0"/>
    <n v="10977116"/>
    <n v="1994.5905526093527"/>
    <x v="0"/>
    <m/>
    <m/>
  </r>
  <r>
    <x v="0"/>
    <x v="1"/>
    <x v="0"/>
    <x v="2"/>
    <d v="1899-12-30T02:29:57"/>
    <n v="27963.431857799049"/>
    <d v="1899-12-30T00:11:22"/>
    <n v="4533.5576900148026"/>
    <n v="1316.0278876764125"/>
    <s v="Yes"/>
    <x v="1"/>
    <x v="0"/>
    <x v="0"/>
    <x v="0"/>
    <n v="1753245"/>
    <n v="682.2663767199881"/>
    <x v="1"/>
    <m/>
    <m/>
  </r>
  <r>
    <x v="0"/>
    <x v="1"/>
    <x v="0"/>
    <x v="0"/>
    <d v="1900-01-02T23:13:51"/>
    <n v="288634.64176198898"/>
    <d v="1899-12-30T06:07:10"/>
    <n v="166476.86927188444"/>
    <n v="46556.361871120193"/>
    <s v="Yes"/>
    <x v="1"/>
    <x v="0"/>
    <x v="0"/>
    <x v="0"/>
    <n v="1753245"/>
    <n v="22030.389405023096"/>
    <x v="1"/>
    <m/>
    <m/>
  </r>
  <r>
    <x v="0"/>
    <x v="1"/>
    <x v="0"/>
    <x v="1"/>
    <d v="1900-01-02T18:54:56"/>
    <n v="168756.05969997335"/>
    <d v="1899-12-30T06:10:14"/>
    <n v="70430.093044863068"/>
    <n v="19753.560448387019"/>
    <s v="Yes"/>
    <x v="1"/>
    <x v="0"/>
    <x v="0"/>
    <x v="0"/>
    <n v="1753245"/>
    <n v="22213.904814041151"/>
    <x v="1"/>
    <m/>
    <m/>
  </r>
  <r>
    <x v="0"/>
    <x v="1"/>
    <x v="2"/>
    <x v="1"/>
    <d v="1899-12-30T08:00:00"/>
    <n v="7509"/>
    <d v="1899-12-30T00:25:26"/>
    <n v="2612.0428011948898"/>
    <n v="734.22295096746052"/>
    <s v="No"/>
    <x v="1"/>
    <x v="0"/>
    <x v="0"/>
    <x v="0"/>
    <n v="1753245"/>
    <n v="1525.7395478321969"/>
    <x v="0"/>
    <m/>
    <m/>
  </r>
  <r>
    <x v="0"/>
    <x v="1"/>
    <x v="4"/>
    <x v="2"/>
    <d v="1899-12-30T01:03:58"/>
    <n v="109577.63414044509"/>
    <d v="1899-12-30T00:03:48"/>
    <n v="8839.0747241285626"/>
    <n v="2452.9521078632197"/>
    <s v="Yes"/>
    <x v="1"/>
    <x v="0"/>
    <x v="0"/>
    <x v="1"/>
    <n v="7430500"/>
    <n v="228.4669597459586"/>
    <x v="1"/>
    <m/>
    <m/>
  </r>
  <r>
    <x v="0"/>
    <x v="1"/>
    <x v="4"/>
    <x v="0"/>
    <d v="1899-12-31T16:20:52"/>
    <n v="381733.36047739623"/>
    <d v="1899-12-30T02:57:13"/>
    <n v="288842.85636023933"/>
    <n v="82458.301652016715"/>
    <s v="Yes"/>
    <x v="1"/>
    <x v="0"/>
    <x v="0"/>
    <x v="1"/>
    <n v="7430500"/>
    <n v="10633.311987093371"/>
    <x v="1"/>
    <m/>
    <m/>
  </r>
  <r>
    <x v="0"/>
    <x v="2"/>
    <x v="5"/>
    <x v="2"/>
    <d v="1899-12-30T23:42:33"/>
    <n v="234549"/>
    <d v="1899-12-30T01:44:25"/>
    <n v="7297.2774590998251"/>
    <n v="2099.703181361012"/>
    <s v="Yes"/>
    <x v="2"/>
    <x v="0"/>
    <x v="0"/>
    <x v="0"/>
    <n v="3045000"/>
    <n v="6265.2051572671462"/>
    <x v="1"/>
    <m/>
    <m/>
  </r>
  <r>
    <x v="0"/>
    <x v="2"/>
    <x v="5"/>
    <x v="0"/>
    <d v="1900-01-04T09:08:54"/>
    <n v="724899"/>
    <d v="1899-12-30T10:22:41"/>
    <n v="97431.927018422022"/>
    <n v="27963.342829276764"/>
    <s v="Yes"/>
    <x v="2"/>
    <x v="0"/>
    <x v="0"/>
    <x v="0"/>
    <n v="3045000"/>
    <n v="37360.846734974359"/>
    <x v="1"/>
    <m/>
    <m/>
  </r>
  <r>
    <x v="0"/>
    <x v="2"/>
    <x v="5"/>
    <x v="1"/>
    <d v="1899-12-31T10:16:11"/>
    <n v="100755"/>
    <d v="1899-12-30T02:35:58"/>
    <n v="9475.9239196314884"/>
    <n v="2817.2401056562867"/>
    <s v="Yes"/>
    <x v="2"/>
    <x v="0"/>
    <x v="0"/>
    <x v="0"/>
    <n v="3045000"/>
    <n v="9358.2034144704285"/>
    <x v="1"/>
    <m/>
    <m/>
  </r>
  <r>
    <x v="0"/>
    <x v="2"/>
    <x v="6"/>
    <x v="2"/>
    <d v="1899-12-30T20:07:21"/>
    <n v="41029"/>
    <d v="1899-12-30T01:34:58"/>
    <n v="2076.6793312746408"/>
    <n v="595.09780179851248"/>
    <s v="No"/>
    <x v="2"/>
    <x v="0"/>
    <x v="0"/>
    <x v="0"/>
    <n v="52785.504510029394"/>
    <n v="5698.1850807704086"/>
    <x v="0"/>
    <m/>
    <m/>
  </r>
  <r>
    <x v="0"/>
    <x v="2"/>
    <x v="6"/>
    <x v="0"/>
    <d v="1900-01-02T01:06:04"/>
    <n v="106923"/>
    <d v="1899-12-30T06:02:35"/>
    <n v="15313.889230911627"/>
    <n v="4604.4143665025458"/>
    <s v="No"/>
    <x v="2"/>
    <x v="0"/>
    <x v="0"/>
    <x v="0"/>
    <n v="52785.504510029394"/>
    <n v="21754.717327620147"/>
    <x v="0"/>
    <m/>
    <m/>
  </r>
  <r>
    <x v="0"/>
    <x v="2"/>
    <x v="6"/>
    <x v="1"/>
    <d v="1900-01-01T10:01:52"/>
    <n v="39497"/>
    <d v="1899-12-30T04:21:43"/>
    <n v="3865.2437793258573"/>
    <n v="1096.0795660305414"/>
    <s v="No"/>
    <x v="2"/>
    <x v="0"/>
    <x v="0"/>
    <x v="0"/>
    <n v="52785.504510029394"/>
    <n v="15702.621336057931"/>
    <x v="0"/>
    <m/>
    <m/>
  </r>
  <r>
    <x v="0"/>
    <x v="2"/>
    <x v="7"/>
    <x v="2"/>
    <d v="1899-12-30T03:38:04"/>
    <n v="174763"/>
    <d v="1899-12-30T00:16:06"/>
    <n v="3664.7785387751292"/>
    <n v="1065.6418406766686"/>
    <s v="Yes"/>
    <x v="2"/>
    <x v="0"/>
    <x v="0"/>
    <x v="1"/>
    <n v="3180534"/>
    <n v="966.18354526770941"/>
    <x v="1"/>
    <m/>
    <m/>
  </r>
  <r>
    <x v="0"/>
    <x v="2"/>
    <x v="7"/>
    <x v="0"/>
    <d v="1899-12-30T15:18:26"/>
    <n v="149926"/>
    <d v="1899-12-30T01:04:54"/>
    <n v="18194.708466780499"/>
    <n v="5271.9373393630567"/>
    <s v="Yes"/>
    <x v="2"/>
    <x v="0"/>
    <x v="0"/>
    <x v="1"/>
    <n v="3180534"/>
    <n v="3893.9458203127133"/>
    <x v="1"/>
    <m/>
    <m/>
  </r>
  <r>
    <x v="0"/>
    <x v="3"/>
    <x v="5"/>
    <x v="2"/>
    <d v="1899-12-30T15:24:40"/>
    <n v="120398"/>
    <d v="1899-12-30T01:10:01"/>
    <n v="18141.370677188461"/>
    <n v="5180.306431976187"/>
    <s v="Yes"/>
    <x v="2"/>
    <x v="0"/>
    <x v="0"/>
    <x v="0"/>
    <n v="3319000"/>
    <n v="4200.8357716305036"/>
    <x v="1"/>
    <m/>
    <m/>
  </r>
  <r>
    <x v="0"/>
    <x v="3"/>
    <x v="5"/>
    <x v="0"/>
    <d v="1900-01-05T14:18:38"/>
    <n v="508700"/>
    <d v="1899-12-30T12:32:33"/>
    <n v="370798.80455845501"/>
    <n v="104923.75087707907"/>
    <s v="Yes"/>
    <x v="2"/>
    <x v="0"/>
    <x v="0"/>
    <x v="0"/>
    <n v="3319000"/>
    <n v="45153.346533117976"/>
    <x v="1"/>
    <m/>
    <m/>
  </r>
  <r>
    <x v="0"/>
    <x v="3"/>
    <x v="5"/>
    <x v="1"/>
    <d v="1899-12-31T13:17:34"/>
    <n v="150893"/>
    <d v="1899-12-30T02:40:50"/>
    <n v="68963.460406623373"/>
    <n v="19721.065088029438"/>
    <s v="Yes"/>
    <x v="2"/>
    <x v="0"/>
    <x v="0"/>
    <x v="0"/>
    <n v="3319000"/>
    <n v="9650.0175045301676"/>
    <x v="1"/>
    <m/>
    <m/>
  </r>
  <r>
    <x v="0"/>
    <x v="3"/>
    <x v="6"/>
    <x v="2"/>
    <d v="1899-12-30T20:07:21"/>
    <n v="102990"/>
    <d v="1899-12-30T01:34:58"/>
    <n v="15923.024810073131"/>
    <n v="4574.9048113297267"/>
    <s v="No"/>
    <x v="2"/>
    <x v="0"/>
    <x v="0"/>
    <x v="0"/>
    <n v="1885000"/>
    <n v="5698.1850807704077"/>
    <x v="0"/>
    <m/>
    <m/>
  </r>
  <r>
    <x v="0"/>
    <x v="3"/>
    <x v="6"/>
    <x v="0"/>
    <d v="1900-01-02T01:06:04"/>
    <n v="257571"/>
    <d v="1899-12-30T06:02:35"/>
    <n v="107286.99806256259"/>
    <n v="32330.812346065592"/>
    <s v="No"/>
    <x v="2"/>
    <x v="0"/>
    <x v="0"/>
    <x v="0"/>
    <n v="1885000"/>
    <n v="21754.717327620147"/>
    <x v="0"/>
    <m/>
    <m/>
  </r>
  <r>
    <x v="0"/>
    <x v="3"/>
    <x v="6"/>
    <x v="1"/>
    <d v="1900-01-01T10:01:52"/>
    <n v="244130"/>
    <d v="1899-12-30T04:21:43"/>
    <n v="70749.238335627131"/>
    <n v="20064.278370178621"/>
    <s v="No"/>
    <x v="2"/>
    <x v="0"/>
    <x v="0"/>
    <x v="0"/>
    <n v="1885000"/>
    <n v="15702.621336057933"/>
    <x v="0"/>
    <m/>
    <m/>
  </r>
  <r>
    <x v="0"/>
    <x v="4"/>
    <x v="0"/>
    <x v="2"/>
    <d v="1899-12-30T16:45:00"/>
    <n v="214971"/>
    <d v="1899-12-30T01:01:34"/>
    <n v="16926.846505315578"/>
    <n v="4699.4722412482815"/>
    <s v="No"/>
    <x v="0"/>
    <x v="0"/>
    <x v="0"/>
    <x v="0"/>
    <n v="10162804.986821327"/>
    <n v="3693.6698841091425"/>
    <x v="0"/>
    <m/>
    <m/>
  </r>
  <r>
    <x v="0"/>
    <x v="4"/>
    <x v="0"/>
    <x v="0"/>
    <d v="1900-01-04T22:30:00"/>
    <n v="1015184"/>
    <d v="1899-12-30T09:19:43"/>
    <n v="486515.93818178709"/>
    <n v="136788.93883549137"/>
    <s v="No"/>
    <x v="0"/>
    <x v="0"/>
    <x v="0"/>
    <x v="0"/>
    <n v="10162804.986821327"/>
    <n v="33582.716673604089"/>
    <x v="0"/>
    <m/>
    <m/>
  </r>
  <r>
    <x v="0"/>
    <x v="4"/>
    <x v="0"/>
    <x v="1"/>
    <d v="1899-12-30T11:00:00"/>
    <n v="61220"/>
    <d v="1899-12-30T00:39:45"/>
    <n v="13349.215539120973"/>
    <n v="3801.3182504953538"/>
    <s v="No"/>
    <x v="0"/>
    <x v="0"/>
    <x v="0"/>
    <x v="0"/>
    <n v="10162804.986821327"/>
    <n v="2384.6518460434299"/>
    <x v="0"/>
    <m/>
    <m/>
  </r>
  <r>
    <x v="0"/>
    <x v="4"/>
    <x v="2"/>
    <x v="2"/>
    <d v="1899-12-30T01:00:00"/>
    <n v="20433"/>
    <d v="1899-12-30T00:03:41"/>
    <n v="1648.0592894313659"/>
    <n v="457.55769571029589"/>
    <s v="No"/>
    <x v="0"/>
    <x v="0"/>
    <x v="0"/>
    <x v="0"/>
    <n v="10162804.986821327"/>
    <n v="220.51760502144128"/>
    <x v="0"/>
    <m/>
    <m/>
  </r>
  <r>
    <x v="0"/>
    <x v="4"/>
    <x v="2"/>
    <x v="0"/>
    <d v="1899-12-30T05:00:00"/>
    <n v="38255"/>
    <d v="1899-12-30T00:15:30"/>
    <n v="13008.245346823869"/>
    <n v="3621.3679888884926"/>
    <s v="No"/>
    <x v="0"/>
    <x v="0"/>
    <x v="0"/>
    <x v="0"/>
    <n v="10162804.986821327"/>
    <n v="929.67913429366217"/>
    <x v="0"/>
    <m/>
    <m/>
  </r>
  <r>
    <x v="0"/>
    <x v="4"/>
    <x v="2"/>
    <x v="1"/>
    <d v="1899-12-31T18:00:00"/>
    <n v="214270"/>
    <d v="1899-12-30T02:45:22"/>
    <n v="55545.45115897603"/>
    <n v="15649.782493970086"/>
    <s v="No"/>
    <x v="0"/>
    <x v="0"/>
    <x v="0"/>
    <x v="0"/>
    <n v="10162804.986821327"/>
    <n v="9922.4229511758585"/>
    <x v="0"/>
    <m/>
    <m/>
  </r>
  <r>
    <x v="0"/>
    <x v="4"/>
    <x v="8"/>
    <x v="1"/>
    <d v="1899-12-30T10:00:00"/>
    <n v="61220"/>
    <d v="1899-12-30T00:38:54"/>
    <n v="13064.81590247249"/>
    <n v="3714.9585474842343"/>
    <s v="No"/>
    <x v="0"/>
    <x v="0"/>
    <x v="0"/>
    <x v="0"/>
    <n v="10162804.986821327"/>
    <n v="2333.8478031721174"/>
    <x v="0"/>
    <m/>
    <m/>
  </r>
  <r>
    <x v="0"/>
    <x v="4"/>
    <x v="9"/>
    <x v="1"/>
    <d v="1899-12-30T05:00:00"/>
    <n v="74328"/>
    <d v="1899-12-30T00:17:06"/>
    <n v="13945.506171608029"/>
    <n v="4128.3537804246516"/>
    <s v="No"/>
    <x v="0"/>
    <x v="0"/>
    <x v="0"/>
    <x v="0"/>
    <n v="20332000"/>
    <n v="1025.9221379485189"/>
    <x v="0"/>
    <m/>
    <m/>
  </r>
  <r>
    <x v="0"/>
    <x v="4"/>
    <x v="10"/>
    <x v="0"/>
    <d v="1900-01-05T14:50:00"/>
    <n v="6962772"/>
    <d v="1899-12-30T10:03:17"/>
    <n v="1438988.2671154956"/>
    <n v="405775.14346504898"/>
    <s v="No"/>
    <x v="0"/>
    <x v="0"/>
    <x v="0"/>
    <x v="0"/>
    <n v="20332000"/>
    <n v="36197.102882223597"/>
    <x v="0"/>
    <m/>
    <m/>
  </r>
  <r>
    <x v="0"/>
    <x v="4"/>
    <x v="10"/>
    <x v="1"/>
    <d v="1899-12-30T05:00:00"/>
    <n v="96265"/>
    <d v="1899-12-30T00:17:06"/>
    <n v="18541.747070959871"/>
    <n v="5507.3460009073324"/>
    <s v="No"/>
    <x v="0"/>
    <x v="0"/>
    <x v="0"/>
    <x v="0"/>
    <n v="20332000"/>
    <n v="1025.9221379485189"/>
    <x v="0"/>
    <m/>
    <m/>
  </r>
  <r>
    <x v="0"/>
    <x v="5"/>
    <x v="11"/>
    <x v="0"/>
    <d v="1900-01-04T06:26:00"/>
    <n v="3552602"/>
    <d v="1899-12-30T10:09:09"/>
    <n v="2342216.1500334665"/>
    <n v="695162.28445313277"/>
    <s v="Yes"/>
    <x v="3"/>
    <x v="0"/>
    <x v="0"/>
    <x v="0"/>
    <n v="6701000"/>
    <n v="36549.467056176269"/>
    <x v="1"/>
    <m/>
    <m/>
  </r>
  <r>
    <x v="0"/>
    <x v="5"/>
    <x v="11"/>
    <x v="1"/>
    <d v="1899-12-30T06:03:00"/>
    <n v="38400"/>
    <d v="1899-12-30T00:22:15"/>
    <n v="11277.546077290734"/>
    <n v="3183.7434170553101"/>
    <s v="Yes"/>
    <x v="3"/>
    <x v="0"/>
    <x v="0"/>
    <x v="0"/>
    <n v="6701000"/>
    <n v="1335.3473932743846"/>
    <x v="1"/>
    <m/>
    <m/>
  </r>
  <r>
    <x v="0"/>
    <x v="5"/>
    <x v="12"/>
    <x v="0"/>
    <d v="1899-12-30T20:54:00"/>
    <n v="299196"/>
    <d v="1899-12-30T01:21:10"/>
    <n v="181417.78429561068"/>
    <n v="50586.635811584099"/>
    <s v="Yes"/>
    <x v="3"/>
    <x v="0"/>
    <x v="0"/>
    <x v="0"/>
    <n v="6701000"/>
    <n v="4870.473814283625"/>
    <x v="1"/>
    <m/>
    <m/>
  </r>
  <r>
    <x v="0"/>
    <x v="5"/>
    <x v="12"/>
    <x v="1"/>
    <d v="1899-12-30T20:30:00"/>
    <n v="112000"/>
    <d v="1899-12-30T01:15:35"/>
    <n v="37148.913455667942"/>
    <n v="10387.233934254349"/>
    <s v="Yes"/>
    <x v="3"/>
    <x v="0"/>
    <x v="0"/>
    <x v="0"/>
    <n v="6701000"/>
    <n v="4534.7587354553425"/>
    <x v="1"/>
    <m/>
    <m/>
  </r>
  <r>
    <x v="0"/>
    <x v="5"/>
    <x v="13"/>
    <x v="2"/>
    <d v="1899-12-30T01:13:00"/>
    <n v="405500"/>
    <d v="1899-12-30T00:04:10"/>
    <n v="21587.359047057507"/>
    <n v="6353.8356231346661"/>
    <s v="Yes"/>
    <x v="3"/>
    <x v="0"/>
    <x v="0"/>
    <x v="0"/>
    <n v="10512000"/>
    <n v="250.11572206798351"/>
    <x v="1"/>
    <m/>
    <m/>
  </r>
  <r>
    <x v="0"/>
    <x v="5"/>
    <x v="13"/>
    <x v="0"/>
    <d v="1900-01-05T16:36:00"/>
    <n v="6650233"/>
    <d v="1899-12-30T10:08:33"/>
    <n v="3447237.7123655383"/>
    <n v="974487.17641881225"/>
    <s v="Yes"/>
    <x v="3"/>
    <x v="0"/>
    <x v="0"/>
    <x v="0"/>
    <n v="10512000"/>
    <n v="36513.442573495442"/>
    <x v="1"/>
    <m/>
    <m/>
  </r>
  <r>
    <x v="0"/>
    <x v="5"/>
    <x v="13"/>
    <x v="1"/>
    <d v="1899-12-31T07:50:00"/>
    <n v="482499"/>
    <d v="1899-12-30T02:19:10"/>
    <n v="171501.47228009894"/>
    <n v="48599.344635092246"/>
    <s v="Yes"/>
    <x v="3"/>
    <x v="0"/>
    <x v="0"/>
    <x v="0"/>
    <n v="10512000"/>
    <n v="8350.3474012385686"/>
    <x v="1"/>
    <m/>
    <m/>
  </r>
  <r>
    <x v="0"/>
    <x v="5"/>
    <x v="14"/>
    <x v="0"/>
    <d v="1899-12-30T14:21:00"/>
    <n v="317000"/>
    <d v="1899-12-30T00:52:44"/>
    <n v="206922.91709911104"/>
    <n v="57448.887758273086"/>
    <s v="Yes"/>
    <x v="3"/>
    <x v="0"/>
    <x v="0"/>
    <x v="0"/>
    <n v="10512000"/>
    <n v="3164.4276320576823"/>
    <x v="1"/>
    <m/>
    <m/>
  </r>
  <r>
    <x v="0"/>
    <x v="5"/>
    <x v="14"/>
    <x v="1"/>
    <d v="1899-12-30T23:41:00"/>
    <n v="91801"/>
    <d v="1899-12-30T01:25:34"/>
    <n v="25333.582779806464"/>
    <n v="7314.0432846103113"/>
    <s v="Yes"/>
    <x v="3"/>
    <x v="0"/>
    <x v="0"/>
    <x v="0"/>
    <n v="10512000"/>
    <n v="5133.6476073318399"/>
    <x v="1"/>
    <m/>
    <m/>
  </r>
  <r>
    <x v="0"/>
    <x v="6"/>
    <x v="15"/>
    <x v="2"/>
    <d v="1899-12-30T00:50:27"/>
    <n v="84641"/>
    <d v="1899-12-30T00:03:10"/>
    <n v="3097.1360483254216"/>
    <n v="901.23081156440981"/>
    <s v="Yes"/>
    <x v="1"/>
    <x v="0"/>
    <x v="0"/>
    <x v="1"/>
    <n v="393350661"/>
    <n v="190.4861755864128"/>
    <x v="1"/>
    <m/>
    <m/>
  </r>
  <r>
    <x v="0"/>
    <x v="6"/>
    <x v="15"/>
    <x v="0"/>
    <d v="1900-01-01T03:20:08"/>
    <n v="4516253"/>
    <d v="1899-12-30T03:17:28"/>
    <n v="621359.07138506591"/>
    <n v="174382.04456394442"/>
    <s v="Yes"/>
    <x v="1"/>
    <x v="0"/>
    <x v="0"/>
    <x v="1"/>
    <n v="393350661"/>
    <n v="11847.568523292073"/>
    <x v="1"/>
    <m/>
    <m/>
  </r>
  <r>
    <x v="0"/>
    <x v="6"/>
    <x v="15"/>
    <x v="1"/>
    <d v="1899-12-30T03:39:57"/>
    <n v="1329363"/>
    <d v="1899-12-30T00:12:47"/>
    <n v="100325.12470207375"/>
    <n v="29500.877391498212"/>
    <s v="Yes"/>
    <x v="1"/>
    <x v="0"/>
    <x v="0"/>
    <x v="1"/>
    <n v="393350661"/>
    <n v="767.00728256563093"/>
    <x v="1"/>
    <m/>
    <m/>
  </r>
  <r>
    <x v="0"/>
    <x v="6"/>
    <x v="16"/>
    <x v="0"/>
    <d v="1899-12-31T13:30:00"/>
    <n v="1058920"/>
    <d v="1899-12-30T02:24:34"/>
    <n v="176445.6149844992"/>
    <n v="49423.42945222155"/>
    <s v="No"/>
    <x v="1"/>
    <x v="0"/>
    <x v="0"/>
    <x v="1"/>
    <n v="98000000"/>
    <n v="8674.2449904531259"/>
    <x v="0"/>
    <m/>
    <m/>
  </r>
  <r>
    <x v="0"/>
    <x v="6"/>
    <x v="16"/>
    <x v="1"/>
    <d v="1899-12-30T11:44:01"/>
    <n v="1171199"/>
    <d v="1899-12-30T00:43:23"/>
    <n v="78291.711794843286"/>
    <n v="22578.286990927583"/>
    <s v="Yes"/>
    <x v="1"/>
    <x v="0"/>
    <x v="0"/>
    <x v="1"/>
    <n v="98000000"/>
    <n v="2603.4986304494282"/>
    <x v="1"/>
    <m/>
    <m/>
  </r>
  <r>
    <x v="0"/>
    <x v="6"/>
    <x v="17"/>
    <x v="2"/>
    <d v="1900-01-02T02:30:00"/>
    <n v="1127704"/>
    <d v="1899-12-30T04:40:02"/>
    <n v="38922.07782957203"/>
    <n v="10966.418518723094"/>
    <s v="No"/>
    <x v="1"/>
    <x v="0"/>
    <x v="0"/>
    <x v="0"/>
    <n v="6080000"/>
    <n v="16801.659622343734"/>
    <x v="0"/>
    <m/>
    <m/>
  </r>
  <r>
    <x v="0"/>
    <x v="6"/>
    <x v="17"/>
    <x v="0"/>
    <d v="1900-01-05T02:00:00"/>
    <n v="472619"/>
    <d v="1899-12-30T08:56:36"/>
    <n v="202006.48619206654"/>
    <n v="56083.918177765881"/>
    <s v="No"/>
    <x v="1"/>
    <x v="0"/>
    <x v="0"/>
    <x v="0"/>
    <n v="6080000"/>
    <n v="32195.570333130428"/>
    <x v="0"/>
    <m/>
    <m/>
  </r>
  <r>
    <x v="0"/>
    <x v="6"/>
    <x v="18"/>
    <x v="2"/>
    <d v="1899-12-30T06:00:00"/>
    <n v="72976"/>
    <d v="1899-12-30T00:22:03"/>
    <n v="3091.287208546667"/>
    <n v="858.24718867326328"/>
    <s v="No"/>
    <x v="1"/>
    <x v="0"/>
    <x v="0"/>
    <x v="0"/>
    <n v="6080000"/>
    <n v="1323.105630128648"/>
    <x v="0"/>
    <m/>
    <m/>
  </r>
  <r>
    <x v="0"/>
    <x v="7"/>
    <x v="5"/>
    <x v="2"/>
    <d v="1899-12-30T22:22:17"/>
    <n v="180754"/>
    <d v="1899-12-30T01:39:08"/>
    <n v="9808.7811808455535"/>
    <n v="2782.4029649169843"/>
    <s v="Yes"/>
    <x v="2"/>
    <x v="0"/>
    <x v="0"/>
    <x v="0"/>
    <n v="1098000"/>
    <n v="5948.1995538888696"/>
    <x v="1"/>
    <m/>
    <m/>
  </r>
  <r>
    <x v="0"/>
    <x v="7"/>
    <x v="5"/>
    <x v="0"/>
    <d v="1900-01-05T12:55:21"/>
    <n v="749534"/>
    <d v="1899-12-30T12:55:17"/>
    <n v="171553.67590040853"/>
    <n v="49314.914500191582"/>
    <s v="Yes"/>
    <x v="2"/>
    <x v="0"/>
    <x v="0"/>
    <x v="0"/>
    <n v="1098000"/>
    <n v="46516.582931596611"/>
    <x v="1"/>
    <m/>
    <m/>
  </r>
  <r>
    <x v="0"/>
    <x v="7"/>
    <x v="5"/>
    <x v="1"/>
    <d v="1899-12-31T12:02:28"/>
    <n v="111705"/>
    <d v="1899-12-30T02:47:25"/>
    <n v="13002.814844642686"/>
    <n v="3716.2866307155577"/>
    <s v="Yes"/>
    <x v="2"/>
    <x v="0"/>
    <x v="0"/>
    <x v="0"/>
    <n v="1098000"/>
    <n v="10045.025317963231"/>
    <x v="1"/>
    <m/>
    <m/>
  </r>
  <r>
    <x v="0"/>
    <x v="7"/>
    <x v="6"/>
    <x v="2"/>
    <d v="1899-12-30T20:07:21"/>
    <n v="108356"/>
    <d v="1899-12-30T01:34:58"/>
    <n v="7549.1286419992857"/>
    <n v="2168.5713102983063"/>
    <s v="No"/>
    <x v="2"/>
    <x v="0"/>
    <x v="0"/>
    <x v="0"/>
    <n v="888000"/>
    <n v="5698.1850807704077"/>
    <x v="0"/>
    <m/>
    <m/>
  </r>
  <r>
    <x v="0"/>
    <x v="7"/>
    <x v="6"/>
    <x v="0"/>
    <d v="1900-01-02T01:06:04"/>
    <n v="320985"/>
    <d v="1899-12-30T06:02:35"/>
    <n v="61845.688013909581"/>
    <n v="18595.816625954962"/>
    <s v="No"/>
    <x v="2"/>
    <x v="0"/>
    <x v="0"/>
    <x v="0"/>
    <n v="888000"/>
    <n v="21754.717327620147"/>
    <x v="0"/>
    <m/>
    <m/>
  </r>
  <r>
    <x v="0"/>
    <x v="7"/>
    <x v="6"/>
    <x v="1"/>
    <d v="1900-01-01T10:01:52"/>
    <n v="137591"/>
    <d v="1899-12-30T04:21:43"/>
    <n v="18041.857812020371"/>
    <n v="5116.5774017354315"/>
    <s v="No"/>
    <x v="2"/>
    <x v="0"/>
    <x v="0"/>
    <x v="0"/>
    <n v="888000"/>
    <n v="15702.62133605794"/>
    <x v="0"/>
    <m/>
    <m/>
  </r>
  <r>
    <x v="0"/>
    <x v="8"/>
    <x v="5"/>
    <x v="2"/>
    <d v="1899-12-30T08:05:40"/>
    <n v="7637"/>
    <d v="1899-12-30T00:36:16"/>
    <n v="511.1448435472131"/>
    <n v="145.20410585609909"/>
    <s v="Yes"/>
    <x v="2"/>
    <x v="0"/>
    <x v="0"/>
    <x v="0"/>
    <n v="1156000"/>
    <n v="2176.3311391312905"/>
    <x v="1"/>
    <m/>
    <m/>
  </r>
  <r>
    <x v="0"/>
    <x v="8"/>
    <x v="5"/>
    <x v="0"/>
    <d v="1900-01-03T17:58:22"/>
    <n v="481144"/>
    <d v="1899-12-30T09:05:41"/>
    <n v="52454.900774052621"/>
    <n v="14690.941632029213"/>
    <s v="Yes"/>
    <x v="2"/>
    <x v="0"/>
    <x v="0"/>
    <x v="0"/>
    <n v="1156000"/>
    <n v="32740.699206523241"/>
    <x v="1"/>
    <m/>
    <m/>
  </r>
  <r>
    <x v="0"/>
    <x v="8"/>
    <x v="5"/>
    <x v="1"/>
    <d v="1899-12-30T09:11:11"/>
    <n v="9498"/>
    <d v="1899-12-30T00:33:13"/>
    <n v="1338.9577624983801"/>
    <n v="372.58396340674915"/>
    <s v="Yes"/>
    <x v="2"/>
    <x v="0"/>
    <x v="0"/>
    <x v="0"/>
    <n v="1156000"/>
    <n v="1992.9694379966563"/>
    <x v="1"/>
    <m/>
    <m/>
  </r>
  <r>
    <x v="0"/>
    <x v="8"/>
    <x v="6"/>
    <x v="2"/>
    <d v="1899-12-30T01:59:32"/>
    <n v="600"/>
    <d v="1899-12-30T00:07:19"/>
    <n v="80.089711074794153"/>
    <n v="22.235646426367417"/>
    <s v="Yes"/>
    <x v="2"/>
    <x v="0"/>
    <x v="0"/>
    <x v="0"/>
    <n v="1156000"/>
    <n v="439.320073114938"/>
    <x v="1"/>
    <m/>
    <m/>
  </r>
  <r>
    <x v="0"/>
    <x v="8"/>
    <x v="6"/>
    <x v="0"/>
    <d v="1900-01-01T05:16:48"/>
    <n v="39553"/>
    <d v="1899-12-30T04:14:42"/>
    <n v="12867.36889812068"/>
    <n v="3701.728635229756"/>
    <s v="Yes"/>
    <x v="2"/>
    <x v="0"/>
    <x v="0"/>
    <x v="0"/>
    <n v="1156000"/>
    <n v="15282.045605556283"/>
    <x v="1"/>
    <m/>
    <m/>
  </r>
  <r>
    <x v="0"/>
    <x v="8"/>
    <x v="6"/>
    <x v="1"/>
    <d v="1899-12-31T01:01:59"/>
    <n v="8045"/>
    <d v="1899-12-30T01:50:46"/>
    <n v="2665.4148999560789"/>
    <n v="726.55645179456008"/>
    <s v="Yes"/>
    <x v="2"/>
    <x v="0"/>
    <x v="0"/>
    <x v="0"/>
    <n v="1156000"/>
    <n v="6645.5626473823286"/>
    <x v="1"/>
    <m/>
    <m/>
  </r>
  <r>
    <x v="0"/>
    <x v="9"/>
    <x v="5"/>
    <x v="2"/>
    <d v="1899-12-30T05:26:35"/>
    <n v="1147"/>
    <d v="1899-12-30T00:20:25"/>
    <n v="120.16375281884514"/>
    <n v="33.297529075041368"/>
    <s v="Yes"/>
    <x v="2"/>
    <x v="0"/>
    <x v="0"/>
    <x v="0"/>
    <n v="571000"/>
    <n v="1224.5955336939694"/>
    <x v="1"/>
    <m/>
    <m/>
  </r>
  <r>
    <x v="0"/>
    <x v="9"/>
    <x v="5"/>
    <x v="0"/>
    <d v="1900-01-04T11:18:04"/>
    <n v="217292"/>
    <d v="1899-12-30T10:31:35"/>
    <n v="75810.16607158455"/>
    <n v="21645.206943030513"/>
    <s v="Yes"/>
    <x v="2"/>
    <x v="0"/>
    <x v="0"/>
    <x v="0"/>
    <n v="571000"/>
    <n v="37894.552918030786"/>
    <x v="1"/>
    <m/>
    <m/>
  </r>
  <r>
    <x v="0"/>
    <x v="9"/>
    <x v="5"/>
    <x v="1"/>
    <d v="1899-12-31T06:10:30"/>
    <n v="35294"/>
    <d v="1899-12-30T02:28:09"/>
    <n v="10601.005864317922"/>
    <n v="3091.3200556663583"/>
    <s v="Yes"/>
    <x v="2"/>
    <x v="0"/>
    <x v="0"/>
    <x v="0"/>
    <n v="571000"/>
    <n v="8888.5215376904725"/>
    <x v="1"/>
    <m/>
    <m/>
  </r>
  <r>
    <x v="0"/>
    <x v="9"/>
    <x v="6"/>
    <x v="2"/>
    <d v="1899-12-30T18:47:44"/>
    <n v="713"/>
    <d v="1899-12-30T01:29:25"/>
    <n v="96.114530715906525"/>
    <n v="27.725301565717277"/>
    <s v="No"/>
    <x v="2"/>
    <x v="0"/>
    <x v="0"/>
    <x v="0"/>
    <n v="90000"/>
    <n v="5365.0384598606115"/>
    <x v="0"/>
    <m/>
    <m/>
  </r>
  <r>
    <x v="0"/>
    <x v="9"/>
    <x v="6"/>
    <x v="0"/>
    <d v="1900-01-02T02:25:41"/>
    <n v="35756"/>
    <d v="1899-12-30T06:08:08"/>
    <n v="10094.830840557748"/>
    <n v="3040.3506758650551"/>
    <s v="No"/>
    <x v="2"/>
    <x v="0"/>
    <x v="0"/>
    <x v="0"/>
    <n v="90000"/>
    <n v="22087.863948529939"/>
    <x v="0"/>
    <m/>
    <m/>
  </r>
  <r>
    <x v="0"/>
    <x v="9"/>
    <x v="6"/>
    <x v="1"/>
    <d v="1900-01-01T10:01:52"/>
    <n v="18770"/>
    <d v="1899-12-30T04:21:43"/>
    <n v="4154.4251844649998"/>
    <n v="1178.1776802924962"/>
    <s v="No"/>
    <x v="2"/>
    <x v="0"/>
    <x v="0"/>
    <x v="0"/>
    <n v="90000"/>
    <n v="15702.621336057933"/>
    <x v="0"/>
    <m/>
    <m/>
  </r>
  <r>
    <x v="0"/>
    <x v="9"/>
    <x v="19"/>
    <x v="0"/>
    <d v="1899-12-30T04:49:08"/>
    <n v="63900"/>
    <d v="1899-12-30T00:16:58"/>
    <n v="18905.888799964727"/>
    <n v="5565.3973104092829"/>
    <s v="Yes"/>
    <x v="2"/>
    <x v="0"/>
    <x v="0"/>
    <x v="1"/>
    <n v="2325702"/>
    <n v="1018.4653174899204"/>
    <x v="1"/>
    <m/>
    <m/>
  </r>
  <r>
    <x v="0"/>
    <x v="10"/>
    <x v="5"/>
    <x v="2"/>
    <d v="1899-12-30T23:30:00"/>
    <n v="76308"/>
    <d v="1899-12-30T01:26:43"/>
    <n v="6083.2388869040369"/>
    <n v="1688.1771881741126"/>
    <s v="No"/>
    <x v="2"/>
    <x v="0"/>
    <x v="0"/>
    <x v="0"/>
    <n v="7446000"/>
    <n v="5202.6974820155092"/>
    <x v="0"/>
    <m/>
    <m/>
  </r>
  <r>
    <x v="0"/>
    <x v="10"/>
    <x v="5"/>
    <x v="0"/>
    <d v="1900-01-05T05:20:00"/>
    <n v="598810"/>
    <d v="1899-12-30T09:37:41"/>
    <n v="96191.759767636555"/>
    <n v="27056.464138629915"/>
    <s v="No"/>
    <x v="2"/>
    <x v="0"/>
    <x v="0"/>
    <x v="0"/>
    <n v="7446000"/>
    <n v="34661.184966615445"/>
    <x v="0"/>
    <m/>
    <m/>
  </r>
  <r>
    <x v="0"/>
    <x v="10"/>
    <x v="5"/>
    <x v="1"/>
    <d v="1899-12-31T21:54:00"/>
    <n v="91323"/>
    <d v="1899-12-30T02:48:42"/>
    <n v="11740.141886211522"/>
    <n v="3259.4654228855529"/>
    <s v="No"/>
    <x v="2"/>
    <x v="0"/>
    <x v="0"/>
    <x v="0"/>
    <n v="7446000"/>
    <n v="10121.758070484153"/>
    <x v="0"/>
    <m/>
    <m/>
  </r>
  <r>
    <x v="0"/>
    <x v="10"/>
    <x v="6"/>
    <x v="2"/>
    <d v="1899-12-31T02:45:00"/>
    <n v="97281"/>
    <d v="1899-12-30T01:38:19"/>
    <n v="8247.0280192542177"/>
    <n v="2289.6573934850262"/>
    <s v="No"/>
    <x v="2"/>
    <x v="0"/>
    <x v="0"/>
    <x v="0"/>
    <n v="5286000"/>
    <n v="5898.8459343235554"/>
    <x v="0"/>
    <m/>
    <m/>
  </r>
  <r>
    <x v="0"/>
    <x v="10"/>
    <x v="6"/>
    <x v="0"/>
    <d v="1900-01-03T01:30:00"/>
    <n v="439298"/>
    <d v="1899-12-30T05:58:20"/>
    <n v="73746.747523401456"/>
    <n v="20474.622532893904"/>
    <s v="No"/>
    <x v="2"/>
    <x v="0"/>
    <x v="0"/>
    <x v="0"/>
    <n v="5286000"/>
    <n v="21500.466489590526"/>
    <x v="0"/>
    <m/>
    <m/>
  </r>
  <r>
    <x v="0"/>
    <x v="10"/>
    <x v="6"/>
    <x v="1"/>
    <d v="1899-12-31T08:35:00"/>
    <n v="80183"/>
    <d v="1899-12-30T01:59:45"/>
    <n v="10252.896893582954"/>
    <n v="2846.5552829726867"/>
    <s v="No"/>
    <x v="2"/>
    <x v="0"/>
    <x v="0"/>
    <x v="0"/>
    <n v="5286000"/>
    <n v="7185.1986302819605"/>
    <x v="0"/>
    <m/>
    <m/>
  </r>
  <r>
    <x v="0"/>
    <x v="11"/>
    <x v="5"/>
    <x v="2"/>
    <d v="1899-12-30T23:41:51"/>
    <n v="2219900"/>
    <d v="1899-12-30T01:44:22"/>
    <n v="151186.39642554839"/>
    <n v="42868.23726444639"/>
    <s v="Yes"/>
    <x v="2"/>
    <x v="0"/>
    <x v="0"/>
    <x v="1"/>
    <n v="33338000"/>
    <n v="6262.2452513789276"/>
    <x v="1"/>
    <m/>
    <m/>
  </r>
  <r>
    <x v="0"/>
    <x v="11"/>
    <x v="5"/>
    <x v="0"/>
    <d v="1900-01-04T09:07:45"/>
    <n v="10162267"/>
    <d v="1899-12-30T10:22:35"/>
    <n v="2850225.727935228"/>
    <n v="817343.16426436917"/>
    <s v="Yes"/>
    <x v="2"/>
    <x v="0"/>
    <x v="0"/>
    <x v="1"/>
    <n v="33338000"/>
    <n v="37355.286507956669"/>
    <x v="1"/>
    <m/>
    <m/>
  </r>
  <r>
    <x v="0"/>
    <x v="11"/>
    <x v="5"/>
    <x v="1"/>
    <d v="1899-12-31T10:15:47"/>
    <n v="1131608"/>
    <d v="1899-12-30T02:35:56"/>
    <n v="208998.68173441826"/>
    <n v="61439.228747570342"/>
    <s v="Yes"/>
    <x v="2"/>
    <x v="0"/>
    <x v="0"/>
    <x v="1"/>
    <n v="33338000"/>
    <n v="9356.3508161896207"/>
    <x v="1"/>
    <m/>
    <m/>
  </r>
  <r>
    <x v="0"/>
    <x v="11"/>
    <x v="6"/>
    <x v="2"/>
    <d v="1899-12-30T20:07:21"/>
    <n v="174026"/>
    <d v="1899-12-30T01:34:58"/>
    <n v="17784.131494495712"/>
    <n v="5084.8596293139481"/>
    <s v="No"/>
    <x v="2"/>
    <x v="0"/>
    <x v="0"/>
    <x v="0"/>
    <n v="4469000"/>
    <n v="5698.1850807704077"/>
    <x v="0"/>
    <m/>
    <m/>
  </r>
  <r>
    <x v="0"/>
    <x v="11"/>
    <x v="6"/>
    <x v="0"/>
    <d v="1900-01-02T01:06:04"/>
    <n v="621969"/>
    <d v="1899-12-30T06:02:35"/>
    <n v="186996.94733591806"/>
    <n v="56112.133254268316"/>
    <s v="No"/>
    <x v="2"/>
    <x v="0"/>
    <x v="0"/>
    <x v="0"/>
    <n v="4469000"/>
    <n v="21754.717327620147"/>
    <x v="0"/>
    <m/>
    <m/>
  </r>
  <r>
    <x v="0"/>
    <x v="11"/>
    <x v="6"/>
    <x v="1"/>
    <d v="1900-01-01T10:01:52"/>
    <n v="192848"/>
    <d v="1899-12-30T04:21:43"/>
    <n v="39401.327346549413"/>
    <n v="11173.09149402671"/>
    <s v="No"/>
    <x v="2"/>
    <x v="0"/>
    <x v="0"/>
    <x v="0"/>
    <n v="4469000"/>
    <n v="15702.621336057933"/>
    <x v="0"/>
    <m/>
    <m/>
  </r>
  <r>
    <x v="0"/>
    <x v="12"/>
    <x v="20"/>
    <x v="2"/>
    <d v="1900-01-01T18:00:00"/>
    <n v="71761"/>
    <d v="1899-12-30T04:15:26"/>
    <n v="5045.0831148786037"/>
    <n v="1424.884459119138"/>
    <s v="No"/>
    <x v="1"/>
    <x v="0"/>
    <x v="0"/>
    <x v="0"/>
    <n v="1269000"/>
    <n v="15326.467734709522"/>
    <x v="0"/>
    <m/>
    <m/>
  </r>
  <r>
    <x v="0"/>
    <x v="12"/>
    <x v="20"/>
    <x v="0"/>
    <d v="1900-01-03T16:30:00"/>
    <n v="30719"/>
    <d v="1899-12-30T06:53:28"/>
    <n v="21874.837270183343"/>
    <n v="6073.2039190387504"/>
    <s v="No"/>
    <x v="1"/>
    <x v="0"/>
    <x v="0"/>
    <x v="0"/>
    <n v="1269000"/>
    <n v="24808.230564912144"/>
    <x v="0"/>
    <m/>
    <m/>
  </r>
  <r>
    <x v="0"/>
    <x v="12"/>
    <x v="21"/>
    <x v="2"/>
    <d v="1899-12-30T21:25:00"/>
    <n v="11868"/>
    <d v="1899-12-30T01:15:33"/>
    <n v="800.19067462322198"/>
    <n v="227.40951604499645"/>
    <s v="No"/>
    <x v="1"/>
    <x v="0"/>
    <x v="0"/>
    <x v="0"/>
    <n v="1269000"/>
    <n v="4533.1706022963517"/>
    <x v="0"/>
    <m/>
    <m/>
  </r>
  <r>
    <x v="0"/>
    <x v="12"/>
    <x v="21"/>
    <x v="0"/>
    <d v="1900-01-02T05:30:00"/>
    <n v="8464"/>
    <d v="1899-12-30T04:44:50"/>
    <n v="6747.0815139650467"/>
    <n v="1873.2208787006432"/>
    <s v="No"/>
    <x v="1"/>
    <x v="0"/>
    <x v="0"/>
    <x v="0"/>
    <n v="1269000"/>
    <n v="17090.114389161699"/>
    <x v="0"/>
    <m/>
    <m/>
  </r>
  <r>
    <x v="0"/>
    <x v="12"/>
    <x v="22"/>
    <x v="0"/>
    <d v="1900-01-02T01:00:00"/>
    <n v="6348"/>
    <d v="1899-12-30T04:28:18"/>
    <n v="6355.3154905735282"/>
    <n v="1764.4532147760899"/>
    <s v="No"/>
    <x v="1"/>
    <x v="0"/>
    <x v="0"/>
    <x v="0"/>
    <n v="1269000"/>
    <n v="16097.785166565211"/>
    <x v="0"/>
    <m/>
    <m/>
  </r>
  <r>
    <x v="0"/>
    <x v="12"/>
    <x v="23"/>
    <x v="1"/>
    <d v="1899-12-30T14:40:00"/>
    <n v="1184"/>
    <d v="1899-12-30T00:53:54"/>
    <n v="1428.9324899954188"/>
    <n v="396.72059229948462"/>
    <s v="No"/>
    <x v="1"/>
    <x v="0"/>
    <x v="0"/>
    <x v="0"/>
    <n v="647717.41884816892"/>
    <n v="3234.2582069811388"/>
    <x v="0"/>
    <m/>
    <m/>
  </r>
  <r>
    <x v="0"/>
    <x v="12"/>
    <x v="24"/>
    <x v="0"/>
    <d v="1900-01-02T02:00:00"/>
    <n v="81172"/>
    <d v="1899-12-30T04:31:58"/>
    <n v="35305.187117869762"/>
    <n v="9801.9289523540265"/>
    <s v="No"/>
    <x v="1"/>
    <x v="0"/>
    <x v="0"/>
    <x v="0"/>
    <n v="1269000"/>
    <n v="16318.302771586657"/>
    <x v="0"/>
    <m/>
    <m/>
  </r>
  <r>
    <x v="0"/>
    <x v="12"/>
    <x v="25"/>
    <x v="2"/>
    <d v="1899-12-31T22:00:00"/>
    <n v="210784"/>
    <d v="1899-12-30T02:49:04"/>
    <n v="8672.3387391890356"/>
    <n v="2407.7382138913131"/>
    <s v="No"/>
    <x v="1"/>
    <x v="0"/>
    <x v="0"/>
    <x v="0"/>
    <n v="1269000"/>
    <n v="10143.809830986283"/>
    <x v="0"/>
    <m/>
    <m/>
  </r>
  <r>
    <x v="0"/>
    <x v="12"/>
    <x v="25"/>
    <x v="0"/>
    <d v="1900-01-05T02:00:00"/>
    <n v="150748"/>
    <d v="1899-12-30T09:28:18"/>
    <n v="73771.170801183616"/>
    <n v="20766.171433986605"/>
    <s v="No"/>
    <x v="1"/>
    <x v="0"/>
    <x v="0"/>
    <x v="0"/>
    <n v="1269000"/>
    <n v="34097.547675617112"/>
    <x v="0"/>
    <m/>
    <m/>
  </r>
  <r>
    <x v="0"/>
    <x v="12"/>
    <x v="25"/>
    <x v="1"/>
    <d v="1900-01-03T18:15:00"/>
    <n v="164615"/>
    <d v="1899-12-30T07:35:27"/>
    <n v="27895.526253534328"/>
    <n v="7945.5470181852634"/>
    <s v="No"/>
    <x v="1"/>
    <x v="0"/>
    <x v="0"/>
    <x v="0"/>
    <n v="1269000"/>
    <n v="27327.314927805739"/>
    <x v="0"/>
    <m/>
    <m/>
  </r>
  <r>
    <x v="0"/>
    <x v="13"/>
    <x v="5"/>
    <x v="2"/>
    <d v="1899-12-30T15:53:51"/>
    <n v="54149"/>
    <d v="1899-12-30T01:18:38"/>
    <n v="7376.7967150200866"/>
    <n v="2117.4583842649395"/>
    <s v="Yes"/>
    <x v="2"/>
    <x v="0"/>
    <x v="0"/>
    <x v="0"/>
    <n v="832000"/>
    <n v="4718.253754725768"/>
    <x v="1"/>
    <m/>
    <m/>
  </r>
  <r>
    <x v="0"/>
    <x v="13"/>
    <x v="5"/>
    <x v="0"/>
    <d v="1900-01-05T02:30:25"/>
    <n v="370073"/>
    <d v="1899-12-30T11:40:16"/>
    <n v="186145.38274982813"/>
    <n v="52562.076633486584"/>
    <s v="Yes"/>
    <x v="2"/>
    <x v="0"/>
    <x v="0"/>
    <x v="0"/>
    <n v="832000"/>
    <n v="42015.984459783896"/>
    <x v="1"/>
    <m/>
    <m/>
  </r>
  <r>
    <x v="0"/>
    <x v="13"/>
    <x v="5"/>
    <x v="1"/>
    <d v="1899-12-31T12:45:37"/>
    <n v="62905"/>
    <d v="1899-12-30T02:49:15"/>
    <n v="18716.463142845419"/>
    <n v="5388.1130329910457"/>
    <s v="Yes"/>
    <x v="2"/>
    <x v="0"/>
    <x v="0"/>
    <x v="0"/>
    <n v="832000"/>
    <n v="10154.931864166989"/>
    <x v="1"/>
    <m/>
    <m/>
  </r>
  <r>
    <x v="0"/>
    <x v="13"/>
    <x v="6"/>
    <x v="2"/>
    <d v="1899-12-30T20:07:21"/>
    <n v="59248"/>
    <d v="1899-12-30T01:34:58"/>
    <n v="8230.5624359528629"/>
    <n v="2364.6395357164938"/>
    <s v="No"/>
    <x v="2"/>
    <x v="0"/>
    <x v="0"/>
    <x v="0"/>
    <n v="2098000"/>
    <n v="5698.1850807704086"/>
    <x v="0"/>
    <m/>
    <m/>
  </r>
  <r>
    <x v="0"/>
    <x v="13"/>
    <x v="6"/>
    <x v="0"/>
    <d v="1900-01-02T01:06:04"/>
    <n v="213495"/>
    <d v="1899-12-30T06:02:35"/>
    <n v="82630.458042268845"/>
    <n v="24856.263027068195"/>
    <s v="No"/>
    <x v="2"/>
    <x v="0"/>
    <x v="0"/>
    <x v="0"/>
    <n v="2098000"/>
    <n v="21754.717327620147"/>
    <x v="0"/>
    <m/>
    <m/>
  </r>
  <r>
    <x v="0"/>
    <x v="13"/>
    <x v="6"/>
    <x v="1"/>
    <d v="1900-01-01T10:01:52"/>
    <n v="90818"/>
    <d v="1899-12-30T04:21:43"/>
    <n v="23672.283370127563"/>
    <n v="6713.2659678494565"/>
    <s v="No"/>
    <x v="2"/>
    <x v="0"/>
    <x v="0"/>
    <x v="0"/>
    <n v="2098000"/>
    <n v="15702.621336057933"/>
    <x v="0"/>
    <m/>
    <m/>
  </r>
  <r>
    <x v="0"/>
    <x v="14"/>
    <x v="26"/>
    <x v="0"/>
    <d v="1899-12-30T05:40:16"/>
    <n v="132"/>
    <d v="1899-12-30T00:19:38"/>
    <n v="49.205722509957106"/>
    <n v="14.592685906792815"/>
    <s v="Yes"/>
    <x v="1"/>
    <x v="0"/>
    <x v="0"/>
    <x v="1"/>
    <n v="130000000"/>
    <n v="1177.7213415961073"/>
    <x v="1"/>
    <m/>
    <m/>
  </r>
  <r>
    <x v="0"/>
    <x v="14"/>
    <x v="27"/>
    <x v="2"/>
    <d v="1900-01-01T11:45:27"/>
    <n v="44485"/>
    <d v="1899-12-30T03:39:38"/>
    <n v="2872.5569926941935"/>
    <n v="797.52019044603071"/>
    <s v="Yes"/>
    <x v="1"/>
    <x v="0"/>
    <x v="0"/>
    <x v="0"/>
    <n v="5000000"/>
    <n v="13177.580782068781"/>
    <x v="1"/>
    <m/>
    <m/>
  </r>
  <r>
    <x v="0"/>
    <x v="14"/>
    <x v="27"/>
    <x v="0"/>
    <d v="1900-01-05T10:12:28"/>
    <n v="43725"/>
    <d v="1899-12-30T09:43:14"/>
    <n v="26401.427506479667"/>
    <n v="7515.1903434589767"/>
    <s v="Yes"/>
    <x v="1"/>
    <x v="0"/>
    <x v="0"/>
    <x v="0"/>
    <n v="5000000"/>
    <n v="34993.622100206805"/>
    <x v="1"/>
    <m/>
    <m/>
  </r>
  <r>
    <x v="0"/>
    <x v="14"/>
    <x v="28"/>
    <x v="2"/>
    <d v="1900-01-01T11:52:10"/>
    <n v="477136"/>
    <d v="1899-12-30T03:40:02"/>
    <n v="30591.709569901697"/>
    <n v="8493.3061743624639"/>
    <s v="Yes"/>
    <x v="1"/>
    <x v="0"/>
    <x v="0"/>
    <x v="0"/>
    <n v="40000000"/>
    <n v="13202.266502853126"/>
    <x v="1"/>
    <m/>
    <m/>
  </r>
  <r>
    <x v="0"/>
    <x v="14"/>
    <x v="28"/>
    <x v="0"/>
    <d v="1900-01-05T10:05:28"/>
    <n v="186783"/>
    <d v="1899-12-30T09:42:58"/>
    <n v="147993.1690703092"/>
    <n v="41737.793968099475"/>
    <s v="Yes"/>
    <x v="1"/>
    <x v="0"/>
    <x v="0"/>
    <x v="0"/>
    <n v="40000000"/>
    <n v="34978.405926075211"/>
    <x v="1"/>
    <m/>
    <m/>
  </r>
  <r>
    <x v="0"/>
    <x v="14"/>
    <x v="29"/>
    <x v="2"/>
    <d v="1900-01-02T05:39:12"/>
    <n v="84077"/>
    <d v="1899-12-30T04:45:24"/>
    <n v="5438.8293633796875"/>
    <n v="1510.0052812591136"/>
    <s v="Yes"/>
    <x v="1"/>
    <x v="0"/>
    <x v="0"/>
    <x v="0"/>
    <n v="5000000"/>
    <n v="17123.927088598321"/>
    <x v="1"/>
    <m/>
    <m/>
  </r>
  <r>
    <x v="0"/>
    <x v="14"/>
    <x v="29"/>
    <x v="0"/>
    <d v="1900-01-04T06:25:23"/>
    <n v="17449"/>
    <d v="1899-12-30T06:58:49"/>
    <n v="17098.086365335537"/>
    <n v="4775.820567587054"/>
    <s v="Yes"/>
    <x v="1"/>
    <x v="0"/>
    <x v="0"/>
    <x v="0"/>
    <n v="5000000"/>
    <n v="25128.982651973183"/>
    <x v="1"/>
    <m/>
    <m/>
  </r>
  <r>
    <x v="0"/>
    <x v="14"/>
    <x v="30"/>
    <x v="2"/>
    <d v="1900-01-02T05:56:56"/>
    <n v="960408"/>
    <d v="1899-12-30T04:46:29"/>
    <n v="61943.401447642231"/>
    <n v="17197.609462594104"/>
    <s v="Yes"/>
    <x v="1"/>
    <x v="0"/>
    <x v="0"/>
    <x v="0"/>
    <n v="29000000"/>
    <n v="17189.102291860221"/>
    <x v="1"/>
    <m/>
    <m/>
  </r>
  <r>
    <x v="0"/>
    <x v="14"/>
    <x v="30"/>
    <x v="0"/>
    <d v="1900-01-04T06:25:29"/>
    <n v="45537"/>
    <d v="1899-12-30T06:58:48"/>
    <n v="32316.866829762792"/>
    <n v="9077.6562053365142"/>
    <s v="Yes"/>
    <x v="1"/>
    <x v="0"/>
    <x v="0"/>
    <x v="0"/>
    <n v="29000000"/>
    <n v="25128.348881247672"/>
    <x v="1"/>
    <m/>
    <m/>
  </r>
  <r>
    <x v="0"/>
    <x v="15"/>
    <x v="20"/>
    <x v="2"/>
    <d v="1900-01-01T20:35:00"/>
    <n v="524251"/>
    <d v="1899-12-30T04:24:18"/>
    <n v="7253.4821007349337"/>
    <n v="2048.7120658147082"/>
    <s v="No"/>
    <x v="1"/>
    <x v="0"/>
    <x v="0"/>
    <x v="0"/>
    <n v="4637000"/>
    <n v="15857.919537360514"/>
    <x v="0"/>
    <m/>
    <m/>
  </r>
  <r>
    <x v="0"/>
    <x v="15"/>
    <x v="20"/>
    <x v="0"/>
    <d v="1900-01-02T17:20:00"/>
    <n v="207018"/>
    <d v="1899-12-30T05:28:20"/>
    <n v="23380.621571595202"/>
    <n v="6491.2612059391931"/>
    <s v="No"/>
    <x v="1"/>
    <x v="0"/>
    <x v="0"/>
    <x v="0"/>
    <n v="4637000"/>
    <n v="19699.572715248745"/>
    <x v="0"/>
    <m/>
    <m/>
  </r>
  <r>
    <x v="0"/>
    <x v="15"/>
    <x v="21"/>
    <x v="2"/>
    <d v="1899-12-30T21:00:00"/>
    <n v="77415"/>
    <d v="1899-12-30T01:14:05"/>
    <n v="1045.3235466332189"/>
    <n v="297.22977308397276"/>
    <s v="No"/>
    <x v="1"/>
    <x v="0"/>
    <x v="0"/>
    <x v="0"/>
    <n v="4637000"/>
    <n v="4444.7105608726924"/>
    <x v="0"/>
    <m/>
    <m/>
  </r>
  <r>
    <x v="0"/>
    <x v="15"/>
    <x v="21"/>
    <x v="0"/>
    <d v="1900-01-01T01:10:00"/>
    <n v="49155"/>
    <d v="1899-12-30T03:00:42"/>
    <n v="5766.9116279586133"/>
    <n v="1601.0921529188979"/>
    <s v="No"/>
    <x v="1"/>
    <x v="0"/>
    <x v="0"/>
    <x v="0"/>
    <n v="4637000"/>
    <n v="10842.115580220861"/>
    <x v="0"/>
    <m/>
    <m/>
  </r>
  <r>
    <x v="0"/>
    <x v="15"/>
    <x v="22"/>
    <x v="0"/>
    <d v="1900-01-01T13:00:00"/>
    <n v="49155"/>
    <d v="1899-12-30T03:44:12"/>
    <n v="7151.228735340288"/>
    <n v="1985.4259871733964"/>
    <s v="No"/>
    <x v="1"/>
    <x v="0"/>
    <x v="0"/>
    <x v="0"/>
    <n v="4637000"/>
    <n v="13451.573906307916"/>
    <x v="0"/>
    <m/>
    <m/>
  </r>
  <r>
    <x v="0"/>
    <x v="16"/>
    <x v="31"/>
    <x v="0"/>
    <d v="1899-12-30T03:44:00"/>
    <n v="59300"/>
    <d v="1899-12-30T00:13:43"/>
    <n v="16910.256722351078"/>
    <n v="4694.8663493885351"/>
    <s v="Yes"/>
    <x v="2"/>
    <x v="0"/>
    <x v="0"/>
    <x v="0"/>
    <n v="1155000"/>
    <n v="823.26572541338066"/>
    <x v="1"/>
    <m/>
    <m/>
  </r>
  <r>
    <x v="0"/>
    <x v="17"/>
    <x v="5"/>
    <x v="2"/>
    <d v="1899-12-30T22:00:00"/>
    <n v="249252"/>
    <d v="1899-12-30T01:30:20"/>
    <n v="24396.591269706329"/>
    <n v="6919.7570838273969"/>
    <s v="No"/>
    <x v="2"/>
    <x v="0"/>
    <x v="0"/>
    <x v="0"/>
    <n v="6954000"/>
    <n v="5420.4331612732776"/>
    <x v="0"/>
    <m/>
    <m/>
  </r>
  <r>
    <x v="0"/>
    <x v="17"/>
    <x v="5"/>
    <x v="0"/>
    <d v="1900-01-05T08:25:00"/>
    <n v="1094638"/>
    <d v="1899-12-30T09:48:57"/>
    <n v="346487.80160544848"/>
    <n v="97618.404665505805"/>
    <s v="No"/>
    <x v="2"/>
    <x v="0"/>
    <x v="0"/>
    <x v="0"/>
    <n v="6954000"/>
    <n v="35337.233963990104"/>
    <x v="0"/>
    <m/>
    <m/>
  </r>
  <r>
    <x v="0"/>
    <x v="17"/>
    <x v="5"/>
    <x v="1"/>
    <d v="1899-12-31T21:35:00"/>
    <n v="265835"/>
    <d v="1899-12-30T02:52:35"/>
    <n v="42340.713153265198"/>
    <n v="12075.31654366564"/>
    <s v="No"/>
    <x v="2"/>
    <x v="0"/>
    <x v="0"/>
    <x v="0"/>
    <n v="6954000"/>
    <n v="10355.38236771546"/>
    <x v="0"/>
    <m/>
    <m/>
  </r>
  <r>
    <x v="0"/>
    <x v="17"/>
    <x v="6"/>
    <x v="2"/>
    <d v="1899-12-30T22:50:00"/>
    <n v="195805"/>
    <d v="1899-12-30T01:24:21"/>
    <n v="18837.842535725365"/>
    <n v="5286.1131857565288"/>
    <s v="No"/>
    <x v="2"/>
    <x v="0"/>
    <x v="0"/>
    <x v="0"/>
    <n v="6054000"/>
    <n v="5060.9660741677153"/>
    <x v="0"/>
    <m/>
    <m/>
  </r>
  <r>
    <x v="0"/>
    <x v="17"/>
    <x v="6"/>
    <x v="0"/>
    <d v="1900-01-02T10:50:00"/>
    <n v="576616"/>
    <d v="1899-12-30T05:04:34"/>
    <n v="161307.06404937556"/>
    <n v="44835.094497703845"/>
    <s v="No"/>
    <x v="2"/>
    <x v="0"/>
    <x v="0"/>
    <x v="0"/>
    <n v="6054000"/>
    <n v="18273.741913973434"/>
    <x v="0"/>
    <m/>
    <m/>
  </r>
  <r>
    <x v="0"/>
    <x v="17"/>
    <x v="6"/>
    <x v="1"/>
    <d v="1899-12-31T22:55:00"/>
    <n v="230666"/>
    <d v="1899-12-30T02:53:49"/>
    <n v="38375.002021649532"/>
    <n v="10913.066297232968"/>
    <s v="No"/>
    <x v="2"/>
    <x v="0"/>
    <x v="0"/>
    <x v="0"/>
    <n v="6054000"/>
    <n v="10429.338861987537"/>
    <x v="0"/>
    <m/>
    <m/>
  </r>
  <r>
    <x v="0"/>
    <x v="18"/>
    <x v="32"/>
    <x v="0"/>
    <d v="1900-01-06T21:00:00"/>
    <n v="345384"/>
    <d v="1899-12-30T12:12:43"/>
    <n v="62178.125691445282"/>
    <n v="17522.339153437322"/>
    <s v="No"/>
    <x v="1"/>
    <x v="0"/>
    <x v="0"/>
    <x v="0"/>
    <n v="4513000"/>
    <n v="43963.031628268756"/>
    <x v="0"/>
    <m/>
    <m/>
  </r>
  <r>
    <x v="0"/>
    <x v="18"/>
    <x v="32"/>
    <x v="1"/>
    <d v="1899-12-30T03:00:00"/>
    <n v="5118"/>
    <d v="1899-12-30T00:11:02"/>
    <n v="374.34871436305036"/>
    <n v="103.93202249123476"/>
    <s v="No"/>
    <x v="1"/>
    <x v="0"/>
    <x v="0"/>
    <x v="0"/>
    <n v="4513000"/>
    <n v="661.5528150643238"/>
    <x v="0"/>
    <m/>
    <m/>
  </r>
  <r>
    <x v="0"/>
    <x v="19"/>
    <x v="33"/>
    <x v="0"/>
    <d v="1899-12-31T22:35:00"/>
    <n v="2552"/>
    <d v="1899-12-30T03:22:03"/>
    <n v="1017.1952046180614"/>
    <n v="292.1213150079609"/>
    <s v="No"/>
    <x v="1"/>
    <x v="0"/>
    <x v="0"/>
    <x v="1"/>
    <n v="250000"/>
    <n v="12123.181119099323"/>
    <x v="0"/>
    <m/>
    <m/>
  </r>
  <r>
    <x v="0"/>
    <x v="20"/>
    <x v="34"/>
    <x v="2"/>
    <d v="1899-12-30T17:29:39"/>
    <n v="50833"/>
    <d v="1899-12-30T01:02:38"/>
    <n v="4044.0961975292303"/>
    <n v="1141.3304886227113"/>
    <s v="Yes"/>
    <x v="1"/>
    <x v="0"/>
    <x v="0"/>
    <x v="0"/>
    <n v="4355000"/>
    <n v="3757.5873573910162"/>
    <x v="1"/>
    <m/>
    <m/>
  </r>
  <r>
    <x v="0"/>
    <x v="20"/>
    <x v="34"/>
    <x v="0"/>
    <d v="1900-01-02T20:29:50"/>
    <n v="13035"/>
    <d v="1899-12-30T05:39:57"/>
    <n v="17177.235404563417"/>
    <n v="4768.9887741218099"/>
    <s v="Yes"/>
    <x v="1"/>
    <x v="0"/>
    <x v="0"/>
    <x v="0"/>
    <n v="4355000"/>
    <n v="20397.265915580483"/>
    <x v="1"/>
    <m/>
    <m/>
  </r>
  <r>
    <x v="0"/>
    <x v="20"/>
    <x v="35"/>
    <x v="0"/>
    <d v="1900-01-03T04:57:50"/>
    <n v="25879"/>
    <d v="1899-12-30T06:11:04"/>
    <n v="31056.574720574055"/>
    <n v="8622.3686592631402"/>
    <s v="Yes"/>
    <x v="1"/>
    <x v="0"/>
    <x v="0"/>
    <x v="0"/>
    <n v="4355000"/>
    <n v="22264.314971428685"/>
    <x v="1"/>
    <m/>
    <m/>
  </r>
  <r>
    <x v="0"/>
    <x v="20"/>
    <x v="36"/>
    <x v="2"/>
    <d v="1900-01-01T22:38:46"/>
    <n v="35087"/>
    <d v="1899-12-30T04:30:00"/>
    <n v="12271.250703438023"/>
    <n v="3580.718242258497"/>
    <s v="Yes"/>
    <x v="1"/>
    <x v="0"/>
    <x v="0"/>
    <x v="0"/>
    <n v="4355000"/>
    <n v="16199.921025837199"/>
    <x v="1"/>
    <m/>
    <m/>
  </r>
  <r>
    <x v="0"/>
    <x v="20"/>
    <x v="36"/>
    <x v="0"/>
    <d v="1900-01-02T18:29:51"/>
    <n v="17087"/>
    <d v="1899-12-30T05:32:36"/>
    <n v="19814.162394015209"/>
    <n v="5501.0900066364175"/>
    <s v="Yes"/>
    <x v="1"/>
    <x v="0"/>
    <x v="0"/>
    <x v="0"/>
    <n v="4355000"/>
    <n v="19956.29196042788"/>
    <x v="1"/>
    <m/>
    <m/>
  </r>
  <r>
    <x v="0"/>
    <x v="21"/>
    <x v="0"/>
    <x v="0"/>
    <d v="1900-01-03T00:30:00"/>
    <n v="770096"/>
    <d v="1899-12-30T06:03:05"/>
    <n v="474858.10220833222"/>
    <n v="132363.26905956364"/>
    <s v="No"/>
    <x v="0"/>
    <x v="0"/>
    <x v="0"/>
    <x v="0"/>
    <n v="8173540"/>
    <n v="21784.684986578988"/>
    <x v="0"/>
    <m/>
    <m/>
  </r>
  <r>
    <x v="0"/>
    <x v="21"/>
    <x v="0"/>
    <x v="1"/>
    <d v="1899-12-30T12:00:00"/>
    <n v="56544"/>
    <d v="1899-12-30T00:40:50"/>
    <n v="18376.828203575289"/>
    <n v="5347.408435672417"/>
    <s v="No"/>
    <x v="0"/>
    <x v="0"/>
    <x v="0"/>
    <x v="0"/>
    <n v="8173540"/>
    <n v="2449.5778079225038"/>
    <x v="0"/>
    <m/>
    <m/>
  </r>
  <r>
    <x v="0"/>
    <x v="21"/>
    <x v="1"/>
    <x v="0"/>
    <d v="1899-12-30T20:00:00"/>
    <n v="141328"/>
    <d v="1899-12-30T01:13:30"/>
    <n v="82697.858700275407"/>
    <n v="22959.757521908909"/>
    <s v="No"/>
    <x v="0"/>
    <x v="0"/>
    <x v="0"/>
    <x v="0"/>
    <n v="8173540"/>
    <n v="4410.3521004288268"/>
    <x v="0"/>
    <m/>
    <m/>
  </r>
  <r>
    <x v="0"/>
    <x v="21"/>
    <x v="1"/>
    <x v="1"/>
    <d v="1899-12-30T21:30:00"/>
    <n v="129776"/>
    <d v="1899-12-30T01:19:17"/>
    <n v="40233.757834263219"/>
    <n v="11505.221003004472"/>
    <s v="No"/>
    <x v="0"/>
    <x v="0"/>
    <x v="0"/>
    <x v="0"/>
    <n v="8173540"/>
    <n v="4757.4760811673659"/>
    <x v="0"/>
    <m/>
    <m/>
  </r>
  <r>
    <x v="0"/>
    <x v="21"/>
    <x v="2"/>
    <x v="2"/>
    <d v="1899-12-30T00:30:00"/>
    <n v="10720"/>
    <d v="1899-12-30T00:01:35"/>
    <n v="543.15581475502177"/>
    <n v="162.96091946850134"/>
    <s v="No"/>
    <x v="0"/>
    <x v="0"/>
    <x v="0"/>
    <x v="0"/>
    <n v="8173540"/>
    <n v="95.472186287192713"/>
    <x v="0"/>
    <m/>
    <m/>
  </r>
  <r>
    <x v="0"/>
    <x v="21"/>
    <x v="2"/>
    <x v="0"/>
    <d v="1900-01-01T07:45:00"/>
    <n v="464220"/>
    <d v="1899-12-30T03:39:25"/>
    <n v="263947.42550599761"/>
    <n v="74810.856216009503"/>
    <s v="No"/>
    <x v="0"/>
    <x v="0"/>
    <x v="0"/>
    <x v="0"/>
    <n v="8173540"/>
    <n v="13164.804178552411"/>
    <x v="0"/>
    <m/>
    <m/>
  </r>
  <r>
    <x v="0"/>
    <x v="21"/>
    <x v="2"/>
    <x v="1"/>
    <d v="1899-12-30T20:20:00"/>
    <n v="98952"/>
    <d v="1899-12-30T01:24:57"/>
    <n v="38234.642892755903"/>
    <n v="10997.371478160649"/>
    <s v="No"/>
    <x v="0"/>
    <x v="0"/>
    <x v="0"/>
    <x v="0"/>
    <n v="8173540"/>
    <n v="5096.5668115521185"/>
    <x v="0"/>
    <m/>
    <m/>
  </r>
  <r>
    <x v="0"/>
    <x v="21"/>
    <x v="3"/>
    <x v="0"/>
    <d v="1899-12-31T19:30:00"/>
    <n v="393556"/>
    <d v="1899-12-30T02:47:24"/>
    <n v="207176.65960596598"/>
    <n v="58186.372321506336"/>
    <s v="No"/>
    <x v="0"/>
    <x v="0"/>
    <x v="0"/>
    <x v="0"/>
    <n v="8173540"/>
    <n v="10044.42013275592"/>
    <x v="0"/>
    <m/>
    <m/>
  </r>
  <r>
    <x v="0"/>
    <x v="21"/>
    <x v="3"/>
    <x v="1"/>
    <d v="1899-12-30T08:30:00"/>
    <n v="56544"/>
    <d v="1899-12-30T00:33:15"/>
    <n v="14963.496078070279"/>
    <n v="4256.0185616800482"/>
    <s v="No"/>
    <x v="0"/>
    <x v="0"/>
    <x v="0"/>
    <x v="0"/>
    <n v="8173540"/>
    <n v="1994.5905526093527"/>
    <x v="0"/>
    <m/>
    <m/>
  </r>
  <r>
    <x v="0"/>
    <x v="22"/>
    <x v="5"/>
    <x v="2"/>
    <d v="1899-12-31T14:08:21"/>
    <n v="1766528"/>
    <d v="1899-12-30T02:57:55"/>
    <n v="71697.481963053186"/>
    <n v="20583.586778799301"/>
    <s v="Yes"/>
    <x v="2"/>
    <x v="0"/>
    <x v="0"/>
    <x v="0"/>
    <n v="7455000"/>
    <n v="10674.513303968773"/>
    <x v="1"/>
    <m/>
    <m/>
  </r>
  <r>
    <x v="0"/>
    <x v="22"/>
    <x v="5"/>
    <x v="0"/>
    <d v="1900-01-04T16:04:56"/>
    <n v="1490619"/>
    <d v="1899-12-30T11:04:52"/>
    <n v="360721.37701572152"/>
    <n v="103675.1315104314"/>
    <s v="Yes"/>
    <x v="2"/>
    <x v="0"/>
    <x v="0"/>
    <x v="0"/>
    <n v="7455000"/>
    <n v="39892.072330652809"/>
    <x v="1"/>
    <m/>
    <m/>
  </r>
  <r>
    <x v="0"/>
    <x v="22"/>
    <x v="5"/>
    <x v="1"/>
    <d v="1899-12-31T10:32:37"/>
    <n v="239643"/>
    <d v="1899-12-30T02:47:46"/>
    <n v="32822.731216611595"/>
    <n v="9429.8733109840869"/>
    <s v="Yes"/>
    <x v="2"/>
    <x v="0"/>
    <x v="0"/>
    <x v="0"/>
    <n v="7455000"/>
    <n v="10066.081000194665"/>
    <x v="1"/>
    <m/>
    <m/>
  </r>
  <r>
    <x v="0"/>
    <x v="22"/>
    <x v="6"/>
    <x v="2"/>
    <d v="1899-12-30T20:07:21"/>
    <n v="377969"/>
    <d v="1899-12-30T01:34:58"/>
    <n v="27226.970655167635"/>
    <n v="7754.9489623043019"/>
    <s v="No"/>
    <x v="2"/>
    <x v="0"/>
    <x v="0"/>
    <x v="0"/>
    <n v="1871000"/>
    <n v="5698.1850807704077"/>
    <x v="0"/>
    <m/>
    <m/>
  </r>
  <r>
    <x v="0"/>
    <x v="22"/>
    <x v="6"/>
    <x v="0"/>
    <d v="1900-01-02T01:06:04"/>
    <n v="965628"/>
    <d v="1899-12-30T06:02:35"/>
    <n v="215496.60424875334"/>
    <n v="64584.693160707284"/>
    <s v="No"/>
    <x v="2"/>
    <x v="0"/>
    <x v="0"/>
    <x v="0"/>
    <n v="1871000"/>
    <n v="21754.717327620147"/>
    <x v="0"/>
    <m/>
    <m/>
  </r>
  <r>
    <x v="0"/>
    <x v="22"/>
    <x v="6"/>
    <x v="1"/>
    <d v="1900-01-01T10:01:52"/>
    <n v="326951"/>
    <d v="1899-12-30T04:21:43"/>
    <n v="49429.296734687014"/>
    <n v="14015.424337441078"/>
    <s v="No"/>
    <x v="2"/>
    <x v="0"/>
    <x v="0"/>
    <x v="0"/>
    <n v="1871000"/>
    <n v="15702.621336057933"/>
    <x v="0"/>
    <m/>
    <m/>
  </r>
  <r>
    <x v="0"/>
    <x v="23"/>
    <x v="0"/>
    <x v="2"/>
    <d v="1899-12-30T05:30:00"/>
    <n v="1712"/>
    <d v="1899-12-30T00:19:43"/>
    <n v="516.94492591177448"/>
    <n v="144.66166720581595"/>
    <s v="No"/>
    <x v="1"/>
    <x v="0"/>
    <x v="0"/>
    <x v="0"/>
    <n v="546755"/>
    <n v="1183.2735951708712"/>
    <x v="0"/>
    <m/>
    <m/>
  </r>
  <r>
    <x v="0"/>
    <x v="23"/>
    <x v="0"/>
    <x v="0"/>
    <d v="1900-01-04T12:00:00"/>
    <n v="55215"/>
    <d v="1899-12-30T08:13:23"/>
    <n v="26035.362812372681"/>
    <n v="7275.5139806379948"/>
    <s v="No"/>
    <x v="1"/>
    <x v="0"/>
    <x v="0"/>
    <x v="0"/>
    <n v="546755"/>
    <n v="29602.866888596935"/>
    <x v="0"/>
    <m/>
    <m/>
  </r>
  <r>
    <x v="0"/>
    <x v="23"/>
    <x v="0"/>
    <x v="1"/>
    <d v="1900-01-03T06:30:00"/>
    <n v="32675"/>
    <d v="1899-12-30T07:07:28"/>
    <n v="10709.278803461571"/>
    <n v="3063.9945687950089"/>
    <s v="No"/>
    <x v="1"/>
    <x v="0"/>
    <x v="0"/>
    <x v="0"/>
    <n v="546755"/>
    <n v="25647.559870965008"/>
    <x v="0"/>
    <m/>
    <m/>
  </r>
  <r>
    <x v="0"/>
    <x v="23"/>
    <x v="2"/>
    <x v="2"/>
    <d v="1899-12-30T02:00:00"/>
    <n v="1092"/>
    <d v="1899-12-30T00:07:21"/>
    <n v="207.12496619802045"/>
    <n v="57.504983507200436"/>
    <s v="No"/>
    <x v="1"/>
    <x v="0"/>
    <x v="0"/>
    <x v="0"/>
    <n v="546755"/>
    <n v="441.03521004288257"/>
    <x v="0"/>
    <m/>
    <m/>
  </r>
  <r>
    <x v="0"/>
    <x v="23"/>
    <x v="2"/>
    <x v="0"/>
    <d v="1899-12-30T02:00:00"/>
    <n v="2045"/>
    <d v="1899-12-30T00:07:21"/>
    <n v="387.88512442761152"/>
    <n v="107.6901934727334"/>
    <s v="No"/>
    <x v="1"/>
    <x v="0"/>
    <x v="0"/>
    <x v="0"/>
    <n v="546755"/>
    <n v="441.03521004288257"/>
    <x v="0"/>
    <m/>
    <m/>
  </r>
  <r>
    <x v="0"/>
    <x v="23"/>
    <x v="2"/>
    <x v="1"/>
    <d v="1899-12-30T04:00:00"/>
    <n v="990"/>
    <d v="1899-12-30T00:14:42"/>
    <n v="375.55625739201508"/>
    <n v="104.26727778778101"/>
    <s v="No"/>
    <x v="1"/>
    <x v="0"/>
    <x v="0"/>
    <x v="0"/>
    <n v="546755"/>
    <n v="882.07042008576514"/>
    <x v="0"/>
    <m/>
    <m/>
  </r>
  <r>
    <x v="0"/>
    <x v="24"/>
    <x v="37"/>
    <x v="2"/>
    <d v="1900-01-01T10:10:00"/>
    <n v="2186224.710982658"/>
    <d v="1899-12-30T03:33:47"/>
    <n v="519153.25702944974"/>
    <n v="144134.72229439631"/>
    <s v="Yes"/>
    <x v="1"/>
    <x v="0"/>
    <x v="0"/>
    <x v="0"/>
    <n v="9498920"/>
    <n v="12826.774025413832"/>
    <x v="1"/>
    <m/>
    <m/>
  </r>
  <r>
    <x v="0"/>
    <x v="24"/>
    <x v="37"/>
    <x v="0"/>
    <d v="1900-01-05T10:18:00"/>
    <n v="1080151.7341040464"/>
    <d v="1899-12-30T09:27:06"/>
    <n v="710853.75091836881"/>
    <n v="197357.34408526873"/>
    <s v="Yes"/>
    <x v="1"/>
    <x v="0"/>
    <x v="0"/>
    <x v="0"/>
    <n v="9498920"/>
    <n v="34025.866454808383"/>
    <x v="1"/>
    <m/>
    <m/>
  </r>
  <r>
    <x v="0"/>
    <x v="25"/>
    <x v="5"/>
    <x v="2"/>
    <d v="1899-12-31T04:35:00"/>
    <n v="449995"/>
    <d v="1899-12-30T01:51:03"/>
    <n v="5343.1193171328277"/>
    <n v="1508.9088570660897"/>
    <s v="No"/>
    <x v="4"/>
    <x v="0"/>
    <x v="1"/>
    <x v="0"/>
    <n v="0"/>
    <n v="6662.521388887566"/>
    <x v="0"/>
    <m/>
    <m/>
  </r>
  <r>
    <x v="0"/>
    <x v="25"/>
    <x v="5"/>
    <x v="0"/>
    <d v="1900-01-04T17:40:00"/>
    <n v="837592"/>
    <d v="1899-12-30T08:52:47"/>
    <n v="19632.774291594193"/>
    <n v="5530.8222887568863"/>
    <s v="No"/>
    <x v="4"/>
    <x v="0"/>
    <x v="1"/>
    <x v="0"/>
    <n v="0"/>
    <n v="31967.445749319748"/>
    <x v="0"/>
    <m/>
    <m/>
  </r>
  <r>
    <x v="0"/>
    <x v="25"/>
    <x v="5"/>
    <x v="1"/>
    <d v="1899-12-31T18:25:00"/>
    <n v="383628"/>
    <d v="1899-12-30T02:37:33"/>
    <n v="6941.8619222498737"/>
    <n v="1987.1932712976779"/>
    <s v="No"/>
    <x v="4"/>
    <x v="0"/>
    <x v="1"/>
    <x v="0"/>
    <n v="0"/>
    <n v="9453.2822526897726"/>
    <x v="0"/>
    <m/>
    <m/>
  </r>
  <r>
    <x v="0"/>
    <x v="25"/>
    <x v="6"/>
    <x v="2"/>
    <d v="1899-12-30T20:45:00"/>
    <n v="314895"/>
    <d v="1899-12-30T01:16:54"/>
    <n v="3699.4239107028507"/>
    <n v="1046.5807906372409"/>
    <s v="No"/>
    <x v="4"/>
    <x v="0"/>
    <x v="1"/>
    <x v="0"/>
    <n v="0"/>
    <n v="4614.175500230228"/>
    <x v="0"/>
    <m/>
    <m/>
  </r>
  <r>
    <x v="0"/>
    <x v="25"/>
    <x v="6"/>
    <x v="0"/>
    <d v="1900-01-03T00:00:00"/>
    <n v="584430"/>
    <d v="1899-12-30T05:52:45"/>
    <n v="12959.066284627914"/>
    <n v="3596.8631746237747"/>
    <s v="No"/>
    <x v="4"/>
    <x v="0"/>
    <x v="1"/>
    <x v="0"/>
    <n v="0"/>
    <n v="21164.917715830652"/>
    <x v="0"/>
    <m/>
    <m/>
  </r>
  <r>
    <x v="0"/>
    <x v="25"/>
    <x v="6"/>
    <x v="1"/>
    <d v="1899-12-31T13:05:00"/>
    <n v="341336"/>
    <d v="1899-12-30T02:18:04"/>
    <n v="6056.1995122479593"/>
    <n v="1731.4401493383787"/>
    <s v="No"/>
    <x v="4"/>
    <x v="0"/>
    <x v="1"/>
    <x v="0"/>
    <n v="0"/>
    <n v="8284.0547254379453"/>
    <x v="0"/>
    <m/>
    <m/>
  </r>
  <r>
    <x v="0"/>
    <x v="25"/>
    <x v="38"/>
    <x v="2"/>
    <d v="1899-12-30T06:51:17"/>
    <n v="9575"/>
    <d v="1899-12-30T00:25:12"/>
    <n v="73.741512965338885"/>
    <n v="20.47316924032091"/>
    <s v="No"/>
    <x v="4"/>
    <x v="0"/>
    <x v="1"/>
    <x v="0"/>
    <n v="3100000"/>
    <n v="1511.5869275316961"/>
    <x v="0"/>
    <m/>
    <m/>
  </r>
  <r>
    <x v="0"/>
    <x v="25"/>
    <x v="38"/>
    <x v="0"/>
    <d v="1900-01-05T00:22:38"/>
    <n v="38326"/>
    <d v="1899-12-30T08:50:38"/>
    <n v="2824.0740732624067"/>
    <n v="784.0596717384966"/>
    <s v="No"/>
    <x v="4"/>
    <x v="0"/>
    <x v="1"/>
    <x v="0"/>
    <n v="3100000"/>
    <n v="31837.719264092855"/>
    <x v="0"/>
    <m/>
    <m/>
  </r>
  <r>
    <x v="0"/>
    <x v="25"/>
    <x v="38"/>
    <x v="1"/>
    <d v="1899-12-30T04:06:12"/>
    <n v="49"/>
    <d v="1899-12-30T00:15:05"/>
    <n v="2.3706621486728188"/>
    <n v="0.65817699460837709"/>
    <s v="No"/>
    <x v="4"/>
    <x v="0"/>
    <x v="1"/>
    <x v="0"/>
    <n v="3100000"/>
    <n v="904.85723927131403"/>
    <x v="0"/>
    <m/>
    <m/>
  </r>
  <r>
    <x v="0"/>
    <x v="25"/>
    <x v="39"/>
    <x v="0"/>
    <d v="1899-12-30T03:50:37"/>
    <n v="49"/>
    <d v="1899-12-30T00:14:08"/>
    <n v="2.2206100833459108"/>
    <n v="0.61651740281587564"/>
    <s v="No"/>
    <x v="4"/>
    <x v="0"/>
    <x v="1"/>
    <x v="0"/>
    <n v="3100000"/>
    <n v="847.58391685602317"/>
    <x v="0"/>
    <m/>
    <m/>
  </r>
  <r>
    <x v="0"/>
    <x v="25"/>
    <x v="40"/>
    <x v="2"/>
    <d v="1899-12-31T14:06:53"/>
    <n v="332783"/>
    <d v="1899-12-30T02:20:05"/>
    <n v="2335.882772122507"/>
    <n v="648.52104867569608"/>
    <s v="No"/>
    <x v="4"/>
    <x v="0"/>
    <x v="1"/>
    <x v="0"/>
    <n v="3100000"/>
    <n v="8404.9672605019532"/>
    <x v="0"/>
    <m/>
    <m/>
  </r>
  <r>
    <x v="0"/>
    <x v="25"/>
    <x v="40"/>
    <x v="0"/>
    <d v="1900-01-06T14:51:22"/>
    <n v="201198"/>
    <d v="1899-12-30T11:12:03"/>
    <n v="15683.085041111168"/>
    <n v="4354.1614667973272"/>
    <s v="No"/>
    <x v="4"/>
    <x v="0"/>
    <x v="1"/>
    <x v="0"/>
    <n v="3100000"/>
    <n v="40322.99168575678"/>
    <x v="0"/>
    <m/>
    <m/>
  </r>
  <r>
    <x v="0"/>
    <x v="25"/>
    <x v="40"/>
    <x v="1"/>
    <d v="1900-01-05T04:25:06"/>
    <n v="233087"/>
    <d v="1899-12-30T09:05:29"/>
    <n v="8119.0370965138218"/>
    <n v="2254.1227303473097"/>
    <s v="No"/>
    <x v="4"/>
    <x v="0"/>
    <x v="1"/>
    <x v="0"/>
    <n v="3100000"/>
    <n v="32728.855407940613"/>
    <x v="0"/>
    <m/>
    <m/>
  </r>
  <r>
    <x v="0"/>
    <x v="25"/>
    <x v="41"/>
    <x v="0"/>
    <d v="1900-01-01T10:09:48"/>
    <n v="7417"/>
    <d v="1899-12-30T03:33:46"/>
    <n v="798.58987794641757"/>
    <n v="221.71589742794055"/>
    <s v="No"/>
    <x v="4"/>
    <x v="0"/>
    <x v="1"/>
    <x v="0"/>
    <n v="3100000"/>
    <n v="12826.03896673043"/>
    <x v="0"/>
    <m/>
    <m/>
  </r>
  <r>
    <x v="0"/>
    <x v="25"/>
    <x v="41"/>
    <x v="1"/>
    <d v="1899-12-30T05:24:49"/>
    <n v="87"/>
    <d v="1899-12-30T00:19:54"/>
    <n v="5.5531971843409682"/>
    <n v="1.5417577048266586"/>
    <s v="No"/>
    <x v="4"/>
    <x v="0"/>
    <x v="1"/>
    <x v="0"/>
    <n v="3100000"/>
    <n v="1193.7965567396859"/>
    <x v="0"/>
    <m/>
    <m/>
  </r>
  <r>
    <x v="0"/>
    <x v="25"/>
    <x v="42"/>
    <x v="2"/>
    <d v="1899-12-30T03:00:09"/>
    <n v="8805"/>
    <d v="1899-12-30T00:11:02"/>
    <n v="48.39034835408355"/>
    <n v="13.434817806313555"/>
    <s v="No"/>
    <x v="4"/>
    <x v="0"/>
    <x v="1"/>
    <x v="0"/>
    <n v="3100000"/>
    <n v="662.10410907687742"/>
    <x v="0"/>
    <m/>
    <m/>
  </r>
  <r>
    <x v="0"/>
    <x v="25"/>
    <x v="42"/>
    <x v="1"/>
    <d v="1899-12-30T06:02:17"/>
    <n v="1294"/>
    <d v="1899-12-30T00:22:11"/>
    <n v="46.991823148122442"/>
    <n v="13.046539317344189"/>
    <s v="No"/>
    <x v="4"/>
    <x v="0"/>
    <x v="1"/>
    <x v="0"/>
    <n v="3100000"/>
    <n v="1331.4975500975193"/>
    <x v="0"/>
    <m/>
    <m/>
  </r>
  <r>
    <x v="0"/>
    <x v="25"/>
    <x v="43"/>
    <x v="2"/>
    <d v="1899-12-30T05:36:52"/>
    <n v="119909"/>
    <d v="1899-12-30T00:20:38"/>
    <n v="658.60451959590307"/>
    <n v="182.85116822141953"/>
    <s v="No"/>
    <x v="4"/>
    <x v="0"/>
    <x v="1"/>
    <x v="0"/>
    <n v="3100000"/>
    <n v="1238.0838424148258"/>
    <x v="0"/>
    <m/>
    <m/>
  </r>
  <r>
    <x v="0"/>
    <x v="25"/>
    <x v="44"/>
    <x v="2"/>
    <d v="1899-12-30T03:32:12"/>
    <n v="2737"/>
    <d v="1899-12-30T00:13:00"/>
    <n v="25.848126309049562"/>
    <n v="7.1763250195192301"/>
    <s v="No"/>
    <x v="4"/>
    <x v="0"/>
    <x v="1"/>
    <x v="0"/>
    <n v="3100000"/>
    <n v="779.8972630924975"/>
    <x v="0"/>
    <m/>
    <m/>
  </r>
  <r>
    <x v="0"/>
    <x v="25"/>
    <x v="44"/>
    <x v="0"/>
    <d v="1900-01-02T17:27:40"/>
    <n v="9366"/>
    <d v="1899-12-30T05:28:48"/>
    <n v="811.63480154653212"/>
    <n v="225.33761493620111"/>
    <s v="No"/>
    <x v="4"/>
    <x v="0"/>
    <x v="1"/>
    <x v="0"/>
    <n v="3100000"/>
    <n v="19727.749964779272"/>
    <x v="0"/>
    <m/>
    <m/>
  </r>
  <r>
    <x v="0"/>
    <x v="26"/>
    <x v="34"/>
    <x v="2"/>
    <d v="1899-12-30T17:29:39"/>
    <n v="169901"/>
    <d v="1899-12-30T01:02:38"/>
    <n v="10664.988295276475"/>
    <n v="3034.6893540104556"/>
    <s v="No"/>
    <x v="1"/>
    <x v="0"/>
    <x v="1"/>
    <x v="0"/>
    <n v="41686315"/>
    <n v="3757.5873573910126"/>
    <x v="0"/>
    <m/>
    <m/>
  </r>
  <r>
    <x v="0"/>
    <x v="26"/>
    <x v="34"/>
    <x v="0"/>
    <d v="1900-01-02T20:29:50"/>
    <n v="186850"/>
    <d v="1899-12-30T05:39:57"/>
    <n v="143199.83100024454"/>
    <n v="39757.176892090429"/>
    <s v="No"/>
    <x v="1"/>
    <x v="0"/>
    <x v="1"/>
    <x v="0"/>
    <n v="41686315"/>
    <n v="20397.265915580483"/>
    <x v="0"/>
    <m/>
    <m/>
  </r>
  <r>
    <x v="0"/>
    <x v="26"/>
    <x v="35"/>
    <x v="0"/>
    <d v="1900-01-03T04:57:50"/>
    <n v="186850"/>
    <d v="1899-12-30T06:11:04"/>
    <n v="156307.52447118194"/>
    <n v="43396.321466014328"/>
    <s v="No"/>
    <x v="1"/>
    <x v="0"/>
    <x v="1"/>
    <x v="0"/>
    <n v="41686315"/>
    <n v="22264.314971428685"/>
    <x v="0"/>
    <m/>
    <m/>
  </r>
  <r>
    <x v="0"/>
    <x v="26"/>
    <x v="36"/>
    <x v="2"/>
    <d v="1900-01-01T22:38:46"/>
    <n v="1217081"/>
    <d v="1899-12-30T04:30:00"/>
    <n v="91343.004073495482"/>
    <n v="25837.175265953883"/>
    <s v="No"/>
    <x v="1"/>
    <x v="0"/>
    <x v="1"/>
    <x v="0"/>
    <n v="41686315"/>
    <n v="16199.921025837199"/>
    <x v="0"/>
    <m/>
    <m/>
  </r>
  <r>
    <x v="0"/>
    <x v="26"/>
    <x v="36"/>
    <x v="0"/>
    <d v="1900-01-02T18:29:51"/>
    <n v="375696"/>
    <d v="1899-12-30T05:32:36"/>
    <n v="313005.05851344665"/>
    <n v="86900.922944643447"/>
    <s v="No"/>
    <x v="1"/>
    <x v="0"/>
    <x v="1"/>
    <x v="0"/>
    <n v="41686315"/>
    <n v="19956.29196042788"/>
    <x v="0"/>
    <m/>
    <m/>
  </r>
  <r>
    <x v="0"/>
    <x v="27"/>
    <x v="26"/>
    <x v="0"/>
    <d v="1899-12-30T05:40:16"/>
    <n v="84"/>
    <d v="1899-12-30T00:19:38"/>
    <n v="31.647745489143123"/>
    <n v="9.3248345801727073"/>
    <s v="No"/>
    <x v="1"/>
    <x v="0"/>
    <x v="1"/>
    <x v="0"/>
    <n v="30800000"/>
    <n v="1177.7213415961073"/>
    <x v="0"/>
    <m/>
    <m/>
  </r>
  <r>
    <x v="0"/>
    <x v="27"/>
    <x v="27"/>
    <x v="2"/>
    <d v="1900-01-01T11:45:27"/>
    <n v="21134"/>
    <d v="1899-12-30T03:39:38"/>
    <n v="1364.8361638285439"/>
    <n v="378.92525720900375"/>
    <s v="No"/>
    <x v="1"/>
    <x v="0"/>
    <x v="1"/>
    <x v="0"/>
    <n v="4400000"/>
    <n v="13177.580782068781"/>
    <x v="0"/>
    <m/>
    <m/>
  </r>
  <r>
    <x v="0"/>
    <x v="27"/>
    <x v="27"/>
    <x v="0"/>
    <d v="1900-01-05T10:12:28"/>
    <n v="18318"/>
    <d v="1899-12-30T09:43:14"/>
    <n v="10978.929339360166"/>
    <n v="3125.2606205507323"/>
    <s v="No"/>
    <x v="1"/>
    <x v="0"/>
    <x v="1"/>
    <x v="0"/>
    <n v="4400000"/>
    <n v="34993.622100206812"/>
    <x v="0"/>
    <m/>
    <m/>
  </r>
  <r>
    <x v="0"/>
    <x v="27"/>
    <x v="28"/>
    <x v="2"/>
    <d v="1900-01-01T11:52:10"/>
    <n v="199254"/>
    <d v="1899-12-30T03:40:02"/>
    <n v="12776.022211618245"/>
    <n v="3547.061274420887"/>
    <s v="No"/>
    <x v="1"/>
    <x v="0"/>
    <x v="1"/>
    <x v="0"/>
    <n v="35200000"/>
    <n v="13202.266502853123"/>
    <x v="0"/>
    <m/>
    <m/>
  </r>
  <r>
    <x v="0"/>
    <x v="27"/>
    <x v="28"/>
    <x v="0"/>
    <d v="1900-01-05T10:05:28"/>
    <n v="77513"/>
    <d v="1899-12-30T09:42:58"/>
    <n v="61305.732903593918"/>
    <n v="17290.198216702738"/>
    <s v="No"/>
    <x v="1"/>
    <x v="0"/>
    <x v="1"/>
    <x v="0"/>
    <n v="35200000"/>
    <n v="34978.405926075204"/>
    <x v="0"/>
    <m/>
    <m/>
  </r>
  <r>
    <x v="0"/>
    <x v="27"/>
    <x v="29"/>
    <x v="2"/>
    <d v="1900-01-02T05:39:12"/>
    <n v="38032"/>
    <d v="1899-12-30T04:45:24"/>
    <n v="2458.1785690702222"/>
    <n v="682.47454986663899"/>
    <s v="No"/>
    <x v="1"/>
    <x v="0"/>
    <x v="1"/>
    <x v="0"/>
    <n v="4400000"/>
    <n v="17123.927088598317"/>
    <x v="0"/>
    <m/>
    <m/>
  </r>
  <r>
    <x v="0"/>
    <x v="27"/>
    <x v="29"/>
    <x v="0"/>
    <d v="1900-01-04T06:25:23"/>
    <n v="7336"/>
    <d v="1899-12-30T06:58:49"/>
    <n v="7093.3255616506312"/>
    <n v="1981.4235716469382"/>
    <s v="No"/>
    <x v="1"/>
    <x v="0"/>
    <x v="1"/>
    <x v="0"/>
    <n v="4400000"/>
    <n v="25128.98265197318"/>
    <x v="0"/>
    <m/>
    <m/>
  </r>
  <r>
    <x v="0"/>
    <x v="27"/>
    <x v="30"/>
    <x v="2"/>
    <d v="1900-01-02T05:56:56"/>
    <n v="399726"/>
    <d v="1899-12-30T04:46:29"/>
    <n v="25781.325658863898"/>
    <n v="7157.7788714729195"/>
    <s v="No"/>
    <x v="1"/>
    <x v="0"/>
    <x v="1"/>
    <x v="0"/>
    <n v="25520000"/>
    <n v="17189.102291860221"/>
    <x v="0"/>
    <m/>
    <m/>
  </r>
  <r>
    <x v="0"/>
    <x v="27"/>
    <x v="30"/>
    <x v="0"/>
    <d v="1900-01-04T06:25:29"/>
    <n v="19012"/>
    <d v="1899-12-30T06:58:48"/>
    <n v="13411.552225586476"/>
    <n v="3767.3429979475172"/>
    <s v="No"/>
    <x v="1"/>
    <x v="0"/>
    <x v="1"/>
    <x v="0"/>
    <n v="25520000"/>
    <n v="25128.348881247686"/>
    <x v="0"/>
    <m/>
    <m/>
  </r>
  <r>
    <x v="0"/>
    <x v="28"/>
    <x v="0"/>
    <x v="1"/>
    <d v="1899-12-30T04:00:00"/>
    <n v="3488"/>
    <d v="1899-12-30T00:13:55"/>
    <n v="626.82976221050933"/>
    <n v="184.99121748567148"/>
    <s v="No"/>
    <x v="0"/>
    <x v="0"/>
    <x v="1"/>
    <x v="0"/>
    <n v="954000"/>
    <n v="834.97776537413313"/>
    <x v="0"/>
    <m/>
    <m/>
  </r>
  <r>
    <x v="0"/>
    <x v="28"/>
    <x v="2"/>
    <x v="0"/>
    <d v="1900-01-04T06:00:00"/>
    <n v="180180"/>
    <d v="1899-12-30T08:09:43"/>
    <n v="71154.728274441062"/>
    <n v="20013.757239117105"/>
    <s v="No"/>
    <x v="0"/>
    <x v="0"/>
    <x v="1"/>
    <x v="0"/>
    <n v="954000"/>
    <n v="29383.175124760292"/>
    <x v="0"/>
    <m/>
    <m/>
  </r>
  <r>
    <x v="0"/>
    <x v="28"/>
    <x v="2"/>
    <x v="1"/>
    <d v="1899-12-30T05:00:00"/>
    <n v="5546"/>
    <d v="1899-12-30T00:18:23"/>
    <n v="1316.1074830324053"/>
    <n v="365.39650673075096"/>
    <s v="No"/>
    <x v="0"/>
    <x v="0"/>
    <x v="1"/>
    <x v="0"/>
    <n v="954000"/>
    <n v="1102.5880251072062"/>
    <x v="0"/>
    <m/>
    <m/>
  </r>
  <r>
    <x v="0"/>
    <x v="29"/>
    <x v="0"/>
    <x v="0"/>
    <d v="1900-01-03T00:30:00"/>
    <n v="1391158"/>
    <d v="1899-12-30T06:03:05"/>
    <n v="695777.60951188079"/>
    <n v="193942.99041471886"/>
    <s v="No"/>
    <x v="0"/>
    <x v="0"/>
    <x v="1"/>
    <x v="0"/>
    <n v="47600000"/>
    <n v="21784.684986578988"/>
    <x v="0"/>
    <m/>
    <m/>
  </r>
  <r>
    <x v="0"/>
    <x v="29"/>
    <x v="0"/>
    <x v="1"/>
    <d v="1899-12-30T12:00:00"/>
    <n v="102144"/>
    <d v="1899-12-30T00:40:50"/>
    <n v="26926.030037935867"/>
    <n v="7835.1105299016936"/>
    <s v="No"/>
    <x v="0"/>
    <x v="0"/>
    <x v="1"/>
    <x v="0"/>
    <n v="47600000"/>
    <n v="2449.5778079225038"/>
    <x v="0"/>
    <m/>
    <m/>
  </r>
  <r>
    <x v="0"/>
    <x v="29"/>
    <x v="1"/>
    <x v="0"/>
    <d v="1899-12-30T20:00:00"/>
    <n v="255304"/>
    <d v="1899-12-30T01:13:30"/>
    <n v="121171.11606494954"/>
    <n v="33641.251263753191"/>
    <s v="No"/>
    <x v="0"/>
    <x v="0"/>
    <x v="1"/>
    <x v="0"/>
    <n v="47600000"/>
    <n v="4410.3521004288268"/>
    <x v="0"/>
    <m/>
    <m/>
  </r>
  <r>
    <x v="0"/>
    <x v="29"/>
    <x v="1"/>
    <x v="1"/>
    <d v="1899-12-30T21:30:00"/>
    <n v="234434"/>
    <d v="1899-12-30T01:19:17"/>
    <n v="58951.147510025148"/>
    <n v="16857.634265801862"/>
    <s v="No"/>
    <x v="0"/>
    <x v="0"/>
    <x v="1"/>
    <x v="0"/>
    <n v="47600000"/>
    <n v="4757.4760811673659"/>
    <x v="0"/>
    <m/>
    <m/>
  </r>
  <r>
    <x v="0"/>
    <x v="29"/>
    <x v="2"/>
    <x v="2"/>
    <d v="1899-12-30T00:30:00"/>
    <n v="19366"/>
    <d v="1899-12-30T00:01:35"/>
    <n v="795.87527482015958"/>
    <n v="238.78335284956154"/>
    <s v="No"/>
    <x v="0"/>
    <x v="0"/>
    <x v="1"/>
    <x v="0"/>
    <n v="47600000"/>
    <n v="95.472186287192713"/>
    <x v="0"/>
    <m/>
    <m/>
  </r>
  <r>
    <x v="0"/>
    <x v="29"/>
    <x v="2"/>
    <x v="0"/>
    <d v="1900-01-01T07:45:00"/>
    <n v="838599"/>
    <d v="1899-12-30T03:39:25"/>
    <n v="386743.55594084534"/>
    <n v="109615.07327495735"/>
    <s v="No"/>
    <x v="0"/>
    <x v="0"/>
    <x v="1"/>
    <x v="0"/>
    <n v="47600000"/>
    <n v="13164.804178552411"/>
    <x v="0"/>
    <m/>
    <m/>
  </r>
  <r>
    <x v="0"/>
    <x v="29"/>
    <x v="2"/>
    <x v="1"/>
    <d v="1899-12-30T20:20:00"/>
    <n v="178752"/>
    <d v="1899-12-30T01:24:57"/>
    <n v="56022.025760669712"/>
    <n v="16113.529031178641"/>
    <s v="No"/>
    <x v="0"/>
    <x v="0"/>
    <x v="1"/>
    <x v="0"/>
    <n v="47600000"/>
    <n v="5096.5668115521185"/>
    <x v="0"/>
    <m/>
    <m/>
  </r>
  <r>
    <x v="0"/>
    <x v="29"/>
    <x v="3"/>
    <x v="0"/>
    <d v="1899-12-31T19:30:00"/>
    <n v="710947"/>
    <d v="1899-12-30T02:47:24"/>
    <n v="303561.58378574584"/>
    <n v="85256.451372206153"/>
    <s v="No"/>
    <x v="0"/>
    <x v="0"/>
    <x v="1"/>
    <x v="0"/>
    <n v="47600000"/>
    <n v="10044.42013275592"/>
    <x v="0"/>
    <m/>
    <m/>
  </r>
  <r>
    <x v="0"/>
    <x v="29"/>
    <x v="3"/>
    <x v="1"/>
    <d v="1899-12-30T08:30:00"/>
    <n v="102144"/>
    <d v="1899-12-30T00:33:15"/>
    <n v="21924.759833814438"/>
    <n v="6235.9881892738231"/>
    <s v="No"/>
    <x v="0"/>
    <x v="0"/>
    <x v="1"/>
    <x v="0"/>
    <n v="47600000"/>
    <n v="1994.5905526093527"/>
    <x v="0"/>
    <m/>
    <m/>
  </r>
  <r>
    <x v="0"/>
    <x v="30"/>
    <x v="5"/>
    <x v="2"/>
    <d v="1899-12-30T22:59:04"/>
    <n v="2995135"/>
    <d v="1899-12-30T01:45:17"/>
    <n v="296207.66321029636"/>
    <n v="84394.73930267604"/>
    <s v="No"/>
    <x v="2"/>
    <x v="0"/>
    <x v="1"/>
    <x v="0"/>
    <n v="75200000"/>
    <n v="6316.8084678667101"/>
    <x v="0"/>
    <m/>
    <m/>
  </r>
  <r>
    <x v="0"/>
    <x v="30"/>
    <x v="5"/>
    <x v="0"/>
    <d v="1900-01-05T04:24:42"/>
    <n v="13070896"/>
    <d v="1899-12-30T12:10:31"/>
    <n v="4453187.1342976829"/>
    <n v="1261984.7855912389"/>
    <s v="No"/>
    <x v="2"/>
    <x v="0"/>
    <x v="1"/>
    <x v="0"/>
    <n v="75200000"/>
    <n v="43830.978835789319"/>
    <x v="0"/>
    <m/>
    <m/>
  </r>
  <r>
    <x v="0"/>
    <x v="30"/>
    <x v="5"/>
    <x v="1"/>
    <d v="1899-12-31T14:50:07"/>
    <n v="2109715"/>
    <d v="1899-12-30T02:55:32"/>
    <n v="455749.62740644231"/>
    <n v="132049.01398142919"/>
    <s v="No"/>
    <x v="2"/>
    <x v="0"/>
    <x v="1"/>
    <x v="0"/>
    <n v="75200000"/>
    <n v="10531.856375408499"/>
    <x v="0"/>
    <m/>
    <m/>
  </r>
  <r>
    <x v="0"/>
    <x v="30"/>
    <x v="6"/>
    <x v="2"/>
    <d v="1899-12-30T20:07:21"/>
    <n v="1918900"/>
    <d v="1899-12-30T01:34:58"/>
    <n v="204337.02030260308"/>
    <n v="58457.551142343364"/>
    <s v="No"/>
    <x v="2"/>
    <x v="0"/>
    <x v="1"/>
    <x v="0"/>
    <n v="75200000"/>
    <n v="5698.1850807704077"/>
    <x v="0"/>
    <m/>
    <m/>
  </r>
  <r>
    <x v="0"/>
    <x v="30"/>
    <x v="6"/>
    <x v="0"/>
    <d v="1900-01-02T01:06:04"/>
    <n v="6028551"/>
    <d v="1899-12-30T06:02:35"/>
    <n v="1887597.6183863727"/>
    <n v="566377.20412267605"/>
    <s v="No"/>
    <x v="2"/>
    <x v="0"/>
    <x v="1"/>
    <x v="0"/>
    <n v="75200000"/>
    <n v="21754.717327620147"/>
    <x v="0"/>
    <m/>
    <m/>
  </r>
  <r>
    <x v="0"/>
    <x v="30"/>
    <x v="6"/>
    <x v="1"/>
    <d v="1900-01-01T10:01:52"/>
    <n v="2374292"/>
    <d v="1899-12-30T04:21:43"/>
    <n v="509222.3163728381"/>
    <n v="144412.43558630202"/>
    <s v="No"/>
    <x v="2"/>
    <x v="0"/>
    <x v="1"/>
    <x v="0"/>
    <n v="75200000"/>
    <n v="15702.62133605794"/>
    <x v="0"/>
    <m/>
    <m/>
  </r>
  <r>
    <x v="0"/>
    <x v="31"/>
    <x v="45"/>
    <x v="2"/>
    <d v="1899-12-30T00:30:00"/>
    <n v="4852"/>
    <d v="1899-12-30T00:01:10"/>
    <n v="55.303127819648203"/>
    <n v="16.970096590225964"/>
    <s v="No"/>
    <x v="4"/>
    <x v="0"/>
    <x v="1"/>
    <x v="0"/>
    <n v="2185000"/>
    <n v="70.497544397704047"/>
    <x v="0"/>
    <m/>
    <m/>
  </r>
  <r>
    <x v="0"/>
    <x v="31"/>
    <x v="46"/>
    <x v="0"/>
    <d v="1899-12-30T04:25:00"/>
    <n v="38050"/>
    <d v="1899-12-30T00:09:33"/>
    <n v="1710.2781634942553"/>
    <n v="427.07791424101259"/>
    <s v="No"/>
    <x v="4"/>
    <x v="0"/>
    <x v="1"/>
    <x v="0"/>
    <n v="2185000"/>
    <n v="573.27661004577851"/>
    <x v="0"/>
    <m/>
    <m/>
  </r>
  <r>
    <x v="0"/>
    <x v="31"/>
    <x v="46"/>
    <x v="1"/>
    <d v="1899-12-30T04:00:00"/>
    <n v="12796"/>
    <d v="1899-12-30T00:08:32"/>
    <n v="530.11005716421789"/>
    <n v="133.14171555866645"/>
    <s v="No"/>
    <x v="4"/>
    <x v="0"/>
    <x v="1"/>
    <x v="0"/>
    <n v="2185000"/>
    <n v="512.46816893099992"/>
    <x v="0"/>
    <m/>
    <m/>
  </r>
  <r>
    <x v="0"/>
    <x v="31"/>
    <x v="47"/>
    <x v="2"/>
    <d v="1900-01-02T00:34:00"/>
    <n v="804964"/>
    <d v="1899-12-30T05:53:49"/>
    <n v="19604.037966355245"/>
    <n v="5516.5176423035091"/>
    <s v="No"/>
    <x v="4"/>
    <x v="0"/>
    <x v="1"/>
    <x v="0"/>
    <n v="2185000"/>
    <n v="21229.157249770215"/>
    <x v="0"/>
    <m/>
    <m/>
  </r>
  <r>
    <x v="0"/>
    <x v="31"/>
    <x v="47"/>
    <x v="0"/>
    <d v="1900-01-03T12:53:00"/>
    <n v="1114540"/>
    <d v="1899-12-30T08:55:34"/>
    <n v="109651.3621384713"/>
    <n v="30659.814745212574"/>
    <s v="No"/>
    <x v="4"/>
    <x v="0"/>
    <x v="1"/>
    <x v="0"/>
    <n v="2185000"/>
    <n v="32134.307753432062"/>
    <x v="0"/>
    <m/>
    <m/>
  </r>
  <r>
    <x v="0"/>
    <x v="31"/>
    <x v="47"/>
    <x v="1"/>
    <d v="1900-01-05T04:37:00"/>
    <n v="443963"/>
    <d v="1899-12-30T12:15:56"/>
    <n v="46449.908031471838"/>
    <n v="13077.748304374809"/>
    <s v="No"/>
    <x v="4"/>
    <x v="0"/>
    <x v="1"/>
    <x v="0"/>
    <n v="2185000"/>
    <n v="44155.552592582826"/>
    <x v="0"/>
    <m/>
    <m/>
  </r>
  <r>
    <x v="0"/>
    <x v="31"/>
    <x v="48"/>
    <x v="2"/>
    <d v="1899-12-30T23:00:00"/>
    <n v="227610"/>
    <d v="1899-12-30T02:08:11"/>
    <n v="6109.020357660298"/>
    <n v="1790.3604981762612"/>
    <s v="No"/>
    <x v="4"/>
    <x v="0"/>
    <x v="1"/>
    <x v="0"/>
    <n v="2185000"/>
    <n v="7690.6750124046375"/>
    <x v="0"/>
    <m/>
    <m/>
  </r>
  <r>
    <x v="0"/>
    <x v="31"/>
    <x v="48"/>
    <x v="0"/>
    <d v="1900-01-02T06:45:00"/>
    <n v="849616"/>
    <d v="1899-12-30T07:23:38"/>
    <n v="89755.239954765464"/>
    <n v="27770.645500569641"/>
    <s v="No"/>
    <x v="4"/>
    <x v="0"/>
    <x v="1"/>
    <x v="0"/>
    <n v="2185000"/>
    <n v="26618.498137860497"/>
    <x v="0"/>
    <m/>
    <m/>
  </r>
  <r>
    <x v="0"/>
    <x v="31"/>
    <x v="48"/>
    <x v="1"/>
    <d v="1900-01-02T21:11:00"/>
    <n v="268716"/>
    <d v="1899-12-30T08:18:16"/>
    <n v="30925.331143506417"/>
    <n v="9491.6661086640179"/>
    <s v="No"/>
    <x v="4"/>
    <x v="0"/>
    <x v="1"/>
    <x v="0"/>
    <n v="2185000"/>
    <n v="29896.146301159657"/>
    <x v="0"/>
    <m/>
    <m/>
  </r>
  <r>
    <x v="0"/>
    <x v="31"/>
    <x v="49"/>
    <x v="2"/>
    <d v="1899-12-30T01:00:00"/>
    <n v="4852"/>
    <d v="1899-12-30T00:06:39"/>
    <n v="312.7238547704431"/>
    <n v="96.721684537284943"/>
    <s v="No"/>
    <x v="4"/>
    <x v="0"/>
    <x v="1"/>
    <x v="0"/>
    <n v="2185000"/>
    <n v="398.64406779661067"/>
    <x v="0"/>
    <m/>
    <m/>
  </r>
  <r>
    <x v="0"/>
    <x v="31"/>
    <x v="49"/>
    <x v="0"/>
    <d v="1900-01-01T15:15:00"/>
    <n v="640247"/>
    <d v="1899-12-30T03:49:07"/>
    <n v="47641.470289596131"/>
    <n v="14073.065875638773"/>
    <s v="No"/>
    <x v="4"/>
    <x v="0"/>
    <x v="1"/>
    <x v="0"/>
    <n v="2185000"/>
    <n v="13746.765315320001"/>
    <x v="0"/>
    <m/>
    <m/>
  </r>
  <r>
    <x v="0"/>
    <x v="31"/>
    <x v="49"/>
    <x v="1"/>
    <d v="1900-01-01T09:40:00"/>
    <n v="172746"/>
    <d v="1899-12-30T04:03:50"/>
    <n v="15133.381812146781"/>
    <n v="4412.6939722812485"/>
    <s v="No"/>
    <x v="4"/>
    <x v="0"/>
    <x v="1"/>
    <x v="0"/>
    <n v="2185000"/>
    <n v="14629.747846119606"/>
    <x v="0"/>
    <m/>
    <m/>
  </r>
  <r>
    <x v="0"/>
    <x v="32"/>
    <x v="0"/>
    <x v="2"/>
    <d v="1899-12-30T02:29:57"/>
    <n v="5044"/>
    <d v="1899-12-30T00:11:22"/>
    <n v="507.11755623565654"/>
    <n v="147.02739677048905"/>
    <s v="No"/>
    <x v="1"/>
    <x v="0"/>
    <x v="1"/>
    <x v="0"/>
    <n v="805000"/>
    <n v="682.2663767199881"/>
    <x v="0"/>
    <m/>
    <m/>
  </r>
  <r>
    <x v="0"/>
    <x v="32"/>
    <x v="0"/>
    <x v="0"/>
    <d v="1900-01-02T23:13:51"/>
    <n v="88272"/>
    <d v="1899-12-30T06:07:10"/>
    <n v="34878.846690110469"/>
    <n v="9712.0199615279889"/>
    <s v="No"/>
    <x v="1"/>
    <x v="0"/>
    <x v="1"/>
    <x v="0"/>
    <n v="805000"/>
    <n v="22030.389405023096"/>
    <x v="0"/>
    <m/>
    <m/>
  </r>
  <r>
    <x v="0"/>
    <x v="32"/>
    <x v="0"/>
    <x v="1"/>
    <d v="1900-01-02T18:54:56"/>
    <n v="56461"/>
    <d v="1899-12-30T06:10:14"/>
    <n v="17649.729441955849"/>
    <n v="4965.2596522460099"/>
    <s v="No"/>
    <x v="1"/>
    <x v="0"/>
    <x v="1"/>
    <x v="0"/>
    <n v="805000"/>
    <n v="22213.904814041151"/>
    <x v="0"/>
    <m/>
    <m/>
  </r>
  <r>
    <x v="0"/>
    <x v="32"/>
    <x v="2"/>
    <x v="1"/>
    <d v="1899-12-30T10:00:00"/>
    <n v="5884"/>
    <d v="1899-12-30T00:32:47"/>
    <n v="1245.3617306665376"/>
    <n v="349.09508281630798"/>
    <s v="No"/>
    <x v="1"/>
    <x v="0"/>
    <x v="1"/>
    <x v="0"/>
    <n v="805000"/>
    <n v="1966.7747578750793"/>
    <x v="0"/>
    <m/>
    <m/>
  </r>
  <r>
    <x v="0"/>
    <x v="33"/>
    <x v="20"/>
    <x v="2"/>
    <d v="1900-01-01T09:38:37"/>
    <n v="212764"/>
    <d v="1899-12-30T03:42:48"/>
    <n v="19383.018446562939"/>
    <n v="5497.6199067959669"/>
    <s v="Yes"/>
    <x v="1"/>
    <x v="0"/>
    <x v="0"/>
    <x v="0"/>
    <n v="2274000"/>
    <n v="13368.101618073561"/>
    <x v="1"/>
    <m/>
    <m/>
  </r>
  <r>
    <x v="0"/>
    <x v="33"/>
    <x v="20"/>
    <x v="0"/>
    <d v="1900-01-01T16:27:57"/>
    <n v="66392"/>
    <d v="1899-12-30T03:56:56"/>
    <n v="44007.718820780814"/>
    <n v="12218.04976691748"/>
    <s v="Yes"/>
    <x v="1"/>
    <x v="0"/>
    <x v="0"/>
    <x v="0"/>
    <n v="2274000"/>
    <n v="14215.851172378059"/>
    <x v="1"/>
    <m/>
    <m/>
  </r>
  <r>
    <x v="0"/>
    <x v="33"/>
    <x v="21"/>
    <x v="2"/>
    <d v="1899-12-31T01:55:00"/>
    <n v="28669"/>
    <d v="1899-12-30T01:32:09"/>
    <n v="2696.0693368994239"/>
    <n v="763.7061252362796"/>
    <s v="No"/>
    <x v="1"/>
    <x v="0"/>
    <x v="0"/>
    <x v="0"/>
    <n v="2274000"/>
    <n v="5528.9221188947813"/>
    <x v="0"/>
    <m/>
    <m/>
  </r>
  <r>
    <x v="0"/>
    <x v="33"/>
    <x v="21"/>
    <x v="0"/>
    <d v="1900-01-01T01:10:00"/>
    <n v="15082"/>
    <d v="1899-12-30T03:00:42"/>
    <n v="12427.996317664574"/>
    <n v="3450.4373682870851"/>
    <s v="No"/>
    <x v="1"/>
    <x v="0"/>
    <x v="0"/>
    <x v="0"/>
    <n v="2274000"/>
    <n v="10842.115580220861"/>
    <x v="0"/>
    <m/>
    <m/>
  </r>
  <r>
    <x v="0"/>
    <x v="33"/>
    <x v="22"/>
    <x v="0"/>
    <d v="1900-01-01T13:00:00"/>
    <n v="15987"/>
    <d v="1899-12-30T03:44:12"/>
    <n v="16341.238783227815"/>
    <n v="4536.8874837538579"/>
    <s v="No"/>
    <x v="1"/>
    <x v="0"/>
    <x v="0"/>
    <x v="0"/>
    <n v="2274000"/>
    <n v="13451.573906307916"/>
    <x v="0"/>
    <m/>
    <m/>
  </r>
  <r>
    <x v="0"/>
    <x v="34"/>
    <x v="5"/>
    <x v="2"/>
    <d v="1899-12-30T21:08:32"/>
    <n v="348800"/>
    <d v="1899-12-30T01:31:43"/>
    <n v="13374.521304990139"/>
    <n v="3805.019759240502"/>
    <s v="Yes"/>
    <x v="2"/>
    <x v="0"/>
    <x v="0"/>
    <x v="0"/>
    <n v="8671000"/>
    <n v="5503.198476127187"/>
    <x v="1"/>
    <m/>
    <m/>
  </r>
  <r>
    <x v="0"/>
    <x v="34"/>
    <x v="5"/>
    <x v="0"/>
    <d v="1900-01-05T09:50:58"/>
    <n v="2435454"/>
    <d v="1899-12-30T12:14:35"/>
    <n v="273541.25086359296"/>
    <n v="78133.320590008923"/>
    <s v="Yes"/>
    <x v="2"/>
    <x v="0"/>
    <x v="0"/>
    <x v="0"/>
    <n v="8671000"/>
    <n v="44074.734448974843"/>
    <x v="1"/>
    <m/>
    <m/>
  </r>
  <r>
    <x v="0"/>
    <x v="34"/>
    <x v="5"/>
    <x v="1"/>
    <d v="1899-12-31T16:43:41"/>
    <n v="308512"/>
    <d v="1899-12-30T03:04:17"/>
    <n v="22754.984818905436"/>
    <n v="6580.2016129364847"/>
    <s v="Yes"/>
    <x v="2"/>
    <x v="0"/>
    <x v="0"/>
    <x v="0"/>
    <n v="8671000"/>
    <n v="11057.422176072459"/>
    <x v="1"/>
    <m/>
    <m/>
  </r>
  <r>
    <x v="0"/>
    <x v="34"/>
    <x v="6"/>
    <x v="2"/>
    <d v="1899-12-30T18:27:57"/>
    <n v="177349"/>
    <d v="1899-12-30T01:24:54"/>
    <n v="7919.9041220560366"/>
    <n v="2274.7558738214802"/>
    <s v="Yes"/>
    <x v="2"/>
    <x v="0"/>
    <x v="0"/>
    <x v="0"/>
    <n v="4406000"/>
    <n v="5094.1343198722861"/>
    <x v="1"/>
    <m/>
    <m/>
  </r>
  <r>
    <x v="0"/>
    <x v="34"/>
    <x v="6"/>
    <x v="0"/>
    <d v="1900-01-02T09:48:12"/>
    <n v="1138696"/>
    <d v="1899-12-30T06:55:59"/>
    <n v="180793.93999804987"/>
    <n v="53607.552691163713"/>
    <s v="Yes"/>
    <x v="2"/>
    <x v="0"/>
    <x v="0"/>
    <x v="0"/>
    <n v="4406000"/>
    <n v="24958.643691762321"/>
    <x v="1"/>
    <m/>
    <m/>
  </r>
  <r>
    <x v="0"/>
    <x v="34"/>
    <x v="6"/>
    <x v="1"/>
    <d v="1900-01-01T11:16:12"/>
    <n v="452820"/>
    <d v="1899-12-30T04:20:35"/>
    <n v="30959.840256391475"/>
    <n v="8693.706966424319"/>
    <s v="Yes"/>
    <x v="2"/>
    <x v="0"/>
    <x v="0"/>
    <x v="0"/>
    <n v="4406000"/>
    <n v="15635.232463489107"/>
    <x v="1"/>
    <m/>
    <m/>
  </r>
  <r>
    <x v="0"/>
    <x v="35"/>
    <x v="5"/>
    <x v="2"/>
    <d v="1899-12-30T20:42:11"/>
    <n v="251196"/>
    <d v="1899-12-30T01:34:43"/>
    <n v="31416.231361405022"/>
    <n v="8934.4784733559572"/>
    <s v="Yes"/>
    <x v="2"/>
    <x v="0"/>
    <x v="0"/>
    <x v="0"/>
    <n v="5553000"/>
    <n v="5682.7261933210202"/>
    <x v="1"/>
    <m/>
    <m/>
  </r>
  <r>
    <x v="0"/>
    <x v="35"/>
    <x v="5"/>
    <x v="0"/>
    <d v="1900-01-05T06:41:35"/>
    <n v="1395412"/>
    <d v="1899-12-30T12:20:24"/>
    <n v="527389.36116227834"/>
    <n v="149973.09782931354"/>
    <s v="Yes"/>
    <x v="2"/>
    <x v="0"/>
    <x v="0"/>
    <x v="0"/>
    <n v="5553000"/>
    <n v="44424.370801664918"/>
    <x v="1"/>
    <m/>
    <m/>
  </r>
  <r>
    <x v="0"/>
    <x v="35"/>
    <x v="5"/>
    <x v="1"/>
    <d v="1899-12-31T14:50:07"/>
    <n v="217098"/>
    <d v="1899-12-30T02:55:32"/>
    <n v="48917.029857780188"/>
    <n v="13909.809292988284"/>
    <s v="Yes"/>
    <x v="2"/>
    <x v="0"/>
    <x v="0"/>
    <x v="0"/>
    <n v="5553000"/>
    <n v="10531.856375408499"/>
    <x v="1"/>
    <m/>
    <m/>
  </r>
  <r>
    <x v="0"/>
    <x v="35"/>
    <x v="6"/>
    <x v="2"/>
    <d v="1899-12-30T18:47:44"/>
    <n v="248200"/>
    <d v="1899-12-30T01:29:25"/>
    <n v="37664.070578475163"/>
    <n v="11207.68027445346"/>
    <s v="Yes"/>
    <x v="2"/>
    <x v="0"/>
    <x v="0"/>
    <x v="0"/>
    <n v="4844000"/>
    <n v="5365.0384598606106"/>
    <x v="1"/>
    <m/>
    <m/>
  </r>
  <r>
    <x v="0"/>
    <x v="35"/>
    <x v="6"/>
    <x v="0"/>
    <d v="1900-01-02T02:25:41"/>
    <n v="1065859"/>
    <d v="1899-12-30T06:08:08"/>
    <n v="369315.60816908121"/>
    <n v="108576.20496684677"/>
    <s v="Yes"/>
    <x v="2"/>
    <x v="0"/>
    <x v="0"/>
    <x v="0"/>
    <n v="4844000"/>
    <n v="22087.863948529939"/>
    <x v="1"/>
    <m/>
    <m/>
  </r>
  <r>
    <x v="0"/>
    <x v="35"/>
    <x v="6"/>
    <x v="1"/>
    <d v="1900-01-01T10:01:52"/>
    <n v="419170"/>
    <d v="1899-12-30T04:21:43"/>
    <n v="103618.94074347272"/>
    <n v="29482.912675092233"/>
    <s v="Yes"/>
    <x v="2"/>
    <x v="0"/>
    <x v="0"/>
    <x v="0"/>
    <n v="4844000"/>
    <n v="15702.62133605794"/>
    <x v="1"/>
    <m/>
    <m/>
  </r>
  <r>
    <x v="0"/>
    <x v="36"/>
    <x v="50"/>
    <x v="0"/>
    <d v="1899-12-30T02:00:00"/>
    <n v="256399.99999999997"/>
    <d v="1899-12-30T00:06:22"/>
    <n v="10981.225653828329"/>
    <n v="3294.6542793545868"/>
    <s v="Yes"/>
    <x v="2"/>
    <x v="0"/>
    <x v="0"/>
    <x v="1"/>
    <n v="52550000"/>
    <n v="381.88874514877085"/>
    <x v="1"/>
    <m/>
    <m/>
  </r>
  <r>
    <x v="0"/>
    <x v="37"/>
    <x v="20"/>
    <x v="2"/>
    <d v="1900-01-01T19:40:00"/>
    <n v="32160"/>
    <d v="1899-12-30T04:23:29"/>
    <n v="2558.4408973559784"/>
    <n v="719.39590332481578"/>
    <s v="No"/>
    <x v="1"/>
    <x v="0"/>
    <x v="0"/>
    <x v="0"/>
    <n v="964000"/>
    <n v="15808.815724893853"/>
    <x v="0"/>
    <m/>
    <m/>
  </r>
  <r>
    <x v="0"/>
    <x v="37"/>
    <x v="20"/>
    <x v="0"/>
    <d v="1900-01-03T15:30:00"/>
    <n v="12179.999999999998"/>
    <d v="1899-12-30T06:49:48"/>
    <n v="10647.100534093874"/>
    <n v="2955.9997128845625"/>
    <s v="No"/>
    <x v="1"/>
    <x v="0"/>
    <x v="0"/>
    <x v="0"/>
    <n v="964000"/>
    <n v="24587.712959890701"/>
    <x v="0"/>
    <m/>
    <m/>
  </r>
  <r>
    <x v="0"/>
    <x v="37"/>
    <x v="21"/>
    <x v="2"/>
    <d v="1899-12-30T18:55:00"/>
    <n v="6327"/>
    <d v="1899-12-30T01:06:22"/>
    <n v="447.47286358024633"/>
    <n v="127.28785672330574"/>
    <s v="No"/>
    <x v="1"/>
    <x v="0"/>
    <x v="0"/>
    <x v="0"/>
    <n v="964000"/>
    <n v="3981.8765897427488"/>
    <x v="0"/>
    <m/>
    <m/>
  </r>
  <r>
    <x v="0"/>
    <x v="37"/>
    <x v="21"/>
    <x v="0"/>
    <d v="1900-01-02T05:30:00"/>
    <n v="4920"/>
    <d v="1899-12-30T04:44:50"/>
    <n v="4484.0171349599077"/>
    <n v="1244.9167095836951"/>
    <s v="No"/>
    <x v="1"/>
    <x v="0"/>
    <x v="0"/>
    <x v="0"/>
    <n v="964000"/>
    <n v="17090.114389161699"/>
    <x v="0"/>
    <m/>
    <m/>
  </r>
  <r>
    <x v="0"/>
    <x v="37"/>
    <x v="22"/>
    <x v="0"/>
    <d v="1900-01-02T01:00:00"/>
    <n v="3690"/>
    <d v="1899-12-30T04:28:18"/>
    <n v="4223.6548497041704"/>
    <n v="1172.6312232207708"/>
    <s v="No"/>
    <x v="1"/>
    <x v="0"/>
    <x v="0"/>
    <x v="0"/>
    <n v="964000"/>
    <n v="16097.785166565211"/>
    <x v="0"/>
    <m/>
    <m/>
  </r>
  <r>
    <x v="0"/>
    <x v="38"/>
    <x v="38"/>
    <x v="2"/>
    <d v="1899-12-30T06:51:17"/>
    <n v="9243"/>
    <d v="1899-12-30T00:25:12"/>
    <n v="97.34751685374583"/>
    <n v="27.027004295511485"/>
    <s v="Yes"/>
    <x v="4"/>
    <x v="0"/>
    <x v="0"/>
    <x v="0"/>
    <n v="5200000"/>
    <n v="1511.5869275316961"/>
    <x v="1"/>
    <m/>
    <m/>
  </r>
  <r>
    <x v="0"/>
    <x v="38"/>
    <x v="38"/>
    <x v="0"/>
    <d v="1900-01-05T00:22:38"/>
    <n v="36948"/>
    <d v="1899-12-30T08:50:38"/>
    <n v="3724.8045994482927"/>
    <n v="1034.1333108730064"/>
    <s v="Yes"/>
    <x v="4"/>
    <x v="0"/>
    <x v="0"/>
    <x v="0"/>
    <n v="5200000"/>
    <n v="31837.719264092855"/>
    <x v="1"/>
    <m/>
    <m/>
  </r>
  <r>
    <x v="0"/>
    <x v="38"/>
    <x v="38"/>
    <x v="1"/>
    <d v="1899-12-30T04:06:12"/>
    <n v="49"/>
    <d v="1899-12-30T00:15:05"/>
    <n v="3.2434228381934642"/>
    <n v="0.9004852492715818"/>
    <s v="Yes"/>
    <x v="4"/>
    <x v="0"/>
    <x v="0"/>
    <x v="0"/>
    <n v="5200000"/>
    <n v="904.85723927131403"/>
    <x v="1"/>
    <m/>
    <m/>
  </r>
  <r>
    <x v="0"/>
    <x v="38"/>
    <x v="39"/>
    <x v="0"/>
    <d v="1899-12-30T03:50:37"/>
    <n v="49"/>
    <d v="1899-12-30T00:14:08"/>
    <n v="3.0381290151694396"/>
    <n v="0.84348865381606264"/>
    <s v="Yes"/>
    <x v="4"/>
    <x v="0"/>
    <x v="0"/>
    <x v="0"/>
    <n v="5200000"/>
    <n v="847.58391685602317"/>
    <x v="1"/>
    <m/>
    <m/>
  </r>
  <r>
    <x v="0"/>
    <x v="38"/>
    <x v="40"/>
    <x v="2"/>
    <d v="1899-12-31T14:06:53"/>
    <n v="320837"/>
    <d v="1899-12-30T02:20:05"/>
    <n v="3081.116685852975"/>
    <n v="855.42350328904388"/>
    <s v="Yes"/>
    <x v="4"/>
    <x v="0"/>
    <x v="0"/>
    <x v="0"/>
    <n v="5200000"/>
    <n v="8404.9672605019532"/>
    <x v="1"/>
    <m/>
    <m/>
  </r>
  <r>
    <x v="0"/>
    <x v="38"/>
    <x v="40"/>
    <x v="0"/>
    <d v="1900-01-06T14:51:22"/>
    <n v="193959"/>
    <d v="1899-12-30T11:12:03"/>
    <n v="20684.915703306899"/>
    <n v="5742.8409438063336"/>
    <s v="Yes"/>
    <x v="4"/>
    <x v="0"/>
    <x v="0"/>
    <x v="0"/>
    <n v="5200000"/>
    <n v="40322.991685756773"/>
    <x v="1"/>
    <m/>
    <m/>
  </r>
  <r>
    <x v="0"/>
    <x v="38"/>
    <x v="40"/>
    <x v="1"/>
    <d v="1900-01-05T04:25:06"/>
    <n v="224727"/>
    <d v="1899-12-30T09:05:29"/>
    <n v="10709.395919673016"/>
    <n v="2973.2950451955799"/>
    <s v="Yes"/>
    <x v="4"/>
    <x v="0"/>
    <x v="0"/>
    <x v="0"/>
    <n v="5200000"/>
    <n v="32728.855407940624"/>
    <x v="1"/>
    <m/>
    <m/>
  </r>
  <r>
    <x v="0"/>
    <x v="38"/>
    <x v="41"/>
    <x v="0"/>
    <d v="1900-01-01T10:09:48"/>
    <n v="7150"/>
    <d v="1899-12-30T03:33:46"/>
    <n v="1053.2532981218235"/>
    <n v="292.4191836897873"/>
    <s v="Yes"/>
    <x v="4"/>
    <x v="0"/>
    <x v="0"/>
    <x v="0"/>
    <n v="5200000"/>
    <n v="12826.03896673043"/>
    <x v="1"/>
    <m/>
    <m/>
  </r>
  <r>
    <x v="0"/>
    <x v="38"/>
    <x v="41"/>
    <x v="1"/>
    <d v="1899-12-30T05:24:49"/>
    <n v="84"/>
    <d v="1899-12-30T00:19:54"/>
    <n v="7.3356234993097713"/>
    <n v="2.0366202881575748"/>
    <s v="Yes"/>
    <x v="4"/>
    <x v="0"/>
    <x v="0"/>
    <x v="0"/>
    <n v="5200000"/>
    <n v="1193.7965567396859"/>
    <x v="1"/>
    <m/>
    <m/>
  </r>
  <r>
    <x v="0"/>
    <x v="38"/>
    <x v="42"/>
    <x v="2"/>
    <d v="1899-12-30T03:00:09"/>
    <n v="8496"/>
    <d v="1899-12-30T00:11:02"/>
    <n v="63.874460950843606"/>
    <n v="17.733737708847407"/>
    <s v="Yes"/>
    <x v="4"/>
    <x v="0"/>
    <x v="0"/>
    <x v="0"/>
    <n v="5200000"/>
    <n v="662.10410907687742"/>
    <x v="1"/>
    <m/>
    <m/>
  </r>
  <r>
    <x v="0"/>
    <x v="38"/>
    <x v="42"/>
    <x v="1"/>
    <d v="1899-12-30T06:02:17"/>
    <n v="1249"/>
    <d v="1899-12-30T00:22:11"/>
    <n v="62.052456426970018"/>
    <n v="17.227886859388605"/>
    <s v="Yes"/>
    <x v="4"/>
    <x v="0"/>
    <x v="0"/>
    <x v="0"/>
    <n v="5200000"/>
    <n v="1331.4975500975193"/>
    <x v="1"/>
    <m/>
    <m/>
  </r>
  <r>
    <x v="0"/>
    <x v="38"/>
    <x v="43"/>
    <x v="2"/>
    <d v="1899-12-30T05:36:52"/>
    <n v="115598"/>
    <d v="1899-12-30T00:20:38"/>
    <n v="868.67552847677803"/>
    <n v="241.17407406313512"/>
    <s v="Yes"/>
    <x v="4"/>
    <x v="0"/>
    <x v="0"/>
    <x v="0"/>
    <n v="5200000"/>
    <n v="1238.0838424148258"/>
    <x v="1"/>
    <m/>
    <m/>
  </r>
  <r>
    <x v="0"/>
    <x v="38"/>
    <x v="44"/>
    <x v="2"/>
    <d v="1899-12-30T03:32:12"/>
    <n v="4945"/>
    <d v="1899-12-30T00:13:00"/>
    <n v="64.991664424195974"/>
    <n v="18.04391165112289"/>
    <s v="Yes"/>
    <x v="4"/>
    <x v="0"/>
    <x v="0"/>
    <x v="0"/>
    <n v="5200000"/>
    <n v="779.8972630924975"/>
    <x v="1"/>
    <m/>
    <m/>
  </r>
  <r>
    <x v="0"/>
    <x v="38"/>
    <x v="44"/>
    <x v="0"/>
    <d v="1900-01-02T17:27:40"/>
    <n v="17360"/>
    <d v="1899-12-30T05:28:48"/>
    <n v="2084.5441676127189"/>
    <n v="578.74084509927093"/>
    <s v="Yes"/>
    <x v="4"/>
    <x v="0"/>
    <x v="0"/>
    <x v="0"/>
    <n v="5200000"/>
    <n v="19727.749964779272"/>
    <x v="1"/>
    <m/>
    <m/>
  </r>
  <r>
    <x v="0"/>
    <x v="39"/>
    <x v="51"/>
    <x v="2"/>
    <d v="1899-12-30T20:57:15"/>
    <n v="200538"/>
    <d v="1899-12-30T01:17:01"/>
    <n v="34773.636200044275"/>
    <n v="9654.3522148709744"/>
    <s v="Yes"/>
    <x v="1"/>
    <x v="0"/>
    <x v="0"/>
    <x v="0"/>
    <n v="11136000"/>
    <n v="4620.762648553452"/>
    <x v="1"/>
    <m/>
    <m/>
  </r>
  <r>
    <x v="0"/>
    <x v="39"/>
    <x v="51"/>
    <x v="0"/>
    <d v="1900-01-01T20:03:21"/>
    <n v="581133"/>
    <d v="1899-12-30T05:25:12"/>
    <n v="335170.39508504351"/>
    <n v="94172.37991855033"/>
    <s v="Yes"/>
    <x v="1"/>
    <x v="0"/>
    <x v="0"/>
    <x v="0"/>
    <n v="11136000"/>
    <n v="19512.22240587799"/>
    <x v="1"/>
    <m/>
    <m/>
  </r>
  <r>
    <x v="0"/>
    <x v="39"/>
    <x v="51"/>
    <x v="1"/>
    <d v="1900-01-02T12:32:50"/>
    <n v="615095"/>
    <d v="1899-12-30T06:34:07"/>
    <n v="272765.85281137988"/>
    <n v="77876.50923034671"/>
    <s v="Yes"/>
    <x v="1"/>
    <x v="0"/>
    <x v="0"/>
    <x v="0"/>
    <n v="11136000"/>
    <n v="23646.564449045905"/>
    <x v="1"/>
    <m/>
    <m/>
  </r>
  <r>
    <x v="0"/>
    <x v="40"/>
    <x v="5"/>
    <x v="2"/>
    <d v="1899-12-30T22:33:05"/>
    <n v="1463317"/>
    <d v="1899-12-30T01:44:01"/>
    <n v="27437.001336930247"/>
    <n v="8007.8756274475891"/>
    <s v="Yes"/>
    <x v="2"/>
    <x v="0"/>
    <x v="0"/>
    <x v="0"/>
    <n v="2143000"/>
    <n v="6240.6411963701712"/>
    <x v="1"/>
    <m/>
    <m/>
  </r>
  <r>
    <x v="0"/>
    <x v="40"/>
    <x v="5"/>
    <x v="0"/>
    <d v="1900-01-04T04:11:49"/>
    <n v="927255"/>
    <d v="1899-12-30T10:17:06"/>
    <n v="209973.78449770869"/>
    <n v="60243.012035237"/>
    <s v="Yes"/>
    <x v="2"/>
    <x v="0"/>
    <x v="0"/>
    <x v="0"/>
    <n v="2143000"/>
    <n v="37025.881735749499"/>
    <x v="1"/>
    <m/>
    <m/>
  </r>
  <r>
    <x v="0"/>
    <x v="40"/>
    <x v="5"/>
    <x v="1"/>
    <d v="1900-01-01T09:32:40"/>
    <n v="249660"/>
    <d v="1899-12-30T04:20:19"/>
    <n v="23255.967438442378"/>
    <n v="6636.3919658174809"/>
    <s v="Yes"/>
    <x v="2"/>
    <x v="0"/>
    <x v="0"/>
    <x v="0"/>
    <n v="2143000"/>
    <n v="15619.234116134798"/>
    <x v="1"/>
    <m/>
    <m/>
  </r>
  <r>
    <x v="0"/>
    <x v="40"/>
    <x v="6"/>
    <x v="2"/>
    <d v="1899-12-30T08:08:42"/>
    <n v="590276"/>
    <d v="1899-12-30T00:41:08"/>
    <n v="4447.4231374381352"/>
    <n v="1311.4182376301237"/>
    <s v="Yes"/>
    <x v="2"/>
    <x v="0"/>
    <x v="0"/>
    <x v="0"/>
    <n v="1560000"/>
    <n v="2467.5822253303154"/>
    <x v="1"/>
    <m/>
    <m/>
  </r>
  <r>
    <x v="0"/>
    <x v="40"/>
    <x v="6"/>
    <x v="0"/>
    <d v="1900-01-01T17:31:52"/>
    <n v="624684"/>
    <d v="1899-12-30T05:43:19"/>
    <n v="66181.537770742492"/>
    <n v="19432.741934476919"/>
    <s v="Yes"/>
    <x v="2"/>
    <x v="0"/>
    <x v="0"/>
    <x v="0"/>
    <n v="1560000"/>
    <n v="20598.795957447619"/>
    <x v="1"/>
    <m/>
    <m/>
  </r>
  <r>
    <x v="0"/>
    <x v="40"/>
    <x v="6"/>
    <x v="1"/>
    <d v="1900-01-02T00:54:35"/>
    <n v="146962"/>
    <d v="1899-12-30T05:26:45"/>
    <n v="17017.52482510413"/>
    <n v="4853.3017407984053"/>
    <s v="Yes"/>
    <x v="2"/>
    <x v="0"/>
    <x v="0"/>
    <x v="0"/>
    <n v="1560000"/>
    <n v="19604.965345250217"/>
    <x v="1"/>
    <m/>
    <m/>
  </r>
  <r>
    <x v="0"/>
    <x v="41"/>
    <x v="5"/>
    <x v="2"/>
    <d v="1899-12-30T23:41:51"/>
    <n v="88063"/>
    <d v="1899-12-30T01:44:22"/>
    <n v="19548.012981187869"/>
    <n v="5525.0523681690347"/>
    <s v="No"/>
    <x v="2"/>
    <x v="0"/>
    <x v="0"/>
    <x v="0"/>
    <n v="3087000"/>
    <n v="6262.2452513789285"/>
    <x v="0"/>
    <m/>
    <m/>
  </r>
  <r>
    <x v="0"/>
    <x v="41"/>
    <x v="5"/>
    <x v="0"/>
    <d v="1900-01-04T09:07:45"/>
    <n v="297525"/>
    <d v="1899-12-30T10:22:35"/>
    <n v="242677.7655838684"/>
    <n v="68477.421271021129"/>
    <s v="No"/>
    <x v="2"/>
    <x v="0"/>
    <x v="0"/>
    <x v="0"/>
    <n v="3087000"/>
    <n v="37355.286507956684"/>
    <x v="0"/>
    <m/>
    <m/>
  </r>
  <r>
    <x v="0"/>
    <x v="41"/>
    <x v="5"/>
    <x v="1"/>
    <d v="1899-12-31T10:15:47"/>
    <n v="48235"/>
    <d v="1899-12-30T02:35:56"/>
    <n v="27166.471466657287"/>
    <n v="7881.6441200088557"/>
    <s v="No"/>
    <x v="2"/>
    <x v="0"/>
    <x v="0"/>
    <x v="0"/>
    <n v="3087000"/>
    <n v="9356.3508161896243"/>
    <x v="0"/>
    <m/>
    <m/>
  </r>
  <r>
    <x v="0"/>
    <x v="41"/>
    <x v="6"/>
    <x v="2"/>
    <d v="1899-12-30T20:07:21"/>
    <n v="56191"/>
    <d v="1899-12-30T01:34:58"/>
    <n v="16620.377748576615"/>
    <n v="4754.8274089417291"/>
    <s v="No"/>
    <x v="2"/>
    <x v="0"/>
    <x v="0"/>
    <x v="0"/>
    <n v="1301000"/>
    <n v="5698.1850807704077"/>
    <x v="0"/>
    <m/>
    <m/>
  </r>
  <r>
    <x v="0"/>
    <x v="41"/>
    <x v="6"/>
    <x v="0"/>
    <d v="1900-01-02T01:06:04"/>
    <n v="176541"/>
    <d v="1899-12-30T06:02:35"/>
    <n v="153540.7720365214"/>
    <n v="46070.236083068063"/>
    <s v="No"/>
    <x v="2"/>
    <x v="0"/>
    <x v="0"/>
    <x v="0"/>
    <n v="1301000"/>
    <n v="21754.717327620147"/>
    <x v="0"/>
    <m/>
    <m/>
  </r>
  <r>
    <x v="0"/>
    <x v="41"/>
    <x v="6"/>
    <x v="1"/>
    <d v="1900-01-01T10:01:52"/>
    <n v="69520"/>
    <d v="1899-12-30T04:21:43"/>
    <n v="41415.471524808941"/>
    <n v="11745.180908738304"/>
    <s v="No"/>
    <x v="2"/>
    <x v="0"/>
    <x v="0"/>
    <x v="0"/>
    <n v="1301000"/>
    <n v="15702.621336057939"/>
    <x v="0"/>
    <m/>
    <m/>
  </r>
  <r>
    <x v="0"/>
    <x v="41"/>
    <x v="52"/>
    <x v="2"/>
    <d v="1899-12-30T03:18:10"/>
    <n v="80549"/>
    <d v="1899-12-30T00:14:32"/>
    <n v="4967.5251232089213"/>
    <n v="1491.5631448421407"/>
    <s v="Yes"/>
    <x v="2"/>
    <x v="0"/>
    <x v="0"/>
    <x v="1"/>
    <n v="1421400"/>
    <n v="871.60697851034752"/>
    <x v="1"/>
    <m/>
    <m/>
  </r>
  <r>
    <x v="0"/>
    <x v="41"/>
    <x v="52"/>
    <x v="0"/>
    <d v="1899-12-31T00:00:33"/>
    <n v="51225"/>
    <d v="1899-12-30T01:43:26"/>
    <n v="30891.633908666787"/>
    <n v="9266.6139963658952"/>
    <s v="Yes"/>
    <x v="2"/>
    <x v="0"/>
    <x v="0"/>
    <x v="1"/>
    <n v="1421400"/>
    <n v="6206.416232994331"/>
    <x v="1"/>
    <m/>
    <m/>
  </r>
  <r>
    <x v="0"/>
    <x v="41"/>
    <x v="52"/>
    <x v="1"/>
    <d v="1899-12-30T03:38:02"/>
    <n v="2100"/>
    <d v="1899-12-30T00:11:20"/>
    <n v="843.69373177225805"/>
    <n v="234.58646855734102"/>
    <s v="Yes"/>
    <x v="2"/>
    <x v="0"/>
    <x v="0"/>
    <x v="1"/>
    <n v="1421400"/>
    <n v="680.32953580240871"/>
    <x v="1"/>
    <m/>
    <m/>
  </r>
  <r>
    <x v="0"/>
    <x v="41"/>
    <x v="53"/>
    <x v="2"/>
    <d v="1899-12-30T04:18:25"/>
    <n v="298900"/>
    <d v="1899-12-30T00:20:02"/>
    <n v="25229.987753153819"/>
    <n v="7988.9846326924098"/>
    <s v="Yes"/>
    <x v="2"/>
    <x v="0"/>
    <x v="0"/>
    <x v="1"/>
    <n v="2088840"/>
    <n v="1202.29763497472"/>
    <x v="1"/>
    <m/>
    <m/>
  </r>
  <r>
    <x v="0"/>
    <x v="41"/>
    <x v="53"/>
    <x v="0"/>
    <d v="1899-12-31T00:44:00"/>
    <n v="183037"/>
    <d v="1899-12-30T01:42:51"/>
    <n v="128950.27798941947"/>
    <n v="39072.875822915019"/>
    <s v="Yes"/>
    <x v="2"/>
    <x v="0"/>
    <x v="0"/>
    <x v="1"/>
    <n v="2088840"/>
    <n v="6170.8963152385058"/>
    <x v="1"/>
    <m/>
    <m/>
  </r>
  <r>
    <x v="0"/>
    <x v="41"/>
    <x v="53"/>
    <x v="1"/>
    <d v="1899-12-31T01:45:59"/>
    <n v="39400"/>
    <d v="1899-12-30T02:02:59"/>
    <n v="31430.554623276454"/>
    <n v="9150.3195221089372"/>
    <s v="Yes"/>
    <x v="2"/>
    <x v="0"/>
    <x v="0"/>
    <x v="1"/>
    <n v="2088840"/>
    <n v="7379.1549368446995"/>
    <x v="1"/>
    <m/>
    <m/>
  </r>
  <r>
    <x v="0"/>
    <x v="41"/>
    <x v="54"/>
    <x v="2"/>
    <d v="1899-12-30T01:34:15"/>
    <n v="374800"/>
    <d v="1899-12-30T00:07:20"/>
    <n v="14268.426170465953"/>
    <n v="4250.182396534773"/>
    <s v="Yes"/>
    <x v="2"/>
    <x v="0"/>
    <x v="0"/>
    <x v="1"/>
    <n v="2875760"/>
    <n v="440.18241263317276"/>
    <x v="1"/>
    <m/>
    <m/>
  </r>
  <r>
    <x v="0"/>
    <x v="41"/>
    <x v="54"/>
    <x v="0"/>
    <d v="1899-12-30T13:42:23"/>
    <n v="287100"/>
    <d v="1899-12-30T00:59:04"/>
    <n v="158326.20200745293"/>
    <n v="46753.04813312355"/>
    <s v="Yes"/>
    <x v="2"/>
    <x v="0"/>
    <x v="0"/>
    <x v="1"/>
    <n v="2875760"/>
    <n v="3543.8921493855428"/>
    <x v="1"/>
    <m/>
    <m/>
  </r>
  <r>
    <x v="0"/>
    <x v="41"/>
    <x v="55"/>
    <x v="2"/>
    <d v="1899-12-30T01:56:31"/>
    <n v="246600"/>
    <d v="1899-12-30T00:06:52"/>
    <n v="17596.977168312438"/>
    <n v="5231.4621620031758"/>
    <s v="Yes"/>
    <x v="2"/>
    <x v="0"/>
    <x v="0"/>
    <x v="1"/>
    <n v="3353680"/>
    <n v="411.98019976629081"/>
    <x v="1"/>
    <m/>
    <m/>
  </r>
  <r>
    <x v="0"/>
    <x v="41"/>
    <x v="55"/>
    <x v="0"/>
    <d v="1899-12-30T11:44:32"/>
    <n v="203700"/>
    <d v="1899-12-30T00:45:27"/>
    <n v="106042.59340521933"/>
    <n v="31284.73063356815"/>
    <s v="Yes"/>
    <x v="2"/>
    <x v="0"/>
    <x v="0"/>
    <x v="1"/>
    <n v="3353680"/>
    <n v="2726.572376362762"/>
    <x v="1"/>
    <m/>
    <m/>
  </r>
  <r>
    <x v="0"/>
    <x v="42"/>
    <x v="56"/>
    <x v="2"/>
    <d v="1899-12-30T01:00:00"/>
    <n v="11878"/>
    <d v="1899-12-30T00:03:41"/>
    <n v="95.80408280656647"/>
    <n v="26.598494149889316"/>
    <s v="No"/>
    <x v="1"/>
    <x v="0"/>
    <x v="0"/>
    <x v="0"/>
    <n v="1334000"/>
    <n v="220.51760502144128"/>
    <x v="0"/>
    <m/>
    <m/>
  </r>
  <r>
    <x v="0"/>
    <x v="42"/>
    <x v="56"/>
    <x v="0"/>
    <d v="1900-01-05T01:00:00"/>
    <n v="300270"/>
    <d v="1899-12-30T09:23:17"/>
    <n v="24745.568312372787"/>
    <n v="6965.3262820887048"/>
    <s v="No"/>
    <x v="1"/>
    <x v="0"/>
    <x v="0"/>
    <x v="0"/>
    <n v="1334000"/>
    <n v="33797.090762470471"/>
    <x v="0"/>
    <m/>
    <m/>
  </r>
  <r>
    <x v="0"/>
    <x v="42"/>
    <x v="56"/>
    <x v="1"/>
    <d v="1900-01-07T17:30:00"/>
    <n v="230170"/>
    <d v="1899-12-30T13:42:59"/>
    <n v="17725.740298089586"/>
    <n v="4952.7368945182407"/>
    <s v="No"/>
    <x v="1"/>
    <x v="0"/>
    <x v="0"/>
    <x v="0"/>
    <n v="1334000"/>
    <n v="49378.745637594955"/>
    <x v="0"/>
    <m/>
    <m/>
  </r>
  <r>
    <x v="0"/>
    <x v="42"/>
    <x v="57"/>
    <x v="0"/>
    <d v="1900-01-05T01:00:00"/>
    <n v="290261"/>
    <d v="1899-12-30T09:23:17"/>
    <n v="24745.56831237279"/>
    <n v="6965.3262820887048"/>
    <s v="No"/>
    <x v="1"/>
    <x v="0"/>
    <x v="0"/>
    <x v="0"/>
    <n v="1334000"/>
    <n v="33797.090762470471"/>
    <x v="0"/>
    <m/>
    <m/>
  </r>
  <r>
    <x v="0"/>
    <x v="42"/>
    <x v="57"/>
    <x v="1"/>
    <d v="1900-01-07T00:00:00"/>
    <n v="183031"/>
    <d v="1899-12-30T11:53:54"/>
    <n v="15259.778640880028"/>
    <n v="4260.4627907530266"/>
    <s v="No"/>
    <x v="1"/>
    <x v="0"/>
    <x v="0"/>
    <x v="0"/>
    <n v="1334000"/>
    <n v="42834.28595966009"/>
    <x v="0"/>
    <m/>
    <m/>
  </r>
  <r>
    <x v="0"/>
    <x v="43"/>
    <x v="58"/>
    <x v="0"/>
    <d v="1899-12-30T03:43:37"/>
    <n v="6013000"/>
    <d v="1899-12-30T00:13:42"/>
    <n v="1555831.8766729331"/>
    <n v="431952.20764704118"/>
    <s v="Yes"/>
    <x v="2"/>
    <x v="0"/>
    <x v="0"/>
    <x v="1"/>
    <n v="25754600"/>
    <n v="821.85686293685478"/>
    <x v="1"/>
    <m/>
    <m/>
  </r>
  <r>
    <x v="0"/>
    <x v="44"/>
    <x v="59"/>
    <x v="0"/>
    <d v="1900-01-02T15:00:00"/>
    <n v="23190"/>
    <d v="1899-12-30T05:19:45"/>
    <n v="18248.525180315111"/>
    <n v="5066.4155016517843"/>
    <s v="No"/>
    <x v="3"/>
    <x v="0"/>
    <x v="0"/>
    <x v="0"/>
    <n v="0"/>
    <n v="19185.031636865395"/>
    <x v="0"/>
    <m/>
    <m/>
  </r>
  <r>
    <x v="0"/>
    <x v="44"/>
    <x v="59"/>
    <x v="1"/>
    <d v="1899-12-31T01:00:00"/>
    <n v="10070"/>
    <d v="1899-12-30T01:31:53"/>
    <n v="5608.9818881396959"/>
    <n v="1557.2454489204008"/>
    <s v="No"/>
    <x v="3"/>
    <x v="0"/>
    <x v="0"/>
    <x v="0"/>
    <n v="0"/>
    <n v="5512.9401255360317"/>
    <x v="0"/>
    <m/>
    <m/>
  </r>
  <r>
    <x v="0"/>
    <x v="44"/>
    <x v="60"/>
    <x v="0"/>
    <d v="1899-12-31T13:00:00"/>
    <n v="7872"/>
    <d v="1899-12-30T02:15:59"/>
    <n v="7584.2571732779988"/>
    <n v="2105.6495103866728"/>
    <s v="No"/>
    <x v="3"/>
    <x v="0"/>
    <x v="0"/>
    <x v="0"/>
    <n v="0"/>
    <n v="8159.1513857933287"/>
    <x v="0"/>
    <m/>
    <m/>
  </r>
  <r>
    <x v="0"/>
    <x v="44"/>
    <x v="60"/>
    <x v="1"/>
    <d v="1899-12-30T20:00:00"/>
    <n v="6560"/>
    <d v="1899-12-30T01:13:30"/>
    <n v="4099.598472042162"/>
    <n v="1138.1889245333366"/>
    <s v="No"/>
    <x v="3"/>
    <x v="0"/>
    <x v="0"/>
    <x v="0"/>
    <n v="0"/>
    <n v="4410.3521004288268"/>
    <x v="0"/>
    <m/>
    <m/>
  </r>
  <r>
    <x v="0"/>
    <x v="44"/>
    <x v="0"/>
    <x v="2"/>
    <d v="1899-12-30T00:43:00"/>
    <n v="495000"/>
    <d v="1899-12-30T00:02:17"/>
    <n v="47991.408088267788"/>
    <n v="14398.674885179225"/>
    <s v="Yes"/>
    <x v="3"/>
    <x v="0"/>
    <x v="0"/>
    <x v="0"/>
    <n v="93000000"/>
    <n v="136.84346701164293"/>
    <x v="1"/>
    <m/>
    <m/>
  </r>
  <r>
    <x v="0"/>
    <x v="44"/>
    <x v="0"/>
    <x v="0"/>
    <d v="1900-01-02T14:58:00"/>
    <n v="16528600"/>
    <d v="1899-12-30T05:45:13"/>
    <n v="12996921.535725407"/>
    <n v="3698360.6338043101"/>
    <s v="Yes"/>
    <x v="3"/>
    <x v="0"/>
    <x v="0"/>
    <x v="0"/>
    <n v="93000000"/>
    <n v="20712.698033668177"/>
    <x v="1"/>
    <m/>
    <m/>
  </r>
  <r>
    <x v="0"/>
    <x v="44"/>
    <x v="61"/>
    <x v="2"/>
    <d v="1899-12-30T00:30:00"/>
    <n v="3600"/>
    <d v="1899-12-30T00:01:35"/>
    <n v="243.50820171636883"/>
    <n v="73.058815485053003"/>
    <s v="Yes"/>
    <x v="3"/>
    <x v="0"/>
    <x v="0"/>
    <x v="0"/>
    <n v="38400000"/>
    <n v="95.472186287192713"/>
    <x v="1"/>
    <m/>
    <m/>
  </r>
  <r>
    <x v="0"/>
    <x v="44"/>
    <x v="61"/>
    <x v="0"/>
    <d v="1900-01-02T11:25:00"/>
    <n v="189000"/>
    <d v="1899-12-30T05:25:08"/>
    <n v="147706.49412330848"/>
    <n v="41346.155592766845"/>
    <s v="Yes"/>
    <x v="3"/>
    <x v="0"/>
    <x v="0"/>
    <x v="0"/>
    <n v="38400000"/>
    <n v="19508.136305176242"/>
    <x v="1"/>
    <m/>
    <m/>
  </r>
  <r>
    <x v="0"/>
    <x v="44"/>
    <x v="61"/>
    <x v="1"/>
    <d v="1899-12-30T02:00:00"/>
    <n v="49"/>
    <d v="1899-12-30T00:06:22"/>
    <n v="13.257668760113461"/>
    <n v="3.9776466208529002"/>
    <s v="Yes"/>
    <x v="3"/>
    <x v="0"/>
    <x v="0"/>
    <x v="0"/>
    <n v="38400000"/>
    <n v="381.88874514877085"/>
    <x v="1"/>
    <m/>
    <m/>
  </r>
  <r>
    <x v="0"/>
    <x v="44"/>
    <x v="62"/>
    <x v="0"/>
    <d v="1900-01-01T17:21:00"/>
    <n v="8458400"/>
    <d v="1899-12-30T03:55:53"/>
    <n v="6857408.1850569854"/>
    <n v="1904711.2624953447"/>
    <s v="Yes"/>
    <x v="3"/>
    <x v="0"/>
    <x v="0"/>
    <x v="0"/>
    <n v="93000000"/>
    <n v="14152.557421450243"/>
    <x v="1"/>
    <m/>
    <m/>
  </r>
  <r>
    <x v="0"/>
    <x v="44"/>
    <x v="62"/>
    <x v="1"/>
    <d v="1899-12-30T03:00:00"/>
    <n v="134700"/>
    <d v="1899-12-30T00:09:33"/>
    <n v="54667.591285324721"/>
    <n v="16401.704076394377"/>
    <s v="Yes"/>
    <x v="3"/>
    <x v="0"/>
    <x v="0"/>
    <x v="0"/>
    <n v="93000000"/>
    <n v="572.83311772315631"/>
    <x v="1"/>
    <m/>
    <m/>
  </r>
  <r>
    <x v="0"/>
    <x v="44"/>
    <x v="63"/>
    <x v="2"/>
    <d v="1899-12-30T19:35:00"/>
    <n v="729652"/>
    <d v="1899-12-30T01:11:58"/>
    <n v="108229.73296260191"/>
    <n v="30048.280143365024"/>
    <s v="Yes"/>
    <x v="3"/>
    <x v="0"/>
    <x v="0"/>
    <x v="0"/>
    <n v="34000000"/>
    <n v="4318.4697650032258"/>
    <x v="1"/>
    <m/>
    <m/>
  </r>
  <r>
    <x v="0"/>
    <x v="44"/>
    <x v="63"/>
    <x v="0"/>
    <d v="1899-12-30T01:52:00"/>
    <n v="33700"/>
    <d v="1899-12-30T00:06:43"/>
    <n v="9615.5054456685266"/>
    <n v="2596.389687579921"/>
    <s v="Yes"/>
    <x v="3"/>
    <x v="0"/>
    <x v="0"/>
    <x v="0"/>
    <n v="34000000"/>
    <n v="402.72444574829217"/>
    <x v="1"/>
    <m/>
    <m/>
  </r>
  <r>
    <x v="0"/>
    <x v="44"/>
    <x v="63"/>
    <x v="1"/>
    <d v="1900-01-04T20:52:00"/>
    <n v="2146167"/>
    <d v="1899-12-30T11:31:01"/>
    <n v="958013.94507618796"/>
    <n v="271544.17115897627"/>
    <s v="Yes"/>
    <x v="3"/>
    <x v="0"/>
    <x v="0"/>
    <x v="0"/>
    <n v="34000000"/>
    <n v="41461.151157516964"/>
    <x v="1"/>
    <m/>
    <m/>
  </r>
  <r>
    <x v="0"/>
    <x v="45"/>
    <x v="20"/>
    <x v="2"/>
    <d v="1900-01-01T18:00:00"/>
    <n v="1558526"/>
    <d v="1899-12-30T04:15:26"/>
    <n v="69457.254364648572"/>
    <n v="19614.383329594533"/>
    <s v="No"/>
    <x v="1"/>
    <x v="0"/>
    <x v="0"/>
    <x v="0"/>
    <n v="6225000"/>
    <n v="15326.467734709524"/>
    <x v="0"/>
    <m/>
    <m/>
  </r>
  <r>
    <x v="0"/>
    <x v="45"/>
    <x v="20"/>
    <x v="0"/>
    <d v="1900-01-03T16:30:00"/>
    <n v="632060"/>
    <d v="1899-12-30T06:53:28"/>
    <n v="291557.05443888041"/>
    <n v="80946.222537396825"/>
    <s v="No"/>
    <x v="1"/>
    <x v="0"/>
    <x v="0"/>
    <x v="0"/>
    <n v="6225000"/>
    <n v="24808.230564912141"/>
    <x v="0"/>
    <m/>
    <m/>
  </r>
  <r>
    <x v="0"/>
    <x v="45"/>
    <x v="21"/>
    <x v="2"/>
    <d v="1899-12-30T21:25:00"/>
    <n v="255353"/>
    <d v="1899-12-30T01:15:33"/>
    <n v="11088.148669990625"/>
    <n v="3151.00814867402"/>
    <s v="No"/>
    <x v="1"/>
    <x v="0"/>
    <x v="0"/>
    <x v="0"/>
    <n v="6225000"/>
    <n v="4533.1706022963535"/>
    <x v="0"/>
    <m/>
    <m/>
  </r>
  <r>
    <x v="0"/>
    <x v="45"/>
    <x v="21"/>
    <x v="0"/>
    <d v="1900-01-02T05:30:00"/>
    <n v="181272"/>
    <d v="1899-12-30T04:44:50"/>
    <n v="93604.886051669833"/>
    <n v="25987.921820339663"/>
    <s v="No"/>
    <x v="1"/>
    <x v="0"/>
    <x v="0"/>
    <x v="0"/>
    <n v="6225000"/>
    <n v="17090.114389161699"/>
    <x v="0"/>
    <m/>
    <m/>
  </r>
  <r>
    <x v="0"/>
    <x v="45"/>
    <x v="22"/>
    <x v="0"/>
    <d v="1900-01-02T01:00:00"/>
    <n v="37806"/>
    <d v="1899-12-30T04:28:18"/>
    <n v="24518.190593978765"/>
    <n v="6807.0893220337484"/>
    <s v="No"/>
    <x v="1"/>
    <x v="0"/>
    <x v="0"/>
    <x v="0"/>
    <n v="6225000"/>
    <n v="16097.785166565211"/>
    <x v="0"/>
    <m/>
    <m/>
  </r>
  <r>
    <x v="0"/>
    <x v="45"/>
    <x v="64"/>
    <x v="2"/>
    <d v="1899-12-30T02:30:00"/>
    <n v="14465"/>
    <d v="1899-12-30T00:09:11"/>
    <n v="385.51787489907304"/>
    <n v="107.0329639383378"/>
    <s v="No"/>
    <x v="1"/>
    <x v="0"/>
    <x v="0"/>
    <x v="0"/>
    <n v="0"/>
    <n v="551.29401255360335"/>
    <x v="0"/>
    <m/>
    <m/>
  </r>
  <r>
    <x v="0"/>
    <x v="45"/>
    <x v="64"/>
    <x v="0"/>
    <d v="1899-12-30T10:00:00"/>
    <n v="31880"/>
    <d v="1899-12-30T00:36:45"/>
    <n v="3398.6339030162349"/>
    <n v="943.57715599148617"/>
    <s v="No"/>
    <x v="1"/>
    <x v="0"/>
    <x v="0"/>
    <x v="0"/>
    <n v="0"/>
    <n v="2205.1760502144134"/>
    <x v="0"/>
    <m/>
    <m/>
  </r>
  <r>
    <x v="0"/>
    <x v="45"/>
    <x v="64"/>
    <x v="1"/>
    <d v="1900-01-03T03:30:00"/>
    <n v="125413"/>
    <d v="1899-12-30T06:05:42"/>
    <n v="14382.588517972546"/>
    <n v="3993.0990971225847"/>
    <s v="No"/>
    <x v="1"/>
    <x v="0"/>
    <x v="0"/>
    <x v="0"/>
    <n v="0"/>
    <n v="21941.501699633423"/>
    <x v="0"/>
    <m/>
    <m/>
  </r>
  <r>
    <x v="0"/>
    <x v="46"/>
    <x v="65"/>
    <x v="0"/>
    <d v="1900-01-03T00:30:00"/>
    <n v="212205.01379444238"/>
    <d v="1899-12-30T06:03:05"/>
    <n v="113585.27558386273"/>
    <n v="31661.075978971821"/>
    <m/>
    <x v="5"/>
    <x v="1"/>
    <x v="0"/>
    <x v="2"/>
    <s v="-"/>
    <n v="21784.684986578995"/>
    <x v="1"/>
    <m/>
    <m/>
  </r>
  <r>
    <x v="0"/>
    <x v="46"/>
    <x v="65"/>
    <x v="1"/>
    <d v="1899-12-30T12:00:00"/>
    <n v="3637.360563158712"/>
    <d v="1899-12-30T00:40:50"/>
    <n v="1026.1666643274677"/>
    <n v="298.60061902102041"/>
    <m/>
    <x v="5"/>
    <x v="1"/>
    <x v="0"/>
    <x v="2"/>
    <s v="-"/>
    <n v="2449.5778079225038"/>
    <x v="1"/>
    <m/>
    <m/>
  </r>
  <r>
    <x v="0"/>
    <x v="46"/>
    <x v="65"/>
    <x v="0"/>
    <d v="1899-12-30T20:00:00"/>
    <n v="38943.8089681622"/>
    <d v="1899-12-30T01:13:30"/>
    <n v="19781.171056988034"/>
    <n v="5491.9304817058755"/>
    <m/>
    <x v="5"/>
    <x v="1"/>
    <x v="0"/>
    <x v="2"/>
    <s v="-"/>
    <n v="4410.3521004288268"/>
    <x v="1"/>
    <m/>
    <m/>
  </r>
  <r>
    <x v="0"/>
    <x v="46"/>
    <x v="65"/>
    <x v="1"/>
    <d v="1899-12-30T21:30:00"/>
    <n v="8348.3060622677076"/>
    <d v="1899-12-30T01:19:17"/>
    <n v="2246.6819224011247"/>
    <n v="642.45999077915894"/>
    <m/>
    <x v="5"/>
    <x v="1"/>
    <x v="0"/>
    <x v="2"/>
    <s v="-"/>
    <n v="4757.4760811673659"/>
    <x v="1"/>
    <m/>
    <m/>
  </r>
  <r>
    <x v="0"/>
    <x v="46"/>
    <x v="65"/>
    <x v="2"/>
    <d v="1899-12-30T00:30:00"/>
    <n v="689.59461626911104"/>
    <d v="1899-12-30T00:01:35"/>
    <n v="30.32990367582067"/>
    <n v="9.099762639256765"/>
    <m/>
    <x v="5"/>
    <x v="1"/>
    <x v="0"/>
    <x v="2"/>
    <s v="-"/>
    <n v="95.472186287192713"/>
    <x v="1"/>
    <m/>
    <m/>
  </r>
  <r>
    <x v="0"/>
    <x v="46"/>
    <x v="65"/>
    <x v="0"/>
    <d v="1900-01-01T11:45:00"/>
    <n v="137654.74117784092"/>
    <d v="1899-12-30T03:53:51"/>
    <n v="67019.228960032633"/>
    <n v="19032.947231832113"/>
    <m/>
    <x v="5"/>
    <x v="1"/>
    <x v="0"/>
    <x v="2"/>
    <s v="-"/>
    <n v="14030.652367950197"/>
    <x v="1"/>
    <m/>
    <m/>
  </r>
  <r>
    <x v="0"/>
    <x v="46"/>
    <x v="65"/>
    <x v="1"/>
    <d v="1899-12-30T16:20:00"/>
    <n v="5456.0408447380678"/>
    <d v="1899-12-30T01:10:31"/>
    <n v="1772.3145605593913"/>
    <n v="507.77627505644415"/>
    <m/>
    <x v="5"/>
    <x v="1"/>
    <x v="0"/>
    <x v="2"/>
    <s v="-"/>
    <n v="4230.7186221543316"/>
    <x v="1"/>
    <m/>
    <m/>
  </r>
  <r>
    <x v="0"/>
    <x v="46"/>
    <x v="65"/>
    <x v="0"/>
    <d v="1899-12-31T19:30:00"/>
    <n v="108446.88445171926"/>
    <d v="1899-12-30T02:47:24"/>
    <n v="49556.297661618912"/>
    <n v="13918.079236552017"/>
    <m/>
    <x v="5"/>
    <x v="1"/>
    <x v="0"/>
    <x v="2"/>
    <s v="-"/>
    <n v="10044.420132755924"/>
    <x v="1"/>
    <m/>
    <m/>
  </r>
  <r>
    <x v="0"/>
    <x v="46"/>
    <x v="65"/>
    <x v="1"/>
    <d v="1899-12-30T08:30:00"/>
    <n v="3637.360563158712"/>
    <d v="1899-12-30T00:33:15"/>
    <n v="835.56534822059984"/>
    <n v="237.6571366056146"/>
    <m/>
    <x v="5"/>
    <x v="1"/>
    <x v="0"/>
    <x v="2"/>
    <s v="-"/>
    <n v="1994.5905526093527"/>
    <x v="1"/>
    <m/>
    <m/>
  </r>
  <r>
    <x v="0"/>
    <x v="46"/>
    <x v="65"/>
    <x v="2"/>
    <d v="1899-12-30T02:29:57"/>
    <n v="3948.3612269711589"/>
    <d v="1899-12-30T00:11:22"/>
    <n v="431.14844103205581"/>
    <n v="125.15631451566287"/>
    <m/>
    <x v="5"/>
    <x v="1"/>
    <x v="0"/>
    <x v="2"/>
    <s v="-"/>
    <n v="682.2663767199881"/>
    <x v="1"/>
    <m/>
    <m/>
  </r>
  <r>
    <x v="0"/>
    <x v="46"/>
    <x v="65"/>
    <x v="0"/>
    <d v="1900-01-02T23:13:51"/>
    <n v="55329.579758175467"/>
    <d v="1899-12-30T06:07:10"/>
    <n v="21494.338447577778"/>
    <n v="6011.0344657638689"/>
    <m/>
    <x v="5"/>
    <x v="1"/>
    <x v="0"/>
    <x v="2"/>
    <s v="-"/>
    <n v="22030.389405023088"/>
    <x v="1"/>
    <m/>
    <m/>
  </r>
  <r>
    <x v="0"/>
    <x v="46"/>
    <x v="65"/>
    <x v="1"/>
    <d v="1900-01-02T18:54:56"/>
    <n v="23827.900893000409"/>
    <d v="1899-12-30T06:10:14"/>
    <n v="6698.012222258988"/>
    <n v="1878.5945552016872"/>
    <m/>
    <x v="5"/>
    <x v="1"/>
    <x v="0"/>
    <x v="2"/>
    <s v="-"/>
    <n v="22213.904814041143"/>
    <x v="1"/>
    <m/>
    <m/>
  </r>
  <r>
    <x v="0"/>
    <x v="46"/>
    <x v="65"/>
    <x v="1"/>
    <d v="1899-12-30T08:00:00"/>
    <n v="1060.250565956823"/>
    <d v="1899-12-30T00:25:26"/>
    <n v="248.40936382580867"/>
    <n v="69.825753265873246"/>
    <m/>
    <x v="5"/>
    <x v="1"/>
    <x v="0"/>
    <x v="2"/>
    <s v="-"/>
    <n v="1525.7395478321969"/>
    <x v="1"/>
    <m/>
    <m/>
  </r>
  <r>
    <x v="0"/>
    <x v="46"/>
    <x v="65"/>
    <x v="2"/>
    <d v="1899-12-30T01:03:58"/>
    <n v="15472.06666848004"/>
    <d v="1899-12-30T00:03:48"/>
    <n v="840.60985831668995"/>
    <n v="233.27958957285719"/>
    <m/>
    <x v="5"/>
    <x v="1"/>
    <x v="0"/>
    <x v="2"/>
    <s v="-"/>
    <n v="228.4669597459586"/>
    <x v="1"/>
    <m/>
    <m/>
  </r>
  <r>
    <x v="0"/>
    <x v="46"/>
    <x v="65"/>
    <x v="0"/>
    <d v="1899-12-31T16:20:52"/>
    <n v="73176.061909807569"/>
    <d v="1899-12-30T02:57:13"/>
    <n v="37293.385801438846"/>
    <n v="10646.443864981084"/>
    <m/>
    <x v="5"/>
    <x v="1"/>
    <x v="0"/>
    <x v="2"/>
    <s v="-"/>
    <n v="10633.311987093371"/>
    <x v="1"/>
    <m/>
    <m/>
  </r>
  <r>
    <x v="0"/>
    <x v="46"/>
    <x v="65"/>
    <x v="0"/>
    <d v="1900-01-05T13:40:00"/>
    <n v="8826"/>
    <d v="1899-12-30T10:07:58"/>
    <n v="8017.4407289400915"/>
    <n v="2256.4845024669726"/>
    <m/>
    <x v="5"/>
    <x v="1"/>
    <x v="0"/>
    <x v="2"/>
    <s v="-"/>
    <n v="36477.561770990724"/>
    <x v="1"/>
    <m/>
    <m/>
  </r>
  <r>
    <x v="0"/>
    <x v="46"/>
    <x v="65"/>
    <x v="2"/>
    <d v="1899-12-30T23:42:33"/>
    <n v="41031.194814187715"/>
    <d v="1899-12-30T01:44:25"/>
    <n v="2300.8202321977064"/>
    <n v="662.03314706924323"/>
    <m/>
    <x v="5"/>
    <x v="1"/>
    <x v="0"/>
    <x v="2"/>
    <s v="-"/>
    <n v="6265.2051572671453"/>
    <x v="1"/>
    <m/>
    <m/>
  </r>
  <r>
    <x v="0"/>
    <x v="46"/>
    <x v="65"/>
    <x v="0"/>
    <d v="1900-01-04T09:08:54"/>
    <n v="155515.70876871521"/>
    <d v="1899-12-30T10:22:41"/>
    <n v="37673.789407754353"/>
    <n v="10812.524406787337"/>
    <m/>
    <x v="5"/>
    <x v="1"/>
    <x v="0"/>
    <x v="2"/>
    <s v="-"/>
    <n v="37360.846734974359"/>
    <x v="1"/>
    <m/>
    <m/>
  </r>
  <r>
    <x v="0"/>
    <x v="46"/>
    <x v="65"/>
    <x v="1"/>
    <d v="1899-12-31T10:16:11"/>
    <n v="17625.7329321527"/>
    <d v="1899-12-30T02:35:58"/>
    <n v="2987.7440723959867"/>
    <n v="888.27142319628797"/>
    <m/>
    <x v="5"/>
    <x v="1"/>
    <x v="0"/>
    <x v="2"/>
    <s v="-"/>
    <n v="9358.2034144704248"/>
    <x v="1"/>
    <m/>
    <m/>
  </r>
  <r>
    <x v="0"/>
    <x v="46"/>
    <x v="65"/>
    <x v="2"/>
    <d v="1899-12-30T20:07:21"/>
    <n v="7177.4720507497659"/>
    <d v="1899-12-30T01:34:58"/>
    <n v="654.77376294979172"/>
    <n v="187.63341125353048"/>
    <m/>
    <x v="5"/>
    <x v="1"/>
    <x v="0"/>
    <x v="2"/>
    <s v="-"/>
    <n v="5698.1850807704077"/>
    <x v="1"/>
    <m/>
    <m/>
  </r>
  <r>
    <x v="0"/>
    <x v="46"/>
    <x v="65"/>
    <x v="0"/>
    <d v="1900-01-02T01:06:04"/>
    <n v="22938.652320774807"/>
    <d v="1899-12-30T06:02:35"/>
    <n v="5921.3879428860964"/>
    <n v="1780.3787987982369"/>
    <m/>
    <x v="5"/>
    <x v="1"/>
    <x v="0"/>
    <x v="2"/>
    <s v="-"/>
    <n v="21754.717327620147"/>
    <x v="1"/>
    <m/>
    <m/>
  </r>
  <r>
    <x v="0"/>
    <x v="46"/>
    <x v="65"/>
    <x v="1"/>
    <d v="1900-01-01T10:01:52"/>
    <n v="6909.4692434244826"/>
    <d v="1899-12-30T04:21:43"/>
    <n v="1218.7053513717276"/>
    <n v="345.5921822565096"/>
    <m/>
    <x v="5"/>
    <x v="1"/>
    <x v="0"/>
    <x v="2"/>
    <s v="-"/>
    <n v="15702.621336057939"/>
    <x v="1"/>
    <m/>
    <m/>
  </r>
  <r>
    <x v="0"/>
    <x v="46"/>
    <x v="65"/>
    <x v="2"/>
    <d v="1899-12-30T03:38:04"/>
    <n v="30572.437739286412"/>
    <d v="1899-12-30T00:16:06"/>
    <n v="1155.4989728426613"/>
    <n v="335.99521479723694"/>
    <m/>
    <x v="5"/>
    <x v="1"/>
    <x v="0"/>
    <x v="2"/>
    <s v="-"/>
    <n v="966.18354526770975"/>
    <x v="1"/>
    <m/>
    <m/>
  </r>
  <r>
    <x v="0"/>
    <x v="46"/>
    <x v="65"/>
    <x v="0"/>
    <d v="1899-12-30T15:18:26"/>
    <n v="32164.271371402665"/>
    <d v="1899-12-30T01:04:54"/>
    <n v="7035.3079949180219"/>
    <n v="2038.4884418480967"/>
    <m/>
    <x v="5"/>
    <x v="1"/>
    <x v="0"/>
    <x v="2"/>
    <s v="-"/>
    <n v="3893.9458203127142"/>
    <x v="1"/>
    <m/>
    <m/>
  </r>
  <r>
    <x v="0"/>
    <x v="46"/>
    <x v="65"/>
    <x v="2"/>
    <d v="1899-12-30T15:24:40"/>
    <n v="12656.711349096866"/>
    <d v="1899-12-30T01:10:01"/>
    <n v="1161.10430475868"/>
    <n v="331.55576858919079"/>
    <m/>
    <x v="5"/>
    <x v="1"/>
    <x v="0"/>
    <x v="2"/>
    <s v="-"/>
    <n v="4200.8357716305036"/>
    <x v="1"/>
    <m/>
    <m/>
  </r>
  <r>
    <x v="0"/>
    <x v="46"/>
    <x v="65"/>
    <x v="0"/>
    <d v="1900-01-05T14:18:38"/>
    <n v="88698.044495693655"/>
    <d v="1899-12-30T12:32:33"/>
    <n v="39363.179247610722"/>
    <n v="11138.472838455496"/>
    <m/>
    <x v="5"/>
    <x v="1"/>
    <x v="0"/>
    <x v="2"/>
    <s v="-"/>
    <n v="45153.346533117998"/>
    <x v="1"/>
    <m/>
    <m/>
  </r>
  <r>
    <x v="0"/>
    <x v="46"/>
    <x v="65"/>
    <x v="1"/>
    <d v="1899-12-31T13:17:34"/>
    <n v="15862.465702082027"/>
    <d v="1899-12-30T02:40:50"/>
    <n v="4413.876557291921"/>
    <n v="1262.2096739873161"/>
    <m/>
    <x v="5"/>
    <x v="1"/>
    <x v="0"/>
    <x v="2"/>
    <s v="-"/>
    <n v="9650.0175045301676"/>
    <x v="1"/>
    <m/>
    <m/>
  </r>
  <r>
    <x v="0"/>
    <x v="46"/>
    <x v="65"/>
    <x v="2"/>
    <d v="1899-12-30T20:07:21"/>
    <n v="10826.713914213575"/>
    <d v="1899-12-30T01:34:58"/>
    <n v="1019.1232504279812"/>
    <n v="292.80817667077082"/>
    <m/>
    <x v="5"/>
    <x v="1"/>
    <x v="0"/>
    <x v="2"/>
    <s v="-"/>
    <n v="5698.1850807704086"/>
    <x v="1"/>
    <m/>
    <m/>
  </r>
  <r>
    <x v="0"/>
    <x v="46"/>
    <x v="65"/>
    <x v="0"/>
    <d v="1900-01-02T01:06:04"/>
    <n v="44910.642851976168"/>
    <d v="1899-12-30T06:02:35"/>
    <n v="11389.34992172813"/>
    <n v="3432.1673801362563"/>
    <m/>
    <x v="5"/>
    <x v="1"/>
    <x v="0"/>
    <x v="2"/>
    <s v="-"/>
    <n v="21754.717327620147"/>
    <x v="1"/>
    <m/>
    <m/>
  </r>
  <r>
    <x v="0"/>
    <x v="46"/>
    <x v="65"/>
    <x v="1"/>
    <d v="1900-01-01T10:01:52"/>
    <n v="25663.905892581399"/>
    <d v="1899-12-30T04:21:43"/>
    <n v="4528.1719144402459"/>
    <n v="1284.1763944984014"/>
    <m/>
    <x v="5"/>
    <x v="1"/>
    <x v="0"/>
    <x v="2"/>
    <s v="-"/>
    <n v="15702.621336057939"/>
    <x v="1"/>
    <m/>
    <m/>
  </r>
  <r>
    <x v="0"/>
    <x v="46"/>
    <x v="65"/>
    <x v="2"/>
    <d v="1899-12-30T16:45:00"/>
    <n v="26414.038973048198"/>
    <d v="1899-12-30T01:01:34"/>
    <n v="2619.5932640795213"/>
    <n v="727.28879676652855"/>
    <m/>
    <x v="5"/>
    <x v="1"/>
    <x v="0"/>
    <x v="2"/>
    <s v="-"/>
    <n v="3693.6698841091425"/>
    <x v="1"/>
    <m/>
    <m/>
  </r>
  <r>
    <x v="0"/>
    <x v="46"/>
    <x v="65"/>
    <x v="0"/>
    <d v="1900-01-04T22:30:00"/>
    <n v="317674.55546697206"/>
    <d v="1899-12-30T09:19:43"/>
    <n v="191750.98794991124"/>
    <n v="53912.754143986203"/>
    <m/>
    <x v="5"/>
    <x v="1"/>
    <x v="0"/>
    <x v="2"/>
    <s v="-"/>
    <n v="33582.716673604111"/>
    <x v="1"/>
    <m/>
    <m/>
  </r>
  <r>
    <x v="0"/>
    <x v="46"/>
    <x v="65"/>
    <x v="1"/>
    <d v="1899-12-30T11:00:00"/>
    <n v="7522.2586578190003"/>
    <d v="1899-12-30T00:39:45"/>
    <n v="2065.9202584513046"/>
    <n v="588.29077705012071"/>
    <m/>
    <x v="5"/>
    <x v="1"/>
    <x v="0"/>
    <x v="2"/>
    <s v="-"/>
    <n v="2384.6518460434299"/>
    <x v="1"/>
    <m/>
    <m/>
  </r>
  <r>
    <x v="0"/>
    <x v="46"/>
    <x v="65"/>
    <x v="2"/>
    <d v="1899-12-30T01:00:00"/>
    <n v="2510.6551969163002"/>
    <d v="1899-12-30T00:03:41"/>
    <n v="255.05312002695493"/>
    <n v="70.811480285712804"/>
    <m/>
    <x v="5"/>
    <x v="1"/>
    <x v="0"/>
    <x v="2"/>
    <s v="-"/>
    <n v="220.51760502144128"/>
    <x v="1"/>
    <m/>
    <m/>
  </r>
  <r>
    <x v="0"/>
    <x v="46"/>
    <x v="65"/>
    <x v="0"/>
    <d v="1899-12-30T05:00:00"/>
    <n v="11970.8743630603"/>
    <d v="1899-12-30T00:15:30"/>
    <n v="5126.9520708205446"/>
    <n v="1427.2931986456078"/>
    <m/>
    <x v="5"/>
    <x v="1"/>
    <x v="0"/>
    <x v="2"/>
    <s v="-"/>
    <n v="929.67913429366217"/>
    <x v="1"/>
    <m/>
    <m/>
  </r>
  <r>
    <x v="0"/>
    <x v="46"/>
    <x v="65"/>
    <x v="1"/>
    <d v="1899-12-31T18:00:00"/>
    <n v="26327.905302366496"/>
    <d v="1899-12-30T02:45:22"/>
    <n v="8596.1959695575024"/>
    <n v="2421.955252718793"/>
    <m/>
    <x v="5"/>
    <x v="1"/>
    <x v="0"/>
    <x v="2"/>
    <s v="-"/>
    <n v="9922.4229511758604"/>
    <x v="1"/>
    <m/>
    <m/>
  </r>
  <r>
    <x v="0"/>
    <x v="46"/>
    <x v="65"/>
    <x v="1"/>
    <d v="1899-12-30T10:00:00"/>
    <n v="7522.2586578190003"/>
    <d v="1899-12-30T00:38:54"/>
    <n v="2021.9066631110813"/>
    <n v="574.92577747829864"/>
    <m/>
    <x v="5"/>
    <x v="1"/>
    <x v="0"/>
    <x v="2"/>
    <s v="-"/>
    <n v="2333.8478031721174"/>
    <x v="1"/>
    <m/>
    <m/>
  </r>
  <r>
    <x v="0"/>
    <x v="46"/>
    <x v="65"/>
    <x v="1"/>
    <d v="1899-12-30T05:00:00"/>
    <n v="9132.8722887678996"/>
    <d v="1899-12-30T00:17:06"/>
    <n v="2158.2020029455439"/>
    <n v="638.90268937817393"/>
    <m/>
    <x v="5"/>
    <x v="1"/>
    <x v="0"/>
    <x v="2"/>
    <s v="-"/>
    <n v="1025.9221379485189"/>
    <x v="1"/>
    <m/>
    <m/>
  </r>
  <r>
    <x v="0"/>
    <x v="46"/>
    <x v="65"/>
    <x v="0"/>
    <d v="1900-01-05T14:50:00"/>
    <n v="2178812.4122502701"/>
    <d v="1899-12-30T10:03:17"/>
    <n v="567149.80993002397"/>
    <n v="159928.54198307349"/>
    <m/>
    <x v="5"/>
    <x v="1"/>
    <x v="0"/>
    <x v="2"/>
    <s v="-"/>
    <n v="36197.102882223582"/>
    <x v="1"/>
    <m/>
    <m/>
  </r>
  <r>
    <x v="0"/>
    <x v="46"/>
    <x v="65"/>
    <x v="1"/>
    <d v="1899-12-30T05:00:00"/>
    <n v="11828.32782905826"/>
    <d v="1899-12-30T00:17:06"/>
    <n v="2869.5147507895076"/>
    <n v="852.31507725917243"/>
    <m/>
    <x v="5"/>
    <x v="1"/>
    <x v="0"/>
    <x v="2"/>
    <s v="-"/>
    <n v="1025.9221379485189"/>
    <x v="1"/>
    <m/>
    <m/>
  </r>
  <r>
    <x v="0"/>
    <x v="46"/>
    <x v="65"/>
    <x v="0"/>
    <d v="1900-01-04T06:26:00"/>
    <n v="779548.80445196561"/>
    <d v="1899-12-30T10:09:09"/>
    <n v="538058.39432975638"/>
    <n v="159694.01567234253"/>
    <m/>
    <x v="5"/>
    <x v="1"/>
    <x v="0"/>
    <x v="2"/>
    <s v="-"/>
    <n v="36549.467056176276"/>
    <x v="1"/>
    <m/>
    <m/>
  </r>
  <r>
    <x v="0"/>
    <x v="46"/>
    <x v="65"/>
    <x v="1"/>
    <d v="1899-12-30T06:03:00"/>
    <n v="6419.9059551185501"/>
    <d v="1899-12-30T00:22:15"/>
    <n v="1973.8663265525374"/>
    <n v="557.2385943040631"/>
    <m/>
    <x v="5"/>
    <x v="1"/>
    <x v="0"/>
    <x v="2"/>
    <s v="-"/>
    <n v="1335.3473932743846"/>
    <x v="1"/>
    <m/>
    <m/>
  </r>
  <r>
    <x v="0"/>
    <x v="46"/>
    <x v="65"/>
    <x v="0"/>
    <d v="1899-12-30T20:54:00"/>
    <n v="65652.69177262485"/>
    <d v="1899-12-30T01:21:10"/>
    <n v="41675.641985289702"/>
    <n v="11620.859176014212"/>
    <m/>
    <x v="5"/>
    <x v="1"/>
    <x v="0"/>
    <x v="2"/>
    <s v="-"/>
    <n v="4870.473814283625"/>
    <x v="1"/>
    <m/>
    <m/>
  </r>
  <r>
    <x v="0"/>
    <x v="46"/>
    <x v="65"/>
    <x v="1"/>
    <d v="1899-12-30T20:30:00"/>
    <n v="18724.725702429103"/>
    <d v="1899-12-30T01:15:35"/>
    <n v="6502.0341158981346"/>
    <n v="1818.0383523446508"/>
    <m/>
    <x v="5"/>
    <x v="1"/>
    <x v="0"/>
    <x v="2"/>
    <s v="-"/>
    <n v="4534.7587354553425"/>
    <x v="1"/>
    <m/>
    <m/>
  </r>
  <r>
    <x v="0"/>
    <x v="46"/>
    <x v="65"/>
    <x v="2"/>
    <d v="1899-12-30T01:13:00"/>
    <n v="67793.538145848201"/>
    <d v="1899-12-30T00:04:10"/>
    <n v="3778.3539796826681"/>
    <n v="1112.0878686729711"/>
    <m/>
    <x v="5"/>
    <x v="1"/>
    <x v="0"/>
    <x v="2"/>
    <s v="-"/>
    <n v="250.11572206798351"/>
    <x v="1"/>
    <m/>
    <m/>
  </r>
  <r>
    <x v="0"/>
    <x v="46"/>
    <x v="65"/>
    <x v="0"/>
    <d v="1900-01-05T16:36:00"/>
    <n v="1459263.1497919008"/>
    <d v="1899-12-30T10:08:33"/>
    <n v="791906.07082180807"/>
    <n v="223861.06655073338"/>
    <m/>
    <x v="5"/>
    <x v="1"/>
    <x v="0"/>
    <x v="2"/>
    <s v="-"/>
    <n v="36513.442573495442"/>
    <x v="1"/>
    <m/>
    <m/>
  </r>
  <r>
    <x v="0"/>
    <x v="46"/>
    <x v="65"/>
    <x v="1"/>
    <d v="1899-12-31T07:50:00"/>
    <n v="80666.619881217252"/>
    <d v="1899-12-30T02:19:10"/>
    <n v="30017.255417784632"/>
    <n v="8506.1598693796586"/>
    <m/>
    <x v="5"/>
    <x v="1"/>
    <x v="0"/>
    <x v="2"/>
    <s v="-"/>
    <n v="8350.3474012385686"/>
    <x v="1"/>
    <m/>
    <m/>
  </r>
  <r>
    <x v="0"/>
    <x v="46"/>
    <x v="65"/>
    <x v="0"/>
    <d v="1899-12-30T14:21:00"/>
    <n v="69559.430246133095"/>
    <d v="1899-12-30T00:52:44"/>
    <n v="47534.730098580396"/>
    <n v="13197.268878367668"/>
    <m/>
    <x v="5"/>
    <x v="1"/>
    <x v="0"/>
    <x v="2"/>
    <s v="-"/>
    <n v="3164.4276320576823"/>
    <x v="1"/>
    <m/>
    <m/>
  </r>
  <r>
    <x v="0"/>
    <x v="46"/>
    <x v="65"/>
    <x v="1"/>
    <d v="1899-12-30T23:41:00"/>
    <n v="15347.754859006192"/>
    <d v="1899-12-30T01:25:34"/>
    <n v="4434.0413807472751"/>
    <n v="1280.1493916758423"/>
    <m/>
    <x v="5"/>
    <x v="1"/>
    <x v="0"/>
    <x v="2"/>
    <s v="-"/>
    <n v="5133.6476073318399"/>
    <x v="1"/>
    <m/>
    <m/>
  </r>
  <r>
    <x v="0"/>
    <x v="46"/>
    <x v="65"/>
    <x v="2"/>
    <d v="1899-12-30T00:50:27"/>
    <n v="27473.3852792742"/>
    <d v="1899-12-30T00:03:10"/>
    <n v="2410.8819198028809"/>
    <n v="701.53878785683128"/>
    <m/>
    <x v="5"/>
    <x v="1"/>
    <x v="0"/>
    <x v="2"/>
    <s v="-"/>
    <n v="190.4861755864128"/>
    <x v="1"/>
    <m/>
    <m/>
  </r>
  <r>
    <x v="0"/>
    <x v="46"/>
    <x v="65"/>
    <x v="0"/>
    <d v="1900-01-01T03:20:08"/>
    <n v="2094042.0743669788"/>
    <d v="1899-12-30T03:17:28"/>
    <n v="690929.99919035716"/>
    <n v="193906.85910612874"/>
    <m/>
    <x v="5"/>
    <x v="1"/>
    <x v="0"/>
    <x v="2"/>
    <s v="-"/>
    <n v="11847.568523292073"/>
    <x v="1"/>
    <m/>
    <m/>
  </r>
  <r>
    <x v="0"/>
    <x v="46"/>
    <x v="65"/>
    <x v="1"/>
    <d v="1899-12-30T03:39:57"/>
    <n v="431494.21527406003"/>
    <d v="1899-12-30T00:12:47"/>
    <n v="78095.384081359967"/>
    <n v="22964.161345104607"/>
    <m/>
    <x v="5"/>
    <x v="1"/>
    <x v="0"/>
    <x v="2"/>
    <s v="-"/>
    <n v="767.00728256563093"/>
    <x v="1"/>
    <m/>
    <m/>
  </r>
  <r>
    <x v="0"/>
    <x v="46"/>
    <x v="65"/>
    <x v="0"/>
    <d v="1899-12-31T13:30:00"/>
    <n v="490987.33693366696"/>
    <d v="1899-12-30T02:24:34"/>
    <n v="196201.47871444112"/>
    <n v="54957.160270129767"/>
    <m/>
    <x v="5"/>
    <x v="1"/>
    <x v="0"/>
    <x v="2"/>
    <s v="-"/>
    <n v="8674.2449904531259"/>
    <x v="1"/>
    <m/>
    <m/>
  </r>
  <r>
    <x v="0"/>
    <x v="46"/>
    <x v="65"/>
    <x v="1"/>
    <d v="1899-12-30T11:44:01"/>
    <n v="380156.20521615579"/>
    <d v="1899-12-30T00:43:23"/>
    <n v="60944.068807910939"/>
    <n v="17575.45778977951"/>
    <m/>
    <x v="5"/>
    <x v="1"/>
    <x v="0"/>
    <x v="2"/>
    <s v="-"/>
    <n v="2603.4986304494282"/>
    <x v="1"/>
    <m/>
    <m/>
  </r>
  <r>
    <x v="0"/>
    <x v="46"/>
    <x v="65"/>
    <x v="0"/>
    <d v="1900-01-05T09:15:00"/>
    <n v="2135096"/>
    <d v="1899-12-30T09:50:25"/>
    <n v="1645217.1651402682"/>
    <n v="463258.54852599569"/>
    <m/>
    <x v="5"/>
    <x v="1"/>
    <x v="0"/>
    <x v="2"/>
    <s v="-"/>
    <n v="35425.024025497369"/>
    <x v="1"/>
    <m/>
    <m/>
  </r>
  <r>
    <x v="0"/>
    <x v="46"/>
    <x v="65"/>
    <x v="2"/>
    <d v="1900-01-02T02:30:00"/>
    <n v="366038.28490895202"/>
    <d v="1899-12-30T04:40:02"/>
    <n v="30297.840410082059"/>
    <n v="8536.5123518148484"/>
    <m/>
    <x v="5"/>
    <x v="1"/>
    <x v="0"/>
    <x v="2"/>
    <s v="-"/>
    <n v="16801.659622343741"/>
    <x v="1"/>
    <m/>
    <m/>
  </r>
  <r>
    <x v="0"/>
    <x v="46"/>
    <x v="65"/>
    <x v="0"/>
    <d v="1900-01-05T02:00:00"/>
    <n v="219138.31469256687"/>
    <d v="1899-12-30T08:56:36"/>
    <n v="224624.29176419994"/>
    <n v="62363.395540003017"/>
    <m/>
    <x v="5"/>
    <x v="1"/>
    <x v="0"/>
    <x v="2"/>
    <s v="-"/>
    <n v="32195.570333130428"/>
    <x v="1"/>
    <m/>
    <m/>
  </r>
  <r>
    <x v="0"/>
    <x v="46"/>
    <x v="65"/>
    <x v="2"/>
    <d v="1899-12-30T06:00:00"/>
    <n v="23687.075579687276"/>
    <d v="1899-12-30T00:22:03"/>
    <n v="2406.3290484228714"/>
    <n v="668.07934737409278"/>
    <m/>
    <x v="5"/>
    <x v="1"/>
    <x v="0"/>
    <x v="2"/>
    <s v="-"/>
    <n v="1323.105630128648"/>
    <x v="1"/>
    <m/>
    <m/>
  </r>
  <r>
    <x v="0"/>
    <x v="46"/>
    <x v="65"/>
    <x v="2"/>
    <d v="1899-12-30T22:22:17"/>
    <n v="22180.623624747433"/>
    <d v="1899-12-30T01:39:08"/>
    <n v="1619.55570581197"/>
    <n v="459.41045218739276"/>
    <m/>
    <x v="5"/>
    <x v="1"/>
    <x v="0"/>
    <x v="2"/>
    <s v="-"/>
    <n v="5948.1995538888714"/>
    <x v="1"/>
    <m/>
    <m/>
  </r>
  <r>
    <x v="0"/>
    <x v="46"/>
    <x v="65"/>
    <x v="0"/>
    <d v="1900-01-05T12:55:21"/>
    <n v="165663.95177417385"/>
    <d v="1899-12-30T12:55:17"/>
    <n v="51018.973428125501"/>
    <n v="14665.942302257379"/>
    <m/>
    <x v="5"/>
    <x v="1"/>
    <x v="0"/>
    <x v="2"/>
    <s v="-"/>
    <n v="46516.582931596582"/>
    <x v="1"/>
    <m/>
    <m/>
  </r>
  <r>
    <x v="0"/>
    <x v="46"/>
    <x v="65"/>
    <x v="1"/>
    <d v="1899-12-31T12:02:28"/>
    <n v="13707.506124359141"/>
    <d v="1899-12-30T02:47:25"/>
    <n v="2146.9316712234258"/>
    <n v="613.60663534440096"/>
    <m/>
    <x v="5"/>
    <x v="1"/>
    <x v="0"/>
    <x v="2"/>
    <s v="-"/>
    <n v="10045.025317963231"/>
    <x v="1"/>
    <m/>
    <m/>
  </r>
  <r>
    <x v="0"/>
    <x v="46"/>
    <x v="65"/>
    <x v="2"/>
    <d v="1899-12-30T20:07:21"/>
    <n v="13296.544770700133"/>
    <d v="1899-12-30T01:34:58"/>
    <n v="1246.4580604503365"/>
    <n v="358.05896515585272"/>
    <m/>
    <x v="5"/>
    <x v="1"/>
    <x v="0"/>
    <x v="2"/>
    <s v="-"/>
    <n v="5698.1850807704086"/>
    <x v="1"/>
    <m/>
    <m/>
  </r>
  <r>
    <x v="0"/>
    <x v="46"/>
    <x v="65"/>
    <x v="0"/>
    <d v="1900-01-02T01:06:04"/>
    <n v="70944.93853545429"/>
    <d v="1899-12-30T06:02:35"/>
    <n v="18392.514744233871"/>
    <n v="5530.2777357254436"/>
    <m/>
    <x v="5"/>
    <x v="1"/>
    <x v="0"/>
    <x v="2"/>
    <s v="-"/>
    <n v="21754.717327620147"/>
    <x v="1"/>
    <m/>
    <m/>
  </r>
  <r>
    <x v="0"/>
    <x v="46"/>
    <x v="65"/>
    <x v="1"/>
    <d v="1900-01-01T10:01:52"/>
    <n v="16884.020188502716"/>
    <d v="1899-12-30T04:21:43"/>
    <n v="2978.9423603378823"/>
    <n v="844.81261967502348"/>
    <m/>
    <x v="5"/>
    <x v="1"/>
    <x v="0"/>
    <x v="2"/>
    <s v="-"/>
    <n v="15702.621336057931"/>
    <x v="1"/>
    <m/>
    <m/>
  </r>
  <r>
    <x v="0"/>
    <x v="46"/>
    <x v="65"/>
    <x v="2"/>
    <d v="1899-12-30T08:05:40"/>
    <n v="880.07194018372945"/>
    <d v="1899-12-30T00:36:16"/>
    <n v="44.496770218127644"/>
    <n v="12.640475228448095"/>
    <m/>
    <x v="5"/>
    <x v="1"/>
    <x v="0"/>
    <x v="2"/>
    <s v="-"/>
    <n v="2176.33113913129"/>
    <x v="1"/>
    <m/>
    <m/>
  </r>
  <r>
    <x v="0"/>
    <x v="46"/>
    <x v="65"/>
    <x v="0"/>
    <d v="1900-01-03T17:58:22"/>
    <n v="84667.586846782375"/>
    <d v="1899-12-30T09:05:41"/>
    <n v="6972.9620026509638"/>
    <n v="1952.9038521025202"/>
    <m/>
    <x v="5"/>
    <x v="1"/>
    <x v="0"/>
    <x v="2"/>
    <s v="-"/>
    <n v="32740.699206523255"/>
    <x v="1"/>
    <m/>
    <m/>
  </r>
  <r>
    <x v="0"/>
    <x v="46"/>
    <x v="65"/>
    <x v="1"/>
    <d v="1899-12-30T09:11:11"/>
    <n v="1094.5296959362402"/>
    <d v="1899-12-30T00:33:13"/>
    <n v="116.5604948221799"/>
    <n v="32.434608733635983"/>
    <m/>
    <x v="5"/>
    <x v="1"/>
    <x v="0"/>
    <x v="2"/>
    <s v="-"/>
    <n v="1992.9694379966561"/>
    <x v="1"/>
    <m/>
    <m/>
  </r>
  <r>
    <x v="0"/>
    <x v="46"/>
    <x v="65"/>
    <x v="2"/>
    <d v="1899-12-30T01:59:32"/>
    <n v="69.1427476902237"/>
    <d v="1899-12-30T00:07:19"/>
    <n v="6.9720618637174487"/>
    <n v="1.9356831281311988"/>
    <m/>
    <x v="5"/>
    <x v="1"/>
    <x v="0"/>
    <x v="2"/>
    <s v="-"/>
    <n v="439.320073114938"/>
    <x v="1"/>
    <m/>
    <m/>
  </r>
  <r>
    <x v="0"/>
    <x v="46"/>
    <x v="65"/>
    <x v="0"/>
    <d v="1900-01-01T05:16:48"/>
    <n v="6960.1970772799468"/>
    <d v="1899-12-30T04:14:42"/>
    <n v="1710.4917381727466"/>
    <n v="492.08010570387484"/>
    <m/>
    <x v="5"/>
    <x v="1"/>
    <x v="0"/>
    <x v="2"/>
    <s v="-"/>
    <n v="15282.045605556283"/>
    <x v="1"/>
    <m/>
    <m/>
  </r>
  <r>
    <x v="0"/>
    <x v="46"/>
    <x v="65"/>
    <x v="1"/>
    <d v="1899-12-31T01:01:59"/>
    <n v="927.08900861308166"/>
    <d v="1899-12-30T01:50:46"/>
    <n v="232.03277082137714"/>
    <n v="63.249029886798517"/>
    <m/>
    <x v="5"/>
    <x v="1"/>
    <x v="0"/>
    <x v="2"/>
    <s v="-"/>
    <n v="6645.5626473823277"/>
    <x v="1"/>
    <m/>
    <m/>
  </r>
  <r>
    <x v="0"/>
    <x v="46"/>
    <x v="65"/>
    <x v="2"/>
    <d v="1899-12-30T05:26:35"/>
    <n v="192.16061131533451"/>
    <d v="1899-12-30T00:20:25"/>
    <n v="16.047974350394838"/>
    <n v="4.4469141483403103"/>
    <m/>
    <x v="5"/>
    <x v="1"/>
    <x v="0"/>
    <x v="2"/>
    <s v="-"/>
    <n v="1224.5955336939694"/>
    <x v="1"/>
    <m/>
    <m/>
  </r>
  <r>
    <x v="0"/>
    <x v="46"/>
    <x v="65"/>
    <x v="0"/>
    <d v="1900-01-04T11:18:04"/>
    <n v="57037.945545529532"/>
    <d v="1899-12-30T10:31:35"/>
    <n v="15863.293862815706"/>
    <n v="4529.2642959590166"/>
    <m/>
    <x v="5"/>
    <x v="1"/>
    <x v="0"/>
    <x v="2"/>
    <s v="-"/>
    <n v="37894.552918030764"/>
    <x v="1"/>
    <m/>
    <m/>
  </r>
  <r>
    <x v="0"/>
    <x v="46"/>
    <x v="65"/>
    <x v="1"/>
    <d v="1899-12-31T06:10:30"/>
    <n v="5912.9177120866825"/>
    <d v="1899-12-30T02:28:09"/>
    <n v="1415.773610661395"/>
    <n v="412.84849880632885"/>
    <m/>
    <x v="5"/>
    <x v="1"/>
    <x v="0"/>
    <x v="2"/>
    <s v="-"/>
    <n v="8888.5215376904725"/>
    <x v="1"/>
    <m/>
    <m/>
  </r>
  <r>
    <x v="0"/>
    <x v="46"/>
    <x v="65"/>
    <x v="2"/>
    <d v="1899-12-30T18:47:44"/>
    <n v="119.45119081764038"/>
    <d v="1899-12-30T01:29:25"/>
    <n v="12.836179691844716"/>
    <n v="3.7027382879291628"/>
    <m/>
    <x v="5"/>
    <x v="1"/>
    <x v="0"/>
    <x v="2"/>
    <s v="-"/>
    <n v="5365.0384598606124"/>
    <x v="1"/>
    <m/>
    <m/>
  </r>
  <r>
    <x v="0"/>
    <x v="46"/>
    <x v="65"/>
    <x v="0"/>
    <d v="1900-01-02T02:25:41"/>
    <n v="9385.7518036833153"/>
    <d v="1899-12-30T06:08:08"/>
    <n v="2112.3455654743098"/>
    <n v="636.19404515901067"/>
    <m/>
    <x v="5"/>
    <x v="1"/>
    <x v="0"/>
    <x v="2"/>
    <s v="-"/>
    <n v="22087.863948529939"/>
    <x v="1"/>
    <m/>
    <m/>
  </r>
  <r>
    <x v="0"/>
    <x v="46"/>
    <x v="65"/>
    <x v="1"/>
    <d v="1900-01-01T10:01:52"/>
    <n v="3144.5986699117911"/>
    <d v="1899-12-30T04:21:43"/>
    <n v="554.82711913498963"/>
    <n v="157.34666028653288"/>
    <m/>
    <x v="5"/>
    <x v="1"/>
    <x v="0"/>
    <x v="2"/>
    <s v="-"/>
    <n v="15702.621336057933"/>
    <x v="1"/>
    <m/>
    <m/>
  </r>
  <r>
    <x v="0"/>
    <x v="46"/>
    <x v="65"/>
    <x v="0"/>
    <d v="1899-12-30T04:49:08"/>
    <n v="16773.395800854792"/>
    <d v="1899-12-30T00:16:58"/>
    <n v="3956.061374253723"/>
    <n v="1164.5606067526853"/>
    <m/>
    <x v="5"/>
    <x v="1"/>
    <x v="0"/>
    <x v="2"/>
    <s v="-"/>
    <n v="1018.4653174899204"/>
    <x v="1"/>
    <m/>
    <m/>
  </r>
  <r>
    <x v="0"/>
    <x v="46"/>
    <x v="65"/>
    <x v="2"/>
    <d v="1899-12-30T23:30:00"/>
    <n v="8021.7971197767656"/>
    <d v="1899-12-30T01:26:43"/>
    <n v="759.22521065706746"/>
    <n v="210.69478038700694"/>
    <m/>
    <x v="5"/>
    <x v="1"/>
    <x v="0"/>
    <x v="2"/>
    <s v="-"/>
    <n v="5202.6974820155092"/>
    <x v="1"/>
    <m/>
    <m/>
  </r>
  <r>
    <x v="0"/>
    <x v="46"/>
    <x v="65"/>
    <x v="0"/>
    <d v="1900-01-05T05:20:00"/>
    <n v="104409.8211607358"/>
    <d v="1899-12-30T09:37:41"/>
    <n v="19912.432831199654"/>
    <n v="5600.8958159376061"/>
    <m/>
    <x v="5"/>
    <x v="1"/>
    <x v="0"/>
    <x v="2"/>
    <s v="-"/>
    <n v="34661.184966615445"/>
    <x v="1"/>
    <m/>
    <m/>
  </r>
  <r>
    <x v="0"/>
    <x v="46"/>
    <x v="65"/>
    <x v="1"/>
    <d v="1899-12-31T21:54:00"/>
    <n v="9600.2329817237187"/>
    <d v="1899-12-30T02:48:42"/>
    <n v="1465.241109615398"/>
    <n v="406.8011084764675"/>
    <m/>
    <x v="5"/>
    <x v="1"/>
    <x v="0"/>
    <x v="2"/>
    <s v="-"/>
    <n v="10121.758070484149"/>
    <x v="1"/>
    <m/>
    <m/>
  </r>
  <r>
    <x v="0"/>
    <x v="46"/>
    <x v="65"/>
    <x v="2"/>
    <d v="1899-12-31T02:45:00"/>
    <n v="10226.561377693077"/>
    <d v="1899-12-30T01:38:19"/>
    <n v="1029.279254295343"/>
    <n v="285.76316814444436"/>
    <m/>
    <x v="5"/>
    <x v="1"/>
    <x v="0"/>
    <x v="2"/>
    <s v="-"/>
    <n v="5898.8459343235554"/>
    <x v="1"/>
    <m/>
    <m/>
  </r>
  <r>
    <x v="0"/>
    <x v="46"/>
    <x v="65"/>
    <x v="0"/>
    <d v="1900-01-03T01:30:00"/>
    <n v="76596.959997777085"/>
    <d v="1899-12-30T05:58:20"/>
    <n v="15266.142964079932"/>
    <n v="4238.4040682410478"/>
    <m/>
    <x v="5"/>
    <x v="1"/>
    <x v="0"/>
    <x v="2"/>
    <s v="-"/>
    <n v="21500.466489590526"/>
    <x v="1"/>
    <m/>
    <m/>
  </r>
  <r>
    <x v="0"/>
    <x v="46"/>
    <x v="65"/>
    <x v="1"/>
    <d v="1899-12-31T08:35:00"/>
    <n v="8429.1523622039585"/>
    <d v="1899-12-30T01:59:45"/>
    <n v="1279.6238892793815"/>
    <n v="355.26741174253368"/>
    <m/>
    <x v="5"/>
    <x v="1"/>
    <x v="0"/>
    <x v="2"/>
    <s v="-"/>
    <n v="7185.1986302819623"/>
    <x v="1"/>
    <m/>
    <m/>
  </r>
  <r>
    <x v="0"/>
    <x v="46"/>
    <x v="65"/>
    <x v="0"/>
    <d v="1900-01-05T13:40:00"/>
    <n v="82149"/>
    <d v="1899-12-30T10:07:58"/>
    <n v="74625.198818595862"/>
    <n v="21002.987694975549"/>
    <m/>
    <x v="5"/>
    <x v="1"/>
    <x v="0"/>
    <x v="2"/>
    <s v="-"/>
    <n v="36477.561770990724"/>
    <x v="1"/>
    <m/>
    <m/>
  </r>
  <r>
    <x v="0"/>
    <x v="46"/>
    <x v="65"/>
    <x v="2"/>
    <d v="1899-12-30T23:41:51"/>
    <n v="388341.66578418709"/>
    <d v="1899-12-30T01:44:22"/>
    <n v="22831.837939895035"/>
    <n v="6473.8671542634447"/>
    <m/>
    <x v="5"/>
    <x v="1"/>
    <x v="0"/>
    <x v="2"/>
    <s v="-"/>
    <n v="6262.2452513789276"/>
    <x v="1"/>
    <m/>
    <m/>
  </r>
  <r>
    <x v="0"/>
    <x v="46"/>
    <x v="65"/>
    <x v="0"/>
    <d v="1900-01-04T09:07:45"/>
    <n v="2180154.9666945683"/>
    <d v="1899-12-30T10:22:35"/>
    <n v="527865.88945433579"/>
    <n v="151373.12535115721"/>
    <m/>
    <x v="5"/>
    <x v="1"/>
    <x v="0"/>
    <x v="2"/>
    <s v="-"/>
    <n v="37355.286507956684"/>
    <x v="1"/>
    <m/>
    <m/>
  </r>
  <r>
    <x v="0"/>
    <x v="46"/>
    <x v="65"/>
    <x v="1"/>
    <d v="1899-12-31T10:15:47"/>
    <n v="197959.60887189172"/>
    <d v="1899-12-30T02:35:56"/>
    <n v="31562.522447989079"/>
    <n v="9278.4175500039928"/>
    <m/>
    <x v="5"/>
    <x v="1"/>
    <x v="0"/>
    <x v="2"/>
    <s v="-"/>
    <n v="9356.3508161896243"/>
    <x v="1"/>
    <m/>
    <m/>
  </r>
  <r>
    <x v="0"/>
    <x v="46"/>
    <x v="65"/>
    <x v="2"/>
    <d v="1899-12-30T20:07:21"/>
    <n v="30443.509495814673"/>
    <d v="1899-12-30T01:34:58"/>
    <n v="2685.720526344227"/>
    <n v="767.90434687543404"/>
    <m/>
    <x v="5"/>
    <x v="1"/>
    <x v="0"/>
    <x v="2"/>
    <s v="-"/>
    <n v="5698.1850807704077"/>
    <x v="1"/>
    <m/>
    <m/>
  </r>
  <r>
    <x v="0"/>
    <x v="46"/>
    <x v="65"/>
    <x v="0"/>
    <d v="1900-01-02T01:06:04"/>
    <n v="133433.69195869914"/>
    <d v="1899-12-30T06:02:35"/>
    <n v="34632.102630772133"/>
    <n v="10392.047492639045"/>
    <m/>
    <x v="5"/>
    <x v="1"/>
    <x v="0"/>
    <x v="2"/>
    <s v="-"/>
    <n v="21754.71732762015"/>
    <x v="1"/>
    <m/>
    <m/>
  </r>
  <r>
    <x v="0"/>
    <x v="46"/>
    <x v="65"/>
    <x v="1"/>
    <d v="1900-01-01T10:01:52"/>
    <n v="33736.165396256096"/>
    <d v="1899-12-30T04:21:43"/>
    <n v="5950.302023609499"/>
    <n v="1687.3357677048796"/>
    <m/>
    <x v="5"/>
    <x v="1"/>
    <x v="0"/>
    <x v="2"/>
    <s v="-"/>
    <n v="15702.621336057933"/>
    <x v="1"/>
    <m/>
    <m/>
  </r>
  <r>
    <x v="0"/>
    <x v="46"/>
    <x v="65"/>
    <x v="2"/>
    <d v="1900-01-01T18:00:00"/>
    <n v="19131.581522267443"/>
    <d v="1899-12-30T04:15:26"/>
    <n v="1660.5260654995741"/>
    <n v="468.98291481358933"/>
    <m/>
    <x v="5"/>
    <x v="1"/>
    <x v="0"/>
    <x v="2"/>
    <s v="-"/>
    <n v="15326.467734709529"/>
    <x v="1"/>
    <m/>
    <m/>
  </r>
  <r>
    <x v="0"/>
    <x v="46"/>
    <x v="65"/>
    <x v="0"/>
    <d v="1900-01-03T16:30:00"/>
    <n v="9951.7004221535444"/>
    <d v="1899-12-30T06:53:28"/>
    <n v="8748.8310928421015"/>
    <n v="2428.9751107077109"/>
    <m/>
    <x v="5"/>
    <x v="1"/>
    <x v="0"/>
    <x v="2"/>
    <s v="-"/>
    <n v="24808.230564912141"/>
    <x v="1"/>
    <m/>
    <m/>
  </r>
  <r>
    <x v="0"/>
    <x v="46"/>
    <x v="65"/>
    <x v="2"/>
    <d v="1899-12-30T21:25:00"/>
    <n v="3164.0251599931744"/>
    <d v="1899-12-30T01:15:33"/>
    <n v="263.37276162268319"/>
    <n v="74.849000568833247"/>
    <m/>
    <x v="5"/>
    <x v="1"/>
    <x v="0"/>
    <x v="2"/>
    <s v="-"/>
    <n v="4533.1706022963535"/>
    <x v="1"/>
    <m/>
    <m/>
  </r>
  <r>
    <x v="0"/>
    <x v="46"/>
    <x v="65"/>
    <x v="0"/>
    <d v="1900-01-02T05:30:00"/>
    <n v="2741.9900508840647"/>
    <d v="1899-12-30T04:44:50"/>
    <n v="2698.4921444776928"/>
    <n v="749.19382781766626"/>
    <m/>
    <x v="5"/>
    <x v="1"/>
    <x v="0"/>
    <x v="2"/>
    <s v="-"/>
    <n v="17090.114389161696"/>
    <x v="1"/>
    <m/>
    <m/>
  </r>
  <r>
    <x v="0"/>
    <x v="46"/>
    <x v="65"/>
    <x v="0"/>
    <d v="1900-01-02T01:00:00"/>
    <n v="2056.4925381630483"/>
    <d v="1899-12-30T04:28:18"/>
    <n v="2541.8055038306011"/>
    <n v="705.69225071857579"/>
    <m/>
    <x v="5"/>
    <x v="1"/>
    <x v="0"/>
    <x v="2"/>
    <s v="-"/>
    <n v="16097.785166565211"/>
    <x v="1"/>
    <m/>
    <m/>
  </r>
  <r>
    <x v="0"/>
    <x v="46"/>
    <x v="65"/>
    <x v="1"/>
    <d v="1899-12-30T14:40:00"/>
    <n v="315.65603213952795"/>
    <d v="1899-12-30T00:53:54"/>
    <n v="470.31527359360371"/>
    <n v="130.5756256603465"/>
    <m/>
    <x v="5"/>
    <x v="1"/>
    <x v="0"/>
    <x v="2"/>
    <s v="-"/>
    <n v="3234.2582069811388"/>
    <x v="1"/>
    <m/>
    <m/>
  </r>
  <r>
    <x v="0"/>
    <x v="46"/>
    <x v="65"/>
    <x v="0"/>
    <d v="1900-01-02T02:00:00"/>
    <n v="26296.410256422605"/>
    <d v="1899-12-30T04:31:58"/>
    <n v="14120.293329745044"/>
    <n v="3920.2769707034081"/>
    <m/>
    <x v="5"/>
    <x v="1"/>
    <x v="0"/>
    <x v="2"/>
    <s v="-"/>
    <n v="16318.302771586657"/>
    <x v="1"/>
    <m/>
    <m/>
  </r>
  <r>
    <x v="0"/>
    <x v="46"/>
    <x v="65"/>
    <x v="2"/>
    <d v="1899-12-31T22:00:00"/>
    <n v="56195.304964947893"/>
    <d v="1899-12-30T02:49:04"/>
    <n v="2854.391929202453"/>
    <n v="792.47694676723086"/>
    <m/>
    <x v="5"/>
    <x v="1"/>
    <x v="0"/>
    <x v="2"/>
    <s v="-"/>
    <n v="10143.809830986283"/>
    <x v="1"/>
    <m/>
    <m/>
  </r>
  <r>
    <x v="0"/>
    <x v="46"/>
    <x v="65"/>
    <x v="0"/>
    <d v="1900-01-05T02:00:00"/>
    <n v="48836.190476213422"/>
    <d v="1899-12-30T09:28:18"/>
    <n v="29504.745790291909"/>
    <n v="8305.4207021961174"/>
    <m/>
    <x v="5"/>
    <x v="1"/>
    <x v="0"/>
    <x v="2"/>
    <s v="-"/>
    <n v="34097.547675617112"/>
    <x v="1"/>
    <m/>
    <m/>
  </r>
  <r>
    <x v="0"/>
    <x v="46"/>
    <x v="65"/>
    <x v="1"/>
    <d v="1900-01-03T18:15:00"/>
    <n v="43886.585921155711"/>
    <d v="1899-12-30T07:35:27"/>
    <n v="9181.4638926788048"/>
    <n v="2615.1775159935128"/>
    <m/>
    <x v="5"/>
    <x v="1"/>
    <x v="0"/>
    <x v="2"/>
    <s v="-"/>
    <n v="27327.314927805721"/>
    <x v="1"/>
    <m/>
    <m/>
  </r>
  <r>
    <x v="0"/>
    <x v="46"/>
    <x v="65"/>
    <x v="2"/>
    <d v="1899-12-30T15:53:51"/>
    <n v="6644.7137471726719"/>
    <d v="1899-12-30T01:18:38"/>
    <n v="612.70769664848842"/>
    <n v="175.87349895793741"/>
    <m/>
    <x v="5"/>
    <x v="1"/>
    <x v="0"/>
    <x v="2"/>
    <s v="-"/>
    <n v="4718.2537547257662"/>
    <x v="1"/>
    <m/>
    <m/>
  </r>
  <r>
    <x v="0"/>
    <x v="46"/>
    <x v="65"/>
    <x v="0"/>
    <d v="1900-01-05T02:30:25"/>
    <n v="81794.495813297151"/>
    <d v="1899-12-30T11:40:16"/>
    <n v="27847.655117023147"/>
    <n v="7863.3730297305883"/>
    <m/>
    <x v="5"/>
    <x v="1"/>
    <x v="0"/>
    <x v="2"/>
    <s v="-"/>
    <n v="42015.984459783882"/>
    <x v="1"/>
    <m/>
    <m/>
  </r>
  <r>
    <x v="0"/>
    <x v="46"/>
    <x v="65"/>
    <x v="1"/>
    <d v="1899-12-31T12:45:37"/>
    <n v="7719.1770534247516"/>
    <d v="1899-12-30T02:49:15"/>
    <n v="1554.5664960930026"/>
    <n v="447.53006667564875"/>
    <m/>
    <x v="5"/>
    <x v="1"/>
    <x v="0"/>
    <x v="2"/>
    <s v="-"/>
    <n v="10154.931864166987"/>
    <x v="1"/>
    <m/>
    <m/>
  </r>
  <r>
    <x v="0"/>
    <x v="46"/>
    <x v="65"/>
    <x v="2"/>
    <d v="1899-12-30T20:07:21"/>
    <n v="7270.4205080885358"/>
    <d v="1899-12-30T01:34:58"/>
    <n v="683.6204313433517"/>
    <n v="196.40406253608674"/>
    <m/>
    <x v="5"/>
    <x v="1"/>
    <x v="0"/>
    <x v="2"/>
    <s v="-"/>
    <n v="5698.1850807704086"/>
    <x v="1"/>
    <m/>
    <m/>
  </r>
  <r>
    <x v="0"/>
    <x v="46"/>
    <x v="65"/>
    <x v="0"/>
    <d v="1900-01-02T01:06:04"/>
    <n v="47187.219504421853"/>
    <d v="1899-12-30T06:02:35"/>
    <n v="12361.652294192536"/>
    <n v="3718.5377904650172"/>
    <m/>
    <x v="5"/>
    <x v="1"/>
    <x v="0"/>
    <x v="2"/>
    <s v="-"/>
    <n v="21754.717327620147"/>
    <x v="1"/>
    <m/>
    <m/>
  </r>
  <r>
    <x v="0"/>
    <x v="46"/>
    <x v="65"/>
    <x v="1"/>
    <d v="1900-01-01T10:01:52"/>
    <n v="11144.427655002477"/>
    <d v="1899-12-30T04:21:43"/>
    <n v="1966.1908519979729"/>
    <n v="557.59564578682182"/>
    <m/>
    <x v="5"/>
    <x v="1"/>
    <x v="0"/>
    <x v="2"/>
    <s v="-"/>
    <n v="15702.621336057933"/>
    <x v="1"/>
    <m/>
    <m/>
  </r>
  <r>
    <x v="0"/>
    <x v="46"/>
    <x v="65"/>
    <x v="0"/>
    <d v="1899-12-30T05:40:16"/>
    <n v="45.461673956259503"/>
    <d v="1899-12-30T00:19:38"/>
    <n v="12.253109461361253"/>
    <n v="3.6338411190896243"/>
    <m/>
    <x v="5"/>
    <x v="1"/>
    <x v="0"/>
    <x v="2"/>
    <s v="-"/>
    <n v="1177.7213415961073"/>
    <x v="1"/>
    <m/>
    <m/>
  </r>
  <r>
    <x v="0"/>
    <x v="46"/>
    <x v="65"/>
    <x v="2"/>
    <d v="1900-01-01T11:45:27"/>
    <n v="8558.5582375215672"/>
    <d v="1899-12-30T03:39:38"/>
    <n v="399.59024520154105"/>
    <n v="110.93993583556909"/>
    <m/>
    <x v="5"/>
    <x v="1"/>
    <x v="0"/>
    <x v="2"/>
    <s v="-"/>
    <n v="13177.580782068782"/>
    <x v="1"/>
    <m/>
    <m/>
  </r>
  <r>
    <x v="0"/>
    <x v="46"/>
    <x v="65"/>
    <x v="0"/>
    <d v="1900-01-05T10:12:28"/>
    <n v="15059.179498010968"/>
    <d v="1899-12-30T09:43:14"/>
    <n v="6574.4300595855939"/>
    <n v="1871.4174938236927"/>
    <m/>
    <x v="5"/>
    <x v="1"/>
    <x v="0"/>
    <x v="2"/>
    <s v="-"/>
    <n v="34993.622100206805"/>
    <x v="1"/>
    <m/>
    <m/>
  </r>
  <r>
    <x v="0"/>
    <x v="46"/>
    <x v="65"/>
    <x v="2"/>
    <d v="1900-01-01T11:52:10"/>
    <n v="91797.150572509607"/>
    <d v="1899-12-30T03:40:02"/>
    <n v="4255.4938889850318"/>
    <n v="1181.4708308370753"/>
    <m/>
    <x v="5"/>
    <x v="1"/>
    <x v="0"/>
    <x v="2"/>
    <s v="-"/>
    <n v="13202.266502853117"/>
    <x v="1"/>
    <m/>
    <m/>
  </r>
  <r>
    <x v="0"/>
    <x v="46"/>
    <x v="65"/>
    <x v="0"/>
    <d v="1900-01-05T10:05:28"/>
    <n v="64329.3018679698"/>
    <d v="1899-12-30T09:42:58"/>
    <n v="36852.959526918676"/>
    <n v="10393.461005747396"/>
    <m/>
    <x v="5"/>
    <x v="1"/>
    <x v="0"/>
    <x v="2"/>
    <s v="-"/>
    <n v="34978.405926075211"/>
    <x v="1"/>
    <m/>
    <m/>
  </r>
  <r>
    <x v="0"/>
    <x v="46"/>
    <x v="65"/>
    <x v="2"/>
    <d v="1900-01-02T05:39:12"/>
    <n v="16175.742406116688"/>
    <d v="1899-12-30T04:45:24"/>
    <n v="756.57442635589689"/>
    <n v="210.05096926833585"/>
    <m/>
    <x v="5"/>
    <x v="1"/>
    <x v="0"/>
    <x v="2"/>
    <s v="-"/>
    <n v="17123.927088598321"/>
    <x v="1"/>
    <m/>
    <m/>
  </r>
  <r>
    <x v="0"/>
    <x v="46"/>
    <x v="65"/>
    <x v="0"/>
    <d v="1900-01-04T06:25:23"/>
    <n v="6009.5511277482756"/>
    <d v="1899-12-30T06:58:49"/>
    <n v="4257.7308720925757"/>
    <n v="1189.2651748101662"/>
    <m/>
    <x v="5"/>
    <x v="1"/>
    <x v="0"/>
    <x v="2"/>
    <s v="-"/>
    <n v="25128.982651973191"/>
    <x v="1"/>
    <m/>
    <m/>
  </r>
  <r>
    <x v="0"/>
    <x v="46"/>
    <x v="65"/>
    <x v="2"/>
    <d v="1900-01-02T05:56:56"/>
    <n v="184774.8184732298"/>
    <d v="1899-12-30T04:46:29"/>
    <n v="8616.7059647668739"/>
    <n v="2392.2926505952528"/>
    <m/>
    <x v="5"/>
    <x v="1"/>
    <x v="0"/>
    <x v="2"/>
    <s v="-"/>
    <n v="17189.10229186021"/>
    <x v="1"/>
    <m/>
    <m/>
  </r>
  <r>
    <x v="0"/>
    <x v="46"/>
    <x v="65"/>
    <x v="0"/>
    <d v="1900-01-04T06:25:29"/>
    <n v="15683.24429504689"/>
    <d v="1899-12-30T06:58:48"/>
    <n v="8047.4807911455528"/>
    <n v="2260.4995814071326"/>
    <m/>
    <x v="5"/>
    <x v="1"/>
    <x v="0"/>
    <x v="2"/>
    <s v="-"/>
    <n v="25128.348881247683"/>
    <x v="1"/>
    <m/>
    <m/>
  </r>
  <r>
    <x v="0"/>
    <x v="46"/>
    <x v="65"/>
    <x v="2"/>
    <d v="1900-01-01T20:35:00"/>
    <n v="66786.518095511885"/>
    <d v="1899-12-30T04:24:18"/>
    <n v="5819.2759793963387"/>
    <n v="1643.6272603591347"/>
    <m/>
    <x v="5"/>
    <x v="1"/>
    <x v="0"/>
    <x v="2"/>
    <s v="-"/>
    <n v="15857.919537360514"/>
    <x v="1"/>
    <m/>
    <m/>
  </r>
  <r>
    <x v="0"/>
    <x v="46"/>
    <x v="65"/>
    <x v="0"/>
    <d v="1900-01-02T17:20:00"/>
    <n v="74986.284308877308"/>
    <d v="1899-12-30T05:28:20"/>
    <n v="53333.815478985111"/>
    <n v="14807.293566739623"/>
    <m/>
    <x v="5"/>
    <x v="1"/>
    <x v="0"/>
    <x v="2"/>
    <s v="-"/>
    <n v="19699.572715248756"/>
    <x v="1"/>
    <m/>
    <m/>
  </r>
  <r>
    <x v="0"/>
    <x v="46"/>
    <x v="65"/>
    <x v="2"/>
    <d v="1899-12-30T21:00:00"/>
    <n v="9862.2192391889585"/>
    <d v="1899-12-30T01:14:05"/>
    <n v="838.635309378339"/>
    <n v="238.45955016470461"/>
    <m/>
    <x v="5"/>
    <x v="1"/>
    <x v="0"/>
    <x v="2"/>
    <s v="-"/>
    <n v="4444.7105608726915"/>
    <x v="1"/>
    <m/>
    <m/>
  </r>
  <r>
    <x v="0"/>
    <x v="46"/>
    <x v="65"/>
    <x v="0"/>
    <d v="1900-01-01T01:10:00"/>
    <n v="17804.977370097589"/>
    <d v="1899-12-30T03:00:42"/>
    <n v="13154.971081813463"/>
    <n v="3652.2704577011627"/>
    <m/>
    <x v="5"/>
    <x v="1"/>
    <x v="0"/>
    <x v="2"/>
    <s v="-"/>
    <n v="10842.115580220861"/>
    <x v="1"/>
    <m/>
    <m/>
  </r>
  <r>
    <x v="0"/>
    <x v="46"/>
    <x v="65"/>
    <x v="0"/>
    <d v="1900-01-01T13:00:00"/>
    <n v="17804.977370097589"/>
    <d v="1899-12-30T03:44:12"/>
    <n v="16312.75339069754"/>
    <n v="4528.9789633194669"/>
    <m/>
    <x v="5"/>
    <x v="1"/>
    <x v="0"/>
    <x v="2"/>
    <s v="-"/>
    <n v="13451.573906307916"/>
    <x v="1"/>
    <m/>
    <m/>
  </r>
  <r>
    <x v="0"/>
    <x v="46"/>
    <x v="65"/>
    <x v="0"/>
    <d v="1900-01-05T09:15:00"/>
    <n v="28522"/>
    <d v="1899-12-30T09:50:25"/>
    <n v="18926.173160390419"/>
    <n v="5336.6457594132653"/>
    <m/>
    <x v="5"/>
    <x v="1"/>
    <x v="0"/>
    <x v="2"/>
    <s v="-"/>
    <n v="35425.024025497369"/>
    <x v="1"/>
    <m/>
    <m/>
  </r>
  <r>
    <x v="0"/>
    <x v="46"/>
    <x v="65"/>
    <x v="0"/>
    <d v="1899-12-30T03:44:00"/>
    <n v="13054.4653082693"/>
    <d v="1899-12-30T00:13:43"/>
    <n v="4951.0740789853526"/>
    <n v="1374.587711376058"/>
    <m/>
    <x v="5"/>
    <x v="1"/>
    <x v="0"/>
    <x v="2"/>
    <s v="-"/>
    <n v="823.26572541338066"/>
    <x v="1"/>
    <m/>
    <m/>
  </r>
  <r>
    <x v="0"/>
    <x v="46"/>
    <x v="65"/>
    <x v="0"/>
    <d v="1900-01-05T13:40:00"/>
    <n v="120768"/>
    <d v="1899-12-30T10:07:58"/>
    <n v="109706.23884709044"/>
    <n v="30876.441374749211"/>
    <m/>
    <x v="5"/>
    <x v="1"/>
    <x v="0"/>
    <x v="2"/>
    <s v="-"/>
    <n v="36477.561770990724"/>
    <x v="1"/>
    <m/>
    <m/>
  </r>
  <r>
    <x v="0"/>
    <x v="46"/>
    <x v="65"/>
    <x v="2"/>
    <d v="1899-12-30T22:00:00"/>
    <n v="21733.325877283314"/>
    <d v="1899-12-30T01:30:20"/>
    <n v="2045.2587828585915"/>
    <n v="580.10948310305878"/>
    <m/>
    <x v="5"/>
    <x v="1"/>
    <x v="0"/>
    <x v="2"/>
    <s v="-"/>
    <n v="5420.4331612732767"/>
    <x v="1"/>
    <m/>
    <m/>
  </r>
  <r>
    <x v="0"/>
    <x v="46"/>
    <x v="65"/>
    <x v="0"/>
    <d v="1900-01-05T08:25:00"/>
    <n v="246194.72135858436"/>
    <d v="1899-12-30T09:48:57"/>
    <n v="74925.170841391169"/>
    <n v="21109.186565695429"/>
    <m/>
    <x v="5"/>
    <x v="1"/>
    <x v="0"/>
    <x v="2"/>
    <s v="-"/>
    <n v="35337.233963990097"/>
    <x v="1"/>
    <m/>
    <m/>
  </r>
  <r>
    <x v="0"/>
    <x v="46"/>
    <x v="65"/>
    <x v="1"/>
    <d v="1899-12-31T21:35:00"/>
    <n v="23179.267105530209"/>
    <d v="1899-12-30T02:52:35"/>
    <n v="3549.5825827414506"/>
    <n v="1012.3195877530903"/>
    <m/>
    <x v="5"/>
    <x v="1"/>
    <x v="0"/>
    <x v="2"/>
    <s v="-"/>
    <n v="10355.38236771546"/>
    <x v="1"/>
    <m/>
    <m/>
  </r>
  <r>
    <x v="0"/>
    <x v="46"/>
    <x v="65"/>
    <x v="2"/>
    <d v="1899-12-30T22:50:00"/>
    <n v="17073.058083391341"/>
    <d v="1899-12-30T01:24:21"/>
    <n v="1579.2477920528338"/>
    <n v="443.15491868644176"/>
    <m/>
    <x v="5"/>
    <x v="1"/>
    <x v="0"/>
    <x v="2"/>
    <s v="-"/>
    <n v="5060.9660741677153"/>
    <x v="1"/>
    <m/>
    <m/>
  </r>
  <r>
    <x v="0"/>
    <x v="46"/>
    <x v="65"/>
    <x v="0"/>
    <d v="1900-01-02T10:50:00"/>
    <n v="129686.54061973149"/>
    <d v="1899-12-30T05:04:34"/>
    <n v="34881.341495494213"/>
    <n v="9695.22476510052"/>
    <m/>
    <x v="5"/>
    <x v="1"/>
    <x v="0"/>
    <x v="2"/>
    <s v="-"/>
    <n v="18273.741913973434"/>
    <x v="1"/>
    <m/>
    <m/>
  </r>
  <r>
    <x v="0"/>
    <x v="46"/>
    <x v="65"/>
    <x v="1"/>
    <d v="1899-12-31T22:55:00"/>
    <n v="20112.734689428507"/>
    <d v="1899-12-30T02:53:49"/>
    <n v="3217.1219765628875"/>
    <n v="914.88374115808892"/>
    <m/>
    <x v="5"/>
    <x v="1"/>
    <x v="0"/>
    <x v="2"/>
    <s v="-"/>
    <n v="10429.338861987537"/>
    <x v="1"/>
    <m/>
    <m/>
  </r>
  <r>
    <x v="0"/>
    <x v="46"/>
    <x v="65"/>
    <x v="0"/>
    <d v="1900-01-06T21:00:00"/>
    <n v="48078.177589694518"/>
    <d v="1899-12-30T12:12:43"/>
    <n v="36063.85657205282"/>
    <n v="10163.109920236329"/>
    <m/>
    <x v="5"/>
    <x v="1"/>
    <x v="0"/>
    <x v="2"/>
    <s v="-"/>
    <n v="43963.031628268749"/>
    <x v="1"/>
    <m/>
    <m/>
  </r>
  <r>
    <x v="0"/>
    <x v="46"/>
    <x v="65"/>
    <x v="1"/>
    <d v="1899-12-30T03:00:00"/>
    <n v="674.47348010014991"/>
    <d v="1899-12-30T00:11:02"/>
    <n v="205.55578362923535"/>
    <n v="57.069324690235312"/>
    <m/>
    <x v="5"/>
    <x v="1"/>
    <x v="0"/>
    <x v="2"/>
    <s v="-"/>
    <n v="661.5528150643238"/>
    <x v="1"/>
    <m/>
    <m/>
  </r>
  <r>
    <x v="0"/>
    <x v="46"/>
    <x v="65"/>
    <x v="0"/>
    <d v="1899-12-31T22:35:00"/>
    <n v="826.74369209075348"/>
    <d v="1899-12-30T03:22:03"/>
    <n v="404.03350353415897"/>
    <n v="116.03161106524199"/>
    <m/>
    <x v="5"/>
    <x v="1"/>
    <x v="0"/>
    <x v="2"/>
    <s v="-"/>
    <n v="12123.181119099319"/>
    <x v="1"/>
    <m/>
    <m/>
  </r>
  <r>
    <x v="0"/>
    <x v="46"/>
    <x v="65"/>
    <x v="2"/>
    <d v="1899-12-30T17:29:39"/>
    <n v="8806.9557912339897"/>
    <d v="1899-12-30T01:02:38"/>
    <n v="651.2280209150789"/>
    <n v="183.79048346325496"/>
    <m/>
    <x v="5"/>
    <x v="1"/>
    <x v="0"/>
    <x v="2"/>
    <s v="-"/>
    <n v="3757.5873573910162"/>
    <x v="1"/>
    <m/>
    <m/>
  </r>
  <r>
    <x v="0"/>
    <x v="46"/>
    <x v="65"/>
    <x v="0"/>
    <d v="1900-01-02T20:29:50"/>
    <n v="4177.2934581997215"/>
    <d v="1899-12-30T05:39:57"/>
    <n v="5116.4501133375943"/>
    <n v="1420.5017617316294"/>
    <m/>
    <x v="5"/>
    <x v="1"/>
    <x v="0"/>
    <x v="2"/>
    <s v="-"/>
    <n v="20397.265915580483"/>
    <x v="1"/>
    <m/>
    <m/>
  </r>
  <r>
    <x v="0"/>
    <x v="46"/>
    <x v="65"/>
    <x v="0"/>
    <d v="1900-01-03T04:57:50"/>
    <n v="8293.3776298235807"/>
    <d v="1899-12-30T06:11:04"/>
    <n v="9250.581453098348"/>
    <n v="2568.2781929043895"/>
    <m/>
    <x v="5"/>
    <x v="1"/>
    <x v="0"/>
    <x v="2"/>
    <s v="-"/>
    <n v="22264.314971428685"/>
    <x v="1"/>
    <m/>
    <m/>
  </r>
  <r>
    <x v="0"/>
    <x v="46"/>
    <x v="65"/>
    <x v="2"/>
    <d v="1900-01-01T22:38:46"/>
    <n v="6078.9183767833256"/>
    <d v="1899-12-30T04:30:00"/>
    <n v="1976.0613792112858"/>
    <n v="576.60944262037685"/>
    <m/>
    <x v="5"/>
    <x v="1"/>
    <x v="0"/>
    <x v="2"/>
    <s v="-"/>
    <n v="16199.921025837199"/>
    <x v="1"/>
    <m/>
    <m/>
  </r>
  <r>
    <x v="0"/>
    <x v="46"/>
    <x v="65"/>
    <x v="0"/>
    <d v="1900-01-02T18:29:51"/>
    <n v="5475.8276425207987"/>
    <d v="1899-12-30T05:32:36"/>
    <n v="5901.8911389906034"/>
    <n v="1638.5670874870646"/>
    <m/>
    <x v="5"/>
    <x v="1"/>
    <x v="0"/>
    <x v="2"/>
    <s v="-"/>
    <n v="19956.29196042788"/>
    <x v="1"/>
    <m/>
    <m/>
  </r>
  <r>
    <x v="0"/>
    <x v="46"/>
    <x v="65"/>
    <x v="0"/>
    <d v="1900-01-03T00:30:00"/>
    <n v="280783.55742862553"/>
    <d v="1899-12-30T06:03:05"/>
    <n v="150292.80080992315"/>
    <n v="41893.033600575669"/>
    <m/>
    <x v="5"/>
    <x v="1"/>
    <x v="0"/>
    <x v="2"/>
    <s v="-"/>
    <n v="21784.684986578995"/>
    <x v="1"/>
    <m/>
    <m/>
  </r>
  <r>
    <x v="0"/>
    <x v="46"/>
    <x v="65"/>
    <x v="1"/>
    <d v="1899-12-30T12:00:00"/>
    <n v="5535.8915649631599"/>
    <d v="1899-12-30T00:40:50"/>
    <n v="1561.77736098936"/>
    <n v="454.45608688728436"/>
    <m/>
    <x v="5"/>
    <x v="1"/>
    <x v="0"/>
    <x v="2"/>
    <s v="-"/>
    <n v="2449.5778079225038"/>
    <x v="1"/>
    <m/>
    <m/>
  </r>
  <r>
    <x v="0"/>
    <x v="46"/>
    <x v="65"/>
    <x v="0"/>
    <d v="1899-12-30T20:00:00"/>
    <n v="51529.3919255168"/>
    <d v="1899-12-30T01:13:30"/>
    <n v="26173.909105155777"/>
    <n v="7266.7734799868422"/>
    <m/>
    <x v="5"/>
    <x v="1"/>
    <x v="0"/>
    <x v="2"/>
    <s v="-"/>
    <n v="4410.3521004288268"/>
    <x v="1"/>
    <m/>
    <m/>
  </r>
  <r>
    <x v="0"/>
    <x v="46"/>
    <x v="65"/>
    <x v="1"/>
    <d v="1899-12-30T21:30:00"/>
    <n v="12705.60738070632"/>
    <d v="1899-12-30T01:19:17"/>
    <n v="3419.3154246746217"/>
    <n v="977.78536625682864"/>
    <m/>
    <x v="5"/>
    <x v="1"/>
    <x v="0"/>
    <x v="2"/>
    <s v="-"/>
    <n v="4757.4760811673659"/>
    <x v="1"/>
    <m/>
    <m/>
  </r>
  <r>
    <x v="0"/>
    <x v="46"/>
    <x v="65"/>
    <x v="2"/>
    <d v="1899-12-30T00:30:00"/>
    <n v="1049.53235668515"/>
    <d v="1899-12-30T00:01:35"/>
    <n v="46.160765371310681"/>
    <n v="13.849434294782164"/>
    <m/>
    <x v="5"/>
    <x v="1"/>
    <x v="0"/>
    <x v="2"/>
    <s v="-"/>
    <n v="95.472186287192713"/>
    <x v="1"/>
    <m/>
    <m/>
  </r>
  <r>
    <x v="0"/>
    <x v="46"/>
    <x v="65"/>
    <x v="0"/>
    <d v="1900-01-01T07:45:00"/>
    <n v="169258.56390569036"/>
    <d v="1899-12-30T03:39:25"/>
    <n v="83539.47771214605"/>
    <n v="23677.669306692576"/>
    <m/>
    <x v="5"/>
    <x v="1"/>
    <x v="0"/>
    <x v="2"/>
    <s v="-"/>
    <n v="13164.804178552411"/>
    <x v="1"/>
    <m/>
    <m/>
  </r>
  <r>
    <x v="0"/>
    <x v="46"/>
    <x v="65"/>
    <x v="1"/>
    <d v="1899-12-30T20:20:00"/>
    <n v="9687.8102386855298"/>
    <d v="1899-12-30T01:24:57"/>
    <n v="3249.4181810874898"/>
    <n v="934.62514938458423"/>
    <m/>
    <x v="5"/>
    <x v="1"/>
    <x v="0"/>
    <x v="2"/>
    <s v="-"/>
    <n v="5096.5668115521185"/>
    <x v="1"/>
    <m/>
    <m/>
  </r>
  <r>
    <x v="0"/>
    <x v="46"/>
    <x v="65"/>
    <x v="0"/>
    <d v="1899-12-31T19:30:00"/>
    <n v="143493.86794293197"/>
    <d v="1899-12-30T02:47:24"/>
    <n v="65571.50502396618"/>
    <n v="18416.012750966034"/>
    <m/>
    <x v="5"/>
    <x v="1"/>
    <x v="0"/>
    <x v="2"/>
    <s v="-"/>
    <n v="10044.42013275592"/>
    <x v="1"/>
    <m/>
    <m/>
  </r>
  <r>
    <x v="0"/>
    <x v="46"/>
    <x v="65"/>
    <x v="1"/>
    <d v="1899-12-30T08:30:00"/>
    <n v="5535.8915649631599"/>
    <d v="1899-12-30T00:33:15"/>
    <n v="1271.6911295626401"/>
    <n v="361.70297528760733"/>
    <m/>
    <x v="5"/>
    <x v="1"/>
    <x v="0"/>
    <x v="2"/>
    <s v="-"/>
    <n v="1994.5905526093527"/>
    <x v="1"/>
    <m/>
    <m/>
  </r>
  <r>
    <x v="0"/>
    <x v="46"/>
    <x v="65"/>
    <x v="2"/>
    <d v="1899-12-31T14:08:21"/>
    <n v="185704.37205017838"/>
    <d v="1899-12-30T02:57:55"/>
    <n v="8789.9139257711977"/>
    <n v="2523.4910782853281"/>
    <m/>
    <x v="5"/>
    <x v="1"/>
    <x v="0"/>
    <x v="2"/>
    <s v="-"/>
    <n v="10674.513303968773"/>
    <x v="1"/>
    <m/>
    <m/>
  </r>
  <r>
    <x v="0"/>
    <x v="46"/>
    <x v="65"/>
    <x v="0"/>
    <d v="1900-01-04T16:04:56"/>
    <n v="259907.58873231057"/>
    <d v="1899-12-30T11:04:52"/>
    <n v="73350.538013721351"/>
    <n v="21081.718909611569"/>
    <m/>
    <x v="5"/>
    <x v="1"/>
    <x v="0"/>
    <x v="2"/>
    <s v="-"/>
    <n v="39892.072330652809"/>
    <x v="1"/>
    <m/>
    <m/>
  </r>
  <r>
    <x v="0"/>
    <x v="46"/>
    <x v="65"/>
    <x v="1"/>
    <d v="1899-12-31T10:32:37"/>
    <n v="25192.214802834078"/>
    <d v="1899-12-30T02:47:46"/>
    <n v="4023.976495456453"/>
    <n v="1156.0765101512277"/>
    <m/>
    <x v="5"/>
    <x v="1"/>
    <x v="0"/>
    <x v="2"/>
    <s v="-"/>
    <n v="10066.081000194665"/>
    <x v="1"/>
    <m/>
    <m/>
  </r>
  <r>
    <x v="0"/>
    <x v="46"/>
    <x v="65"/>
    <x v="2"/>
    <d v="1899-12-30T20:07:21"/>
    <n v="39733.588032249594"/>
    <d v="1899-12-30T01:34:58"/>
    <n v="3337.951654170341"/>
    <n v="950.73539559632059"/>
    <m/>
    <x v="5"/>
    <x v="1"/>
    <x v="0"/>
    <x v="2"/>
    <s v="-"/>
    <n v="5698.1850807704077"/>
    <x v="1"/>
    <m/>
    <m/>
  </r>
  <r>
    <x v="0"/>
    <x v="46"/>
    <x v="65"/>
    <x v="0"/>
    <d v="1900-01-02T01:06:04"/>
    <n v="168369.00984919936"/>
    <d v="1899-12-30T06:02:35"/>
    <n v="43819.94766306063"/>
    <n v="13132.911694841216"/>
    <m/>
    <x v="5"/>
    <x v="1"/>
    <x v="0"/>
    <x v="2"/>
    <s v="-"/>
    <n v="21754.717327620147"/>
    <x v="1"/>
    <m/>
    <m/>
  </r>
  <r>
    <x v="0"/>
    <x v="46"/>
    <x v="65"/>
    <x v="1"/>
    <d v="1900-01-01T10:01:52"/>
    <n v="34370.375191436397"/>
    <d v="1899-12-30T04:21:43"/>
    <n v="6059.8957147922711"/>
    <n v="1718.2524432692039"/>
    <m/>
    <x v="5"/>
    <x v="1"/>
    <x v="0"/>
    <x v="2"/>
    <s v="-"/>
    <n v="15702.621336057933"/>
    <x v="1"/>
    <m/>
    <m/>
  </r>
  <r>
    <x v="0"/>
    <x v="46"/>
    <x v="65"/>
    <x v="2"/>
    <d v="1899-12-30T05:30:00"/>
    <n v="241.7297867782766"/>
    <d v="1899-12-30T00:19:43"/>
    <n v="78.186979686878416"/>
    <n v="21.879814015664511"/>
    <m/>
    <x v="5"/>
    <x v="1"/>
    <x v="0"/>
    <x v="2"/>
    <s v="-"/>
    <n v="1183.2735951708712"/>
    <x v="1"/>
    <m/>
    <m/>
  </r>
  <r>
    <x v="0"/>
    <x v="46"/>
    <x v="65"/>
    <x v="0"/>
    <d v="1900-01-04T12:00:00"/>
    <n v="10584.393916468487"/>
    <d v="1899-12-30T08:13:23"/>
    <n v="5346.0904658474901"/>
    <n v="1493.9509852939218"/>
    <m/>
    <x v="5"/>
    <x v="1"/>
    <x v="0"/>
    <x v="2"/>
    <s v="-"/>
    <n v="29602.866888596931"/>
    <x v="1"/>
    <m/>
    <m/>
  </r>
  <r>
    <x v="0"/>
    <x v="46"/>
    <x v="65"/>
    <x v="1"/>
    <d v="1900-01-03T06:30:00"/>
    <n v="4613.6219526753475"/>
    <d v="1899-12-30T07:07:28"/>
    <n v="1619.7589381315847"/>
    <n v="463.42360491989149"/>
    <m/>
    <x v="5"/>
    <x v="1"/>
    <x v="0"/>
    <x v="2"/>
    <s v="-"/>
    <n v="25647.559870965"/>
    <x v="1"/>
    <m/>
    <m/>
  </r>
  <r>
    <x v="0"/>
    <x v="46"/>
    <x v="65"/>
    <x v="2"/>
    <d v="1899-12-30T02:00:00"/>
    <n v="154.187457454368"/>
    <d v="1899-12-30T00:07:21"/>
    <n v="31.32727436333105"/>
    <n v="8.6975241500660392"/>
    <m/>
    <x v="5"/>
    <x v="1"/>
    <x v="0"/>
    <x v="2"/>
    <s v="-"/>
    <n v="441.03521004288257"/>
    <x v="1"/>
    <m/>
    <m/>
  </r>
  <r>
    <x v="0"/>
    <x v="46"/>
    <x v="65"/>
    <x v="0"/>
    <d v="1899-12-30T02:00:00"/>
    <n v="392.014589498833"/>
    <d v="1899-12-30T00:07:21"/>
    <n v="79.648168550240413"/>
    <n v="22.113059101148909"/>
    <m/>
    <x v="5"/>
    <x v="1"/>
    <x v="0"/>
    <x v="2"/>
    <s v="-"/>
    <n v="441.03521004288257"/>
    <x v="1"/>
    <m/>
    <m/>
  </r>
  <r>
    <x v="0"/>
    <x v="46"/>
    <x v="65"/>
    <x v="1"/>
    <d v="1899-12-30T04:00:00"/>
    <n v="139.785332307532"/>
    <d v="1899-12-30T00:14:42"/>
    <n v="56.802200768677146"/>
    <n v="15.770236096273578"/>
    <m/>
    <x v="5"/>
    <x v="1"/>
    <x v="0"/>
    <x v="2"/>
    <s v="-"/>
    <n v="882.07042008576514"/>
    <x v="1"/>
    <m/>
    <m/>
  </r>
  <r>
    <x v="0"/>
    <x v="46"/>
    <x v="65"/>
    <x v="2"/>
    <d v="1900-01-01T10:10:00"/>
    <n v="420612.15037099819"/>
    <d v="1899-12-30T03:33:47"/>
    <n v="64857.749868780338"/>
    <n v="18006.732384702686"/>
    <m/>
    <x v="5"/>
    <x v="1"/>
    <x v="0"/>
    <x v="2"/>
    <s v="-"/>
    <n v="12826.774025413832"/>
    <x v="1"/>
    <m/>
    <m/>
  </r>
  <r>
    <x v="0"/>
    <x v="46"/>
    <x v="65"/>
    <x v="0"/>
    <d v="1900-01-05T10:18:00"/>
    <n v="372011.40878126107"/>
    <d v="1899-12-30T09:27:06"/>
    <n v="158975.80408714581"/>
    <n v="44137.127261303671"/>
    <m/>
    <x v="5"/>
    <x v="1"/>
    <x v="0"/>
    <x v="2"/>
    <s v="-"/>
    <n v="34025.866454808391"/>
    <x v="1"/>
    <m/>
    <m/>
  </r>
  <r>
    <x v="0"/>
    <x v="46"/>
    <x v="65"/>
    <x v="2"/>
    <d v="1899-12-31T04:35:00"/>
    <n v="76746.595376142868"/>
    <d v="1899-12-30T01:51:03"/>
    <n v="7851.5081053793456"/>
    <n v="2217.2834665220298"/>
    <m/>
    <x v="5"/>
    <x v="1"/>
    <x v="0"/>
    <x v="2"/>
    <s v="-"/>
    <n v="6662.5213888875669"/>
    <x v="1"/>
    <m/>
    <m/>
  </r>
  <r>
    <x v="0"/>
    <x v="46"/>
    <x v="65"/>
    <x v="0"/>
    <d v="1900-01-04T17:40:00"/>
    <n v="230766.12718059466"/>
    <d v="1899-12-30T08:52:47"/>
    <n v="46604.515275712685"/>
    <n v="13129.132338366639"/>
    <m/>
    <x v="5"/>
    <x v="1"/>
    <x v="0"/>
    <x v="2"/>
    <s v="-"/>
    <n v="31967.445749319751"/>
    <x v="1"/>
    <m/>
    <m/>
  </r>
  <r>
    <x v="0"/>
    <x v="46"/>
    <x v="65"/>
    <x v="1"/>
    <d v="1899-12-31T18:25:00"/>
    <n v="65427.711176699755"/>
    <d v="1899-12-30T02:37:33"/>
    <n v="10200.798805709006"/>
    <n v="2920.1039974008099"/>
    <m/>
    <x v="5"/>
    <x v="1"/>
    <x v="0"/>
    <x v="2"/>
    <s v="-"/>
    <n v="9453.2822526897726"/>
    <x v="1"/>
    <m/>
    <m/>
  </r>
  <r>
    <x v="0"/>
    <x v="46"/>
    <x v="65"/>
    <x v="2"/>
    <d v="1899-12-30T20:45:00"/>
    <n v="53705.305950000562"/>
    <d v="1899-12-30T01:16:54"/>
    <n v="5436.160994380336"/>
    <n v="1537.9101743571159"/>
    <m/>
    <x v="5"/>
    <x v="1"/>
    <x v="0"/>
    <x v="2"/>
    <s v="-"/>
    <n v="4614.175500230228"/>
    <x v="1"/>
    <m/>
    <m/>
  </r>
  <r>
    <x v="0"/>
    <x v="46"/>
    <x v="65"/>
    <x v="0"/>
    <d v="1900-01-03T00:00:00"/>
    <n v="161017.11538333099"/>
    <d v="1899-12-30T05:52:45"/>
    <n v="30762.387100813274"/>
    <n v="8538.2769789277027"/>
    <m/>
    <x v="5"/>
    <x v="1"/>
    <x v="0"/>
    <x v="2"/>
    <s v="-"/>
    <n v="21164.917715830641"/>
    <x v="1"/>
    <m/>
    <m/>
  </r>
  <r>
    <x v="0"/>
    <x v="46"/>
    <x v="65"/>
    <x v="1"/>
    <d v="1899-12-31T13:05:00"/>
    <n v="58214.815451974282"/>
    <d v="1899-12-30T02:18:04"/>
    <n v="8899.3519957037697"/>
    <n v="2544.2846321845641"/>
    <m/>
    <x v="5"/>
    <x v="1"/>
    <x v="0"/>
    <x v="2"/>
    <s v="-"/>
    <n v="8284.0547254379435"/>
    <x v="1"/>
    <m/>
    <m/>
  </r>
  <r>
    <x v="0"/>
    <x v="46"/>
    <x v="65"/>
    <x v="2"/>
    <d v="1899-12-30T06:51:17"/>
    <n v="1633.0151462273334"/>
    <d v="1899-12-30T00:25:12"/>
    <n v="108.36031396375063"/>
    <n v="30.084533900964836"/>
    <m/>
    <x v="5"/>
    <x v="1"/>
    <x v="0"/>
    <x v="2"/>
    <s v="-"/>
    <n v="1511.5869275316961"/>
    <x v="1"/>
    <m/>
    <m/>
  </r>
  <r>
    <x v="0"/>
    <x v="46"/>
    <x v="65"/>
    <x v="0"/>
    <d v="1900-01-05T00:22:38"/>
    <n v="10559.249121676776"/>
    <d v="1899-12-30T08:50:38"/>
    <n v="6703.8209339295008"/>
    <n v="1861.2102602459001"/>
    <m/>
    <x v="5"/>
    <x v="1"/>
    <x v="0"/>
    <x v="2"/>
    <s v="-"/>
    <n v="31837.719264092844"/>
    <x v="1"/>
    <m/>
    <m/>
  </r>
  <r>
    <x v="0"/>
    <x v="46"/>
    <x v="65"/>
    <x v="1"/>
    <d v="1899-12-30T04:06:12"/>
    <n v="8.356944351450581"/>
    <d v="1899-12-30T00:15:05"/>
    <n v="3.4835967476408127"/>
    <n v="0.96716575116928893"/>
    <m/>
    <x v="5"/>
    <x v="1"/>
    <x v="0"/>
    <x v="2"/>
    <s v="-"/>
    <n v="904.85723927131403"/>
    <x v="1"/>
    <m/>
    <m/>
  </r>
  <r>
    <x v="0"/>
    <x v="46"/>
    <x v="65"/>
    <x v="0"/>
    <d v="1899-12-30T03:50:37"/>
    <n v="13.500057583942001"/>
    <d v="1899-12-30T00:14:08"/>
    <n v="5.271310870975868"/>
    <n v="1.4634964111810231"/>
    <m/>
    <x v="5"/>
    <x v="1"/>
    <x v="0"/>
    <x v="2"/>
    <s v="-"/>
    <n v="847.58391685602317"/>
    <x v="1"/>
    <m/>
    <m/>
  </r>
  <r>
    <x v="0"/>
    <x v="46"/>
    <x v="65"/>
    <x v="2"/>
    <d v="1899-12-31T14:06:53"/>
    <n v="56756.102287934278"/>
    <d v="1899-12-30T02:20:05"/>
    <n v="3432.4897929431581"/>
    <n v="952.9767104131779"/>
    <m/>
    <x v="5"/>
    <x v="1"/>
    <x v="0"/>
    <x v="2"/>
    <s v="-"/>
    <n v="8404.967260501955"/>
    <x v="1"/>
    <m/>
    <m/>
  </r>
  <r>
    <x v="0"/>
    <x v="46"/>
    <x v="65"/>
    <x v="0"/>
    <d v="1900-01-06T14:51:22"/>
    <n v="55432.338485183005"/>
    <d v="1899-12-30T11:12:03"/>
    <n v="37228.695522756781"/>
    <n v="10335.96075513168"/>
    <m/>
    <x v="5"/>
    <x v="1"/>
    <x v="0"/>
    <x v="2"/>
    <s v="-"/>
    <n v="40322.991685756773"/>
    <x v="1"/>
    <m/>
    <m/>
  </r>
  <r>
    <x v="0"/>
    <x v="46"/>
    <x v="65"/>
    <x v="1"/>
    <d v="1900-01-05T04:25:06"/>
    <n v="39752.960980542048"/>
    <d v="1899-12-30T09:05:29"/>
    <n v="11930.612398407204"/>
    <n v="3312.3465596382748"/>
    <m/>
    <x v="5"/>
    <x v="1"/>
    <x v="0"/>
    <x v="2"/>
    <s v="-"/>
    <n v="32728.855407940613"/>
    <x v="1"/>
    <m/>
    <m/>
  </r>
  <r>
    <x v="0"/>
    <x v="46"/>
    <x v="65"/>
    <x v="0"/>
    <d v="1900-01-01T10:09:48"/>
    <n v="2043.4679000020008"/>
    <d v="1899-12-30T03:33:46"/>
    <n v="1895.7022381558322"/>
    <n v="526.31185868483658"/>
    <m/>
    <x v="5"/>
    <x v="1"/>
    <x v="0"/>
    <x v="2"/>
    <s v="-"/>
    <n v="12826.038966730428"/>
    <x v="1"/>
    <m/>
    <m/>
  </r>
  <r>
    <x v="0"/>
    <x v="46"/>
    <x v="65"/>
    <x v="1"/>
    <d v="1899-12-30T05:24:49"/>
    <n v="14.8378399709429"/>
    <d v="1899-12-30T00:19:54"/>
    <n v="8.1602094424160629"/>
    <n v="2.2655535834961151"/>
    <m/>
    <x v="5"/>
    <x v="1"/>
    <x v="0"/>
    <x v="2"/>
    <s v="-"/>
    <n v="1193.7965567396859"/>
    <x v="1"/>
    <m/>
    <m/>
  </r>
  <r>
    <x v="0"/>
    <x v="46"/>
    <x v="65"/>
    <x v="2"/>
    <d v="1899-12-30T03:00:09"/>
    <n v="1501.6917349902533"/>
    <d v="1899-12-30T00:11:02"/>
    <n v="71.107753687240617"/>
    <n v="19.741947472954728"/>
    <m/>
    <x v="5"/>
    <x v="1"/>
    <x v="0"/>
    <x v="2"/>
    <s v="-"/>
    <n v="662.10410907687742"/>
    <x v="1"/>
    <m/>
    <m/>
  </r>
  <r>
    <x v="0"/>
    <x v="46"/>
    <x v="65"/>
    <x v="1"/>
    <d v="1899-12-30T06:02:17"/>
    <n v="220.69155083218456"/>
    <d v="1899-12-30T00:22:11"/>
    <n v="69.052674745811515"/>
    <n v="19.171387183665924"/>
    <m/>
    <x v="5"/>
    <x v="1"/>
    <x v="0"/>
    <x v="2"/>
    <s v="-"/>
    <n v="1331.4975500975193"/>
    <x v="1"/>
    <m/>
    <m/>
  </r>
  <r>
    <x v="0"/>
    <x v="46"/>
    <x v="65"/>
    <x v="2"/>
    <d v="1899-12-30T05:36:52"/>
    <n v="20450.466127307925"/>
    <d v="1899-12-30T00:20:38"/>
    <n v="967.79398267706097"/>
    <n v="268.69275121090692"/>
    <m/>
    <x v="5"/>
    <x v="1"/>
    <x v="0"/>
    <x v="2"/>
    <s v="-"/>
    <n v="1238.0838424148251"/>
    <x v="1"/>
    <m/>
    <m/>
  </r>
  <r>
    <x v="0"/>
    <x v="46"/>
    <x v="65"/>
    <x v="2"/>
    <d v="1899-12-30T03:32:12"/>
    <n v="466.79503448816854"/>
    <d v="1899-12-30T00:13:00"/>
    <n v="37.982826356435368"/>
    <n v="10.545333299393192"/>
    <m/>
    <x v="5"/>
    <x v="1"/>
    <x v="0"/>
    <x v="2"/>
    <s v="-"/>
    <n v="779.89726309249716"/>
    <x v="1"/>
    <m/>
    <m/>
  </r>
  <r>
    <x v="0"/>
    <x v="46"/>
    <x v="65"/>
    <x v="0"/>
    <d v="1900-01-02T17:27:40"/>
    <n v="2580.4395781877815"/>
    <d v="1899-12-30T05:28:48"/>
    <n v="1926.668434382739"/>
    <n v="534.90913517929141"/>
    <m/>
    <x v="5"/>
    <x v="1"/>
    <x v="0"/>
    <x v="2"/>
    <s v="-"/>
    <n v="19727.749964779272"/>
    <x v="1"/>
    <m/>
    <m/>
  </r>
  <r>
    <x v="0"/>
    <x v="46"/>
    <x v="65"/>
    <x v="2"/>
    <d v="1899-12-30T17:29:39"/>
    <n v="38373.285219570163"/>
    <d v="1899-12-30T01:02:38"/>
    <n v="2953.3592971036201"/>
    <n v="840.36923148407595"/>
    <m/>
    <x v="5"/>
    <x v="1"/>
    <x v="0"/>
    <x v="2"/>
    <s v="-"/>
    <n v="3757.5873573910126"/>
    <x v="1"/>
    <m/>
    <m/>
  </r>
  <r>
    <x v="0"/>
    <x v="46"/>
    <x v="65"/>
    <x v="0"/>
    <d v="1900-01-02T20:29:50"/>
    <n v="62322.25958840079"/>
    <d v="1899-12-30T05:39:57"/>
    <n v="58561.939231142023"/>
    <n v="16258.799754815269"/>
    <m/>
    <x v="5"/>
    <x v="1"/>
    <x v="0"/>
    <x v="2"/>
    <s v="-"/>
    <n v="20397.265915580483"/>
    <x v="1"/>
    <m/>
    <m/>
  </r>
  <r>
    <x v="0"/>
    <x v="46"/>
    <x v="65"/>
    <x v="0"/>
    <d v="1900-01-03T04:57:50"/>
    <n v="62322.25958840079"/>
    <d v="1899-12-30T06:11:04"/>
    <n v="63922.36419214747"/>
    <n v="17747.037289055843"/>
    <m/>
    <x v="5"/>
    <x v="1"/>
    <x v="0"/>
    <x v="2"/>
    <s v="-"/>
    <n v="22264.314971428685"/>
    <x v="1"/>
    <m/>
    <m/>
  </r>
  <r>
    <x v="0"/>
    <x v="46"/>
    <x v="65"/>
    <x v="2"/>
    <d v="1900-01-01T22:38:46"/>
    <n v="274885.94150899496"/>
    <d v="1899-12-30T04:30:00"/>
    <n v="25294.796659581181"/>
    <n v="7154.8565896126411"/>
    <m/>
    <x v="5"/>
    <x v="1"/>
    <x v="0"/>
    <x v="2"/>
    <s v="-"/>
    <n v="16199.921025837228"/>
    <x v="1"/>
    <m/>
    <m/>
  </r>
  <r>
    <x v="0"/>
    <x v="46"/>
    <x v="65"/>
    <x v="0"/>
    <d v="1900-01-02T18:29:51"/>
    <n v="125310.26833462081"/>
    <d v="1899-12-30T05:32:36"/>
    <n v="128004.22380158545"/>
    <n v="35538.355967792144"/>
    <m/>
    <x v="5"/>
    <x v="1"/>
    <x v="0"/>
    <x v="2"/>
    <s v="-"/>
    <n v="19956.29196042788"/>
    <x v="1"/>
    <m/>
    <m/>
  </r>
  <r>
    <x v="0"/>
    <x v="46"/>
    <x v="65"/>
    <x v="0"/>
    <d v="1899-12-30T05:40:16"/>
    <n v="28.930156153983297"/>
    <d v="1899-12-30T00:19:38"/>
    <n v="7.8808575487394164"/>
    <n v="2.3220514401921823"/>
    <m/>
    <x v="5"/>
    <x v="1"/>
    <x v="0"/>
    <x v="2"/>
    <s v="-"/>
    <n v="1177.7213415961073"/>
    <x v="1"/>
    <m/>
    <m/>
  </r>
  <r>
    <x v="0"/>
    <x v="46"/>
    <x v="65"/>
    <x v="2"/>
    <d v="1900-01-01T11:45:27"/>
    <n v="4066.0125838323188"/>
    <d v="1899-12-30T03:39:38"/>
    <n v="189.85705723201912"/>
    <n v="52.71082064735284"/>
    <m/>
    <x v="5"/>
    <x v="1"/>
    <x v="0"/>
    <x v="2"/>
    <s v="-"/>
    <n v="13177.580782068775"/>
    <x v="1"/>
    <m/>
    <m/>
  </r>
  <r>
    <x v="0"/>
    <x v="46"/>
    <x v="65"/>
    <x v="0"/>
    <d v="1900-01-05T10:12:28"/>
    <n v="6308.8404812936487"/>
    <d v="1899-12-30T09:43:14"/>
    <n v="2733.9507703907502"/>
    <n v="778.2460763814787"/>
    <m/>
    <x v="5"/>
    <x v="1"/>
    <x v="0"/>
    <x v="2"/>
    <s v="-"/>
    <n v="34993.622100206812"/>
    <x v="1"/>
    <m/>
    <m/>
  </r>
  <r>
    <x v="0"/>
    <x v="46"/>
    <x v="65"/>
    <x v="2"/>
    <d v="1900-01-01T11:52:10"/>
    <n v="38334.876094394203"/>
    <d v="1899-12-30T03:40:02"/>
    <n v="1777.2228231589161"/>
    <n v="493.41791581352334"/>
    <m/>
    <x v="5"/>
    <x v="1"/>
    <x v="0"/>
    <x v="2"/>
    <s v="-"/>
    <n v="13202.266502853119"/>
    <x v="1"/>
    <m/>
    <m/>
  </r>
  <r>
    <x v="0"/>
    <x v="46"/>
    <x v="65"/>
    <x v="0"/>
    <d v="1900-01-05T10:05:28"/>
    <n v="26695.990404329867"/>
    <d v="1899-12-30T09:42:58"/>
    <n v="15266.229567601717"/>
    <n v="4305.5701766196171"/>
    <m/>
    <x v="5"/>
    <x v="1"/>
    <x v="0"/>
    <x v="2"/>
    <s v="-"/>
    <n v="34978.405926075204"/>
    <x v="1"/>
    <m/>
    <m/>
  </r>
  <r>
    <x v="0"/>
    <x v="46"/>
    <x v="65"/>
    <x v="2"/>
    <d v="1900-01-02T05:39:12"/>
    <n v="7317.0526444738744"/>
    <d v="1899-12-30T04:45:24"/>
    <n v="341.94767228714647"/>
    <n v="94.936383653521503"/>
    <m/>
    <x v="5"/>
    <x v="1"/>
    <x v="0"/>
    <x v="2"/>
    <s v="-"/>
    <n v="17123.927088598324"/>
    <x v="1"/>
    <m/>
    <m/>
  </r>
  <r>
    <x v="0"/>
    <x v="46"/>
    <x v="65"/>
    <x v="0"/>
    <d v="1900-01-04T06:25:23"/>
    <n v="2526.5669707812112"/>
    <d v="1899-12-30T06:58:49"/>
    <n v="1766.3655794179042"/>
    <n v="493.41008879197682"/>
    <m/>
    <x v="5"/>
    <x v="1"/>
    <x v="0"/>
    <x v="2"/>
    <s v="-"/>
    <n v="25128.982651973191"/>
    <x v="1"/>
    <m/>
    <m/>
  </r>
  <r>
    <x v="0"/>
    <x v="46"/>
    <x v="65"/>
    <x v="2"/>
    <d v="1900-01-02T05:56:56"/>
    <n v="76904.085648005974"/>
    <d v="1899-12-30T04:46:29"/>
    <n v="3586.3400683945765"/>
    <n v="995.69081540404488"/>
    <m/>
    <x v="5"/>
    <x v="1"/>
    <x v="0"/>
    <x v="2"/>
    <s v="-"/>
    <n v="17189.102291860218"/>
    <x v="1"/>
    <m/>
    <m/>
  </r>
  <r>
    <x v="0"/>
    <x v="46"/>
    <x v="65"/>
    <x v="0"/>
    <d v="1900-01-04T06:25:29"/>
    <n v="6547.8586761848956"/>
    <d v="1899-12-30T06:58:48"/>
    <n v="3339.71759958652"/>
    <n v="938.13613087385761"/>
    <m/>
    <x v="5"/>
    <x v="1"/>
    <x v="0"/>
    <x v="2"/>
    <s v="-"/>
    <n v="25128.348881247675"/>
    <x v="1"/>
    <m/>
    <m/>
  </r>
  <r>
    <x v="0"/>
    <x v="46"/>
    <x v="65"/>
    <x v="1"/>
    <d v="1899-12-30T04:00:00"/>
    <n v="277.84902580743795"/>
    <d v="1899-12-30T00:13:55"/>
    <n v="53.438479733247576"/>
    <n v="15.770867981085008"/>
    <m/>
    <x v="5"/>
    <x v="1"/>
    <x v="0"/>
    <x v="2"/>
    <s v="-"/>
    <n v="834.97776537413313"/>
    <x v="1"/>
    <m/>
    <m/>
  </r>
  <r>
    <x v="0"/>
    <x v="46"/>
    <x v="65"/>
    <x v="0"/>
    <d v="1900-01-04T06:00:00"/>
    <n v="51675.71937528401"/>
    <d v="1899-12-30T08:09:43"/>
    <n v="21840.159037947837"/>
    <n v="6143.0020414568298"/>
    <m/>
    <x v="5"/>
    <x v="1"/>
    <x v="0"/>
    <x v="2"/>
    <s v="-"/>
    <n v="29383.175124760292"/>
    <x v="1"/>
    <m/>
    <m/>
  </r>
  <r>
    <x v="0"/>
    <x v="46"/>
    <x v="65"/>
    <x v="1"/>
    <d v="1899-12-30T05:00:00"/>
    <n v="441.786323717904"/>
    <d v="1899-12-30T00:18:23"/>
    <n v="112.20077172274276"/>
    <n v="31.150776489411676"/>
    <m/>
    <x v="5"/>
    <x v="1"/>
    <x v="0"/>
    <x v="2"/>
    <s v="-"/>
    <n v="1102.5880251072062"/>
    <x v="1"/>
    <m/>
    <m/>
  </r>
  <r>
    <x v="0"/>
    <x v="46"/>
    <x v="65"/>
    <x v="0"/>
    <d v="1900-01-03T00:30:00"/>
    <n v="398984.85078633169"/>
    <d v="1899-12-30T06:03:05"/>
    <n v="213561.26311343204"/>
    <n v="59528.661800457623"/>
    <m/>
    <x v="5"/>
    <x v="1"/>
    <x v="0"/>
    <x v="2"/>
    <s v="-"/>
    <n v="21784.684986578988"/>
    <x v="1"/>
    <m/>
    <m/>
  </r>
  <r>
    <x v="0"/>
    <x v="46"/>
    <x v="65"/>
    <x v="1"/>
    <d v="1899-12-30T12:00:00"/>
    <n v="8136.643030984761"/>
    <d v="1899-12-30T00:40:50"/>
    <n v="2295.4974336330706"/>
    <n v="667.95870346579829"/>
    <m/>
    <x v="5"/>
    <x v="1"/>
    <x v="0"/>
    <x v="2"/>
    <s v="-"/>
    <n v="2449.5778079225038"/>
    <x v="1"/>
    <m/>
    <m/>
  </r>
  <r>
    <x v="0"/>
    <x v="46"/>
    <x v="65"/>
    <x v="0"/>
    <d v="1899-12-30T20:00:00"/>
    <n v="73221.322340922794"/>
    <d v="1899-12-30T01:13:30"/>
    <n v="37192.137611109749"/>
    <n v="10325.811026951107"/>
    <m/>
    <x v="5"/>
    <x v="1"/>
    <x v="0"/>
    <x v="2"/>
    <s v="-"/>
    <n v="4410.3521004288268"/>
    <x v="1"/>
    <m/>
    <m/>
  </r>
  <r>
    <x v="0"/>
    <x v="46"/>
    <x v="65"/>
    <x v="1"/>
    <d v="1899-12-30T21:30:00"/>
    <n v="18674.672739719244"/>
    <d v="1899-12-30T01:19:17"/>
    <n v="5025.7021784619883"/>
    <n v="1437.1467364388157"/>
    <m/>
    <x v="5"/>
    <x v="1"/>
    <x v="0"/>
    <x v="2"/>
    <s v="-"/>
    <n v="4757.4760811673659"/>
    <x v="1"/>
    <m/>
    <m/>
  </r>
  <r>
    <x v="0"/>
    <x v="46"/>
    <x v="65"/>
    <x v="2"/>
    <d v="1899-12-30T00:30:00"/>
    <n v="1542.6674982187001"/>
    <d v="1899-12-30T00:01:35"/>
    <n v="67.849944766003077"/>
    <n v="20.356754147871651"/>
    <m/>
    <x v="5"/>
    <x v="1"/>
    <x v="0"/>
    <x v="2"/>
    <s v="-"/>
    <n v="95.472186287192713"/>
    <x v="1"/>
    <m/>
    <m/>
  </r>
  <r>
    <x v="0"/>
    <x v="46"/>
    <x v="65"/>
    <x v="0"/>
    <d v="1900-01-01T07:45:00"/>
    <n v="240510.63709842207"/>
    <d v="1899-12-30T03:39:25"/>
    <n v="118706.66888181427"/>
    <n v="33645.137734877826"/>
    <m/>
    <x v="5"/>
    <x v="1"/>
    <x v="0"/>
    <x v="2"/>
    <s v="-"/>
    <n v="13164.804178552411"/>
    <x v="1"/>
    <m/>
    <m/>
  </r>
  <r>
    <x v="0"/>
    <x v="46"/>
    <x v="65"/>
    <x v="1"/>
    <d v="1899-12-30T20:20:00"/>
    <n v="14239.125304223333"/>
    <d v="1899-12-30T01:24:57"/>
    <n v="4775.9887432110054"/>
    <n v="1373.7102902184113"/>
    <m/>
    <x v="5"/>
    <x v="1"/>
    <x v="0"/>
    <x v="2"/>
    <s v="-"/>
    <n v="5096.5668115521185"/>
    <x v="1"/>
    <m/>
    <m/>
  </r>
  <r>
    <x v="0"/>
    <x v="46"/>
    <x v="65"/>
    <x v="0"/>
    <d v="1899-12-31T19:30:00"/>
    <n v="203899.97592796068"/>
    <d v="1899-12-30T02:47:24"/>
    <n v="93174.879989998866"/>
    <n v="26168.527406897436"/>
    <m/>
    <x v="5"/>
    <x v="1"/>
    <x v="0"/>
    <x v="2"/>
    <s v="-"/>
    <n v="10044.420132755924"/>
    <x v="1"/>
    <m/>
    <m/>
  </r>
  <r>
    <x v="0"/>
    <x v="46"/>
    <x v="65"/>
    <x v="1"/>
    <d v="1899-12-30T08:30:00"/>
    <n v="8136.643030984761"/>
    <d v="1899-12-30T00:33:15"/>
    <n v="1869.129235191205"/>
    <n v="531.63035413970579"/>
    <m/>
    <x v="5"/>
    <x v="1"/>
    <x v="0"/>
    <x v="2"/>
    <s v="-"/>
    <n v="1994.5905526093527"/>
    <x v="1"/>
    <m/>
    <m/>
  </r>
  <r>
    <x v="0"/>
    <x v="46"/>
    <x v="65"/>
    <x v="2"/>
    <d v="1899-12-30T22:59:04"/>
    <n v="367537.99163674371"/>
    <d v="1899-12-30T01:45:17"/>
    <n v="29871.905357706597"/>
    <n v="8511.0278303232844"/>
    <m/>
    <x v="5"/>
    <x v="1"/>
    <x v="0"/>
    <x v="2"/>
    <s v="-"/>
    <n v="6316.8084678667092"/>
    <x v="1"/>
    <m/>
    <m/>
  </r>
  <r>
    <x v="0"/>
    <x v="46"/>
    <x v="65"/>
    <x v="0"/>
    <d v="1900-01-05T04:24:42"/>
    <n v="2888963.388704509"/>
    <d v="1899-12-30T12:10:31"/>
    <n v="808888.05772777903"/>
    <n v="229230.07529525194"/>
    <m/>
    <x v="5"/>
    <x v="1"/>
    <x v="0"/>
    <x v="2"/>
    <s v="-"/>
    <n v="43830.978835789319"/>
    <x v="1"/>
    <m/>
    <m/>
  </r>
  <r>
    <x v="0"/>
    <x v="46"/>
    <x v="65"/>
    <x v="1"/>
    <d v="1899-12-31T14:50:07"/>
    <n v="258886.63249767094"/>
    <d v="1899-12-30T02:55:32"/>
    <n v="45961.369092027162"/>
    <n v="13316.85887353713"/>
    <m/>
    <x v="5"/>
    <x v="1"/>
    <x v="0"/>
    <x v="2"/>
    <s v="-"/>
    <n v="10531.856375408499"/>
    <x v="1"/>
    <m/>
    <m/>
  </r>
  <r>
    <x v="0"/>
    <x v="46"/>
    <x v="65"/>
    <x v="2"/>
    <d v="1899-12-30T20:07:21"/>
    <n v="235471.40684868852"/>
    <d v="1899-12-30T01:34:58"/>
    <n v="20606.948737925075"/>
    <n v="5895.3182245241796"/>
    <m/>
    <x v="5"/>
    <x v="1"/>
    <x v="0"/>
    <x v="2"/>
    <s v="-"/>
    <n v="5698.1850807704077"/>
    <x v="1"/>
    <m/>
    <m/>
  </r>
  <r>
    <x v="0"/>
    <x v="46"/>
    <x v="65"/>
    <x v="0"/>
    <d v="1900-01-02T01:06:04"/>
    <n v="1332446.0026258279"/>
    <d v="1899-12-30T06:02:35"/>
    <n v="342867.95619895647"/>
    <n v="102878.17304051705"/>
    <m/>
    <x v="5"/>
    <x v="1"/>
    <x v="0"/>
    <x v="2"/>
    <s v="-"/>
    <n v="21754.717327620147"/>
    <x v="1"/>
    <m/>
    <m/>
  </r>
  <r>
    <x v="0"/>
    <x v="46"/>
    <x v="65"/>
    <x v="1"/>
    <d v="1900-01-01T10:01:52"/>
    <n v="291353.3157066998"/>
    <d v="1899-12-30T04:21:43"/>
    <n v="51353.974694172481"/>
    <n v="14563.683334712434"/>
    <m/>
    <x v="5"/>
    <x v="1"/>
    <x v="0"/>
    <x v="2"/>
    <s v="-"/>
    <n v="15702.62133605794"/>
    <x v="1"/>
    <m/>
    <m/>
  </r>
  <r>
    <x v="0"/>
    <x v="46"/>
    <x v="65"/>
    <x v="2"/>
    <d v="1899-12-30T00:30:00"/>
    <n v="985.91101895153599"/>
    <d v="1899-12-30T00:01:10"/>
    <n v="32.019313114402536"/>
    <n v="9.8253183450331036"/>
    <m/>
    <x v="5"/>
    <x v="1"/>
    <x v="0"/>
    <x v="2"/>
    <s v="-"/>
    <n v="70.497544397704047"/>
    <x v="1"/>
    <m/>
    <m/>
  </r>
  <r>
    <x v="0"/>
    <x v="46"/>
    <x v="65"/>
    <x v="0"/>
    <d v="1899-12-30T04:25:00"/>
    <n v="14011.464069467871"/>
    <d v="1899-12-30T00:09:33"/>
    <n v="1794.4898044526283"/>
    <n v="448.10661749115269"/>
    <m/>
    <x v="5"/>
    <x v="1"/>
    <x v="0"/>
    <x v="2"/>
    <s v="-"/>
    <n v="573.27661004577851"/>
    <x v="1"/>
    <m/>
    <m/>
  </r>
  <r>
    <x v="0"/>
    <x v="46"/>
    <x v="65"/>
    <x v="1"/>
    <d v="1899-12-30T04:00:00"/>
    <n v="2600.1066361302201"/>
    <d v="1899-12-30T00:08:32"/>
    <n v="306.9222406513598"/>
    <n v="77.086169392883235"/>
    <m/>
    <x v="5"/>
    <x v="1"/>
    <x v="0"/>
    <x v="2"/>
    <s v="-"/>
    <n v="512.46816893099992"/>
    <x v="1"/>
    <m/>
    <m/>
  </r>
  <r>
    <x v="0"/>
    <x v="46"/>
    <x v="65"/>
    <x v="2"/>
    <d v="1900-01-02T00:34:00"/>
    <n v="163566.13302953503"/>
    <d v="1899-12-30T05:53:49"/>
    <n v="11350.313349335569"/>
    <n v="3193.9442243859203"/>
    <m/>
    <x v="5"/>
    <x v="1"/>
    <x v="0"/>
    <x v="2"/>
    <s v="-"/>
    <n v="21229.157249770196"/>
    <x v="1"/>
    <m/>
    <m/>
  </r>
  <r>
    <x v="0"/>
    <x v="46"/>
    <x v="65"/>
    <x v="0"/>
    <d v="1900-01-03T12:53:00"/>
    <n v="410416.21981563035"/>
    <d v="1899-12-30T08:55:34"/>
    <n v="115050.43776026162"/>
    <n v="32169.459998414608"/>
    <m/>
    <x v="5"/>
    <x v="1"/>
    <x v="0"/>
    <x v="2"/>
    <s v="-"/>
    <n v="32134.307753432066"/>
    <x v="1"/>
    <m/>
    <m/>
  </r>
  <r>
    <x v="0"/>
    <x v="46"/>
    <x v="65"/>
    <x v="1"/>
    <d v="1900-01-05T04:37:00"/>
    <n v="90211.874218215205"/>
    <d v="1899-12-30T12:15:56"/>
    <n v="26893.490622179514"/>
    <n v="7571.7329977194167"/>
    <m/>
    <x v="5"/>
    <x v="1"/>
    <x v="0"/>
    <x v="2"/>
    <s v="-"/>
    <n v="44155.552592582819"/>
    <x v="1"/>
    <m/>
    <m/>
  </r>
  <r>
    <x v="0"/>
    <x v="46"/>
    <x v="65"/>
    <x v="2"/>
    <d v="1899-12-30T23:00:00"/>
    <n v="46249.630466520852"/>
    <d v="1899-12-30T02:08:11"/>
    <n v="3536.9904626748607"/>
    <n v="1036.5799483478138"/>
    <m/>
    <x v="5"/>
    <x v="1"/>
    <x v="0"/>
    <x v="2"/>
    <s v="-"/>
    <n v="7690.6750124046384"/>
    <x v="1"/>
    <m/>
    <m/>
  </r>
  <r>
    <x v="0"/>
    <x v="46"/>
    <x v="65"/>
    <x v="0"/>
    <d v="1900-01-02T06:45:00"/>
    <n v="312861.07902352221"/>
    <d v="1899-12-30T07:23:38"/>
    <n v="94174.659089347086"/>
    <n v="29138.032208763543"/>
    <m/>
    <x v="5"/>
    <x v="1"/>
    <x v="0"/>
    <x v="2"/>
    <s v="-"/>
    <n v="26618.498137860501"/>
    <x v="1"/>
    <m/>
    <m/>
  </r>
  <r>
    <x v="0"/>
    <x v="46"/>
    <x v="65"/>
    <x v="1"/>
    <d v="1900-01-02T21:11:00"/>
    <n v="54602.239358734652"/>
    <d v="1899-12-30T08:18:16"/>
    <n v="17905.096874081624"/>
    <n v="5495.4690827215882"/>
    <m/>
    <x v="5"/>
    <x v="1"/>
    <x v="0"/>
    <x v="2"/>
    <s v="-"/>
    <n v="29896.146301159653"/>
    <x v="1"/>
    <m/>
    <m/>
  </r>
  <r>
    <x v="0"/>
    <x v="46"/>
    <x v="65"/>
    <x v="2"/>
    <d v="1899-12-30T01:00:00"/>
    <n v="985.91101895153599"/>
    <d v="1899-12-30T00:06:39"/>
    <n v="181.06033815831037"/>
    <n v="55.999760307435963"/>
    <m/>
    <x v="5"/>
    <x v="1"/>
    <x v="0"/>
    <x v="2"/>
    <s v="-"/>
    <n v="398.64406779661067"/>
    <x v="1"/>
    <m/>
    <m/>
  </r>
  <r>
    <x v="0"/>
    <x v="46"/>
    <x v="65"/>
    <x v="0"/>
    <d v="1900-01-01T15:15:00"/>
    <n v="235763.41224926666"/>
    <d v="1899-12-30T03:49:07"/>
    <n v="49987.267877609418"/>
    <n v="14766.003431645197"/>
    <m/>
    <x v="5"/>
    <x v="1"/>
    <x v="0"/>
    <x v="2"/>
    <s v="-"/>
    <n v="13746.765315320001"/>
    <x v="1"/>
    <m/>
    <m/>
  </r>
  <r>
    <x v="0"/>
    <x v="46"/>
    <x v="65"/>
    <x v="1"/>
    <d v="1900-01-01T09:40:00"/>
    <n v="35101.439587757988"/>
    <d v="1899-12-30T04:03:50"/>
    <n v="8761.9002726782128"/>
    <n v="2554.8542288111266"/>
    <m/>
    <x v="5"/>
    <x v="1"/>
    <x v="0"/>
    <x v="2"/>
    <s v="-"/>
    <n v="14629.747846119604"/>
    <x v="1"/>
    <m/>
    <m/>
  </r>
  <r>
    <x v="0"/>
    <x v="46"/>
    <x v="65"/>
    <x v="2"/>
    <d v="1899-12-30T02:29:57"/>
    <n v="860.25361854523908"/>
    <d v="1899-12-30T00:11:22"/>
    <n v="92.561878451266182"/>
    <n v="26.836247062509418"/>
    <m/>
    <x v="5"/>
    <x v="1"/>
    <x v="0"/>
    <x v="2"/>
    <s v="-"/>
    <n v="682.26637671998799"/>
    <x v="1"/>
    <m/>
    <m/>
  </r>
  <r>
    <x v="0"/>
    <x v="46"/>
    <x v="65"/>
    <x v="0"/>
    <d v="1900-01-02T23:13:51"/>
    <n v="24319.940470402544"/>
    <d v="1899-12-30T06:07:10"/>
    <n v="10284.276405582023"/>
    <n v="2863.6582691022327"/>
    <m/>
    <x v="5"/>
    <x v="1"/>
    <x v="0"/>
    <x v="2"/>
    <s v="-"/>
    <n v="22030.389405023081"/>
    <x v="1"/>
    <m/>
    <m/>
  </r>
  <r>
    <x v="0"/>
    <x v="46"/>
    <x v="65"/>
    <x v="1"/>
    <d v="1900-01-02T18:54:56"/>
    <n v="9629.4170413724751"/>
    <d v="1899-12-30T06:10:14"/>
    <n v="3221.5254455613444"/>
    <n v="906.28643153620112"/>
    <m/>
    <x v="5"/>
    <x v="1"/>
    <x v="0"/>
    <x v="2"/>
    <s v="-"/>
    <n v="22213.904814041143"/>
    <x v="1"/>
    <m/>
    <m/>
  </r>
  <r>
    <x v="0"/>
    <x v="46"/>
    <x v="65"/>
    <x v="1"/>
    <d v="1899-12-30T10:00:00"/>
    <n v="1003.5155217129641"/>
    <d v="1899-12-30T00:32:47"/>
    <n v="227.31025523448398"/>
    <n v="63.718749678944562"/>
    <m/>
    <x v="5"/>
    <x v="1"/>
    <x v="0"/>
    <x v="2"/>
    <s v="-"/>
    <n v="1966.7747578750793"/>
    <x v="1"/>
    <m/>
    <m/>
  </r>
  <r>
    <x v="0"/>
    <x v="46"/>
    <x v="65"/>
    <x v="2"/>
    <d v="1900-01-01T09:38:37"/>
    <n v="34125.686193633039"/>
    <d v="1899-12-30T03:42:48"/>
    <n v="2957.4963439116327"/>
    <n v="838.83688288229484"/>
    <m/>
    <x v="5"/>
    <x v="1"/>
    <x v="0"/>
    <x v="2"/>
    <s v="-"/>
    <n v="13368.101618073561"/>
    <x v="1"/>
    <m/>
    <m/>
  </r>
  <r>
    <x v="0"/>
    <x v="46"/>
    <x v="65"/>
    <x v="0"/>
    <d v="1900-01-01T16:27:57"/>
    <n v="20083.872654105136"/>
    <d v="1899-12-30T03:56:56"/>
    <n v="12664.268964723478"/>
    <n v="3516.0347461489855"/>
    <m/>
    <x v="5"/>
    <x v="1"/>
    <x v="0"/>
    <x v="2"/>
    <s v="-"/>
    <n v="14215.851172378063"/>
    <x v="1"/>
    <m/>
    <m/>
  </r>
  <r>
    <x v="0"/>
    <x v="46"/>
    <x v="65"/>
    <x v="2"/>
    <d v="1899-12-31T01:55:00"/>
    <n v="4598.2840023935796"/>
    <d v="1899-12-30T01:32:09"/>
    <n v="411.37118188246899"/>
    <n v="116.5276749561019"/>
    <m/>
    <x v="5"/>
    <x v="1"/>
    <x v="0"/>
    <x v="2"/>
    <s v="-"/>
    <n v="5528.9221188947777"/>
    <x v="1"/>
    <m/>
    <m/>
  </r>
  <r>
    <x v="0"/>
    <x v="46"/>
    <x v="65"/>
    <x v="0"/>
    <d v="1900-01-01T01:10:00"/>
    <n v="4562.3714810400907"/>
    <d v="1899-12-30T03:00:42"/>
    <n v="3576.4518651935859"/>
    <n v="992.94551157888861"/>
    <m/>
    <x v="5"/>
    <x v="1"/>
    <x v="0"/>
    <x v="2"/>
    <s v="-"/>
    <n v="10842.115580220861"/>
    <x v="1"/>
    <m/>
    <m/>
  </r>
  <r>
    <x v="0"/>
    <x v="46"/>
    <x v="65"/>
    <x v="0"/>
    <d v="1900-01-01T13:00:00"/>
    <n v="4836.1379702551349"/>
    <d v="1899-12-30T03:44:12"/>
    <n v="4702.580563431623"/>
    <n v="1305.5974019224793"/>
    <m/>
    <x v="5"/>
    <x v="1"/>
    <x v="0"/>
    <x v="2"/>
    <s v="-"/>
    <n v="13451.573906307916"/>
    <x v="1"/>
    <m/>
    <m/>
  </r>
  <r>
    <x v="0"/>
    <x v="46"/>
    <x v="65"/>
    <x v="2"/>
    <d v="1899-12-30T21:08:32"/>
    <n v="59487.799791550264"/>
    <d v="1899-12-30T01:31:43"/>
    <n v="5657.299272812038"/>
    <n v="1609.4882968974114"/>
    <m/>
    <x v="5"/>
    <x v="1"/>
    <x v="0"/>
    <x v="2"/>
    <s v="-"/>
    <n v="5503.1984761271888"/>
    <x v="1"/>
    <m/>
    <m/>
  </r>
  <r>
    <x v="0"/>
    <x v="46"/>
    <x v="65"/>
    <x v="0"/>
    <d v="1900-01-05T09:50:58"/>
    <n v="670995.29067432531"/>
    <d v="1899-12-30T12:14:35"/>
    <n v="186914.0062278322"/>
    <n v="53389.431850791814"/>
    <m/>
    <x v="5"/>
    <x v="1"/>
    <x v="0"/>
    <x v="2"/>
    <s v="-"/>
    <n v="44074.73444897485"/>
    <x v="1"/>
    <m/>
    <m/>
  </r>
  <r>
    <x v="0"/>
    <x v="46"/>
    <x v="65"/>
    <x v="1"/>
    <d v="1899-12-31T16:43:41"/>
    <n v="52616.686035810664"/>
    <d v="1899-12-30T03:04:17"/>
    <n v="9625.1489031470483"/>
    <n v="2783.3646491656327"/>
    <m/>
    <x v="5"/>
    <x v="1"/>
    <x v="0"/>
    <x v="2"/>
    <s v="-"/>
    <n v="11057.422176072459"/>
    <x v="1"/>
    <m/>
    <m/>
  </r>
  <r>
    <x v="0"/>
    <x v="46"/>
    <x v="65"/>
    <x v="2"/>
    <d v="1899-12-30T18:27:57"/>
    <n v="30246.851505824685"/>
    <d v="1899-12-30T01:24:54"/>
    <n v="3350.0464658672668"/>
    <n v="962.20077394423492"/>
    <m/>
    <x v="5"/>
    <x v="1"/>
    <x v="0"/>
    <x v="2"/>
    <s v="-"/>
    <n v="5094.1343198722861"/>
    <x v="1"/>
    <m/>
    <m/>
  </r>
  <r>
    <x v="0"/>
    <x v="46"/>
    <x v="65"/>
    <x v="0"/>
    <d v="1900-01-02T09:48:12"/>
    <n v="313723.70552253991"/>
    <d v="1899-12-30T06:55:59"/>
    <n v="123538.66014746478"/>
    <n v="36630.681500289342"/>
    <m/>
    <x v="5"/>
    <x v="1"/>
    <x v="0"/>
    <x v="2"/>
    <s v="-"/>
    <n v="24958.643691762314"/>
    <x v="1"/>
    <m/>
    <m/>
  </r>
  <r>
    <x v="0"/>
    <x v="46"/>
    <x v="65"/>
    <x v="1"/>
    <d v="1900-01-01T11:16:12"/>
    <n v="77228.398800486844"/>
    <d v="1899-12-30T04:20:35"/>
    <n v="13095.727149764292"/>
    <n v="3677.3579388477024"/>
    <m/>
    <x v="5"/>
    <x v="1"/>
    <x v="0"/>
    <x v="2"/>
    <s v="-"/>
    <n v="15635.232463489108"/>
    <x v="1"/>
    <m/>
    <m/>
  </r>
  <r>
    <x v="0"/>
    <x v="46"/>
    <x v="65"/>
    <x v="2"/>
    <d v="1899-12-30T20:42:11"/>
    <n v="42841.44884299962"/>
    <d v="1899-12-30T01:34:43"/>
    <n v="4090.010698610809"/>
    <n v="1163.1602824082199"/>
    <m/>
    <x v="5"/>
    <x v="1"/>
    <x v="0"/>
    <x v="2"/>
    <s v="-"/>
    <n v="5682.7261933210193"/>
    <x v="1"/>
    <m/>
    <m/>
  </r>
  <r>
    <x v="0"/>
    <x v="46"/>
    <x v="65"/>
    <x v="0"/>
    <d v="1900-01-05T06:41:35"/>
    <n v="384451.88476170821"/>
    <d v="1899-12-30T12:20:24"/>
    <n v="110914.88489974364"/>
    <n v="31540.736519859245"/>
    <m/>
    <x v="5"/>
    <x v="1"/>
    <x v="0"/>
    <x v="2"/>
    <s v="-"/>
    <n v="44424.370801664925"/>
    <x v="1"/>
    <m/>
    <m/>
  </r>
  <r>
    <x v="0"/>
    <x v="46"/>
    <x v="65"/>
    <x v="1"/>
    <d v="1899-12-31T14:50:07"/>
    <n v="37026.0388736983"/>
    <d v="1899-12-30T02:55:32"/>
    <n v="6368.4015170697276"/>
    <n v="1810.8877595626977"/>
    <m/>
    <x v="5"/>
    <x v="1"/>
    <x v="0"/>
    <x v="2"/>
    <s v="-"/>
    <n v="10531.856375408499"/>
    <x v="1"/>
    <m/>
    <m/>
  </r>
  <r>
    <x v="0"/>
    <x v="46"/>
    <x v="65"/>
    <x v="2"/>
    <d v="1899-12-30T18:47:44"/>
    <n v="42330.481388368062"/>
    <d v="1899-12-30T01:29:25"/>
    <n v="4903.4032709741996"/>
    <n v="1459.1034711260102"/>
    <m/>
    <x v="5"/>
    <x v="1"/>
    <x v="0"/>
    <x v="2"/>
    <s v="-"/>
    <n v="5365.0384598606106"/>
    <x v="1"/>
    <m/>
    <m/>
  </r>
  <r>
    <x v="0"/>
    <x v="46"/>
    <x v="65"/>
    <x v="0"/>
    <d v="1900-01-02T02:25:41"/>
    <n v="293656.28319107858"/>
    <d v="1899-12-30T06:08:08"/>
    <n v="77670.505300823177"/>
    <n v="22834.585153952768"/>
    <m/>
    <x v="5"/>
    <x v="1"/>
    <x v="0"/>
    <x v="2"/>
    <s v="-"/>
    <n v="22087.863948529946"/>
    <x v="1"/>
    <m/>
    <m/>
  </r>
  <r>
    <x v="0"/>
    <x v="46"/>
    <x v="65"/>
    <x v="1"/>
    <d v="1900-01-01T10:01:52"/>
    <n v="71489.395179541636"/>
    <d v="1899-12-30T04:21:43"/>
    <n v="13489.924088736054"/>
    <n v="3838.3161519326936"/>
    <m/>
    <x v="5"/>
    <x v="1"/>
    <x v="0"/>
    <x v="2"/>
    <s v="-"/>
    <n v="15702.621336057931"/>
    <x v="1"/>
    <m/>
    <m/>
  </r>
  <r>
    <x v="0"/>
    <x v="46"/>
    <x v="65"/>
    <x v="0"/>
    <d v="1899-12-30T02:00:00"/>
    <n v="70641.117643321093"/>
    <d v="1899-12-30T00:06:22"/>
    <n v="12427.813344981972"/>
    <n v="3728.668339111156"/>
    <m/>
    <x v="5"/>
    <x v="1"/>
    <x v="0"/>
    <x v="2"/>
    <s v="-"/>
    <n v="381.88874514877085"/>
    <x v="1"/>
    <m/>
    <m/>
  </r>
  <r>
    <x v="0"/>
    <x v="46"/>
    <x v="65"/>
    <x v="2"/>
    <d v="1900-01-01T19:40:00"/>
    <n v="6981.2684082517235"/>
    <d v="1899-12-30T04:23:29"/>
    <n v="599.71761756327135"/>
    <n v="168.63176228639961"/>
    <m/>
    <x v="5"/>
    <x v="1"/>
    <x v="0"/>
    <x v="2"/>
    <s v="-"/>
    <n v="15808.815724893862"/>
    <x v="1"/>
    <m/>
    <m/>
  </r>
  <r>
    <x v="0"/>
    <x v="46"/>
    <x v="65"/>
    <x v="0"/>
    <d v="1900-01-03T15:30:00"/>
    <n v="3916.6895328263877"/>
    <d v="1899-12-30T06:49:48"/>
    <n v="3697.0586194912162"/>
    <n v="1026.4300766897479"/>
    <m/>
    <x v="5"/>
    <x v="1"/>
    <x v="0"/>
    <x v="2"/>
    <s v="-"/>
    <n v="24587.712959890701"/>
    <x v="1"/>
    <m/>
    <m/>
  </r>
  <r>
    <x v="0"/>
    <x v="46"/>
    <x v="65"/>
    <x v="2"/>
    <d v="1899-12-30T18:55:00"/>
    <n v="1373.4603612875821"/>
    <d v="1899-12-30T01:06:22"/>
    <n v="104.89097479167673"/>
    <n v="29.837222449706136"/>
    <m/>
    <x v="5"/>
    <x v="1"/>
    <x v="0"/>
    <x v="2"/>
    <s v="-"/>
    <n v="3981.8765897427488"/>
    <x v="1"/>
    <m/>
    <m/>
  </r>
  <r>
    <x v="0"/>
    <x v="46"/>
    <x v="65"/>
    <x v="0"/>
    <d v="1900-01-02T05:30:00"/>
    <n v="1582.1110428165682"/>
    <d v="1899-12-30T04:44:50"/>
    <n v="1557.0130239369132"/>
    <n v="432.28013457531796"/>
    <m/>
    <x v="5"/>
    <x v="1"/>
    <x v="0"/>
    <x v="2"/>
    <s v="-"/>
    <n v="17090.114389161696"/>
    <x v="1"/>
    <m/>
    <m/>
  </r>
  <r>
    <x v="0"/>
    <x v="46"/>
    <x v="65"/>
    <x v="0"/>
    <d v="1900-01-02T01:00:00"/>
    <n v="1186.5832821124261"/>
    <d v="1899-12-30T04:28:18"/>
    <n v="1466.6058160954151"/>
    <n v="407.17999772900919"/>
    <m/>
    <x v="5"/>
    <x v="1"/>
    <x v="0"/>
    <x v="2"/>
    <s v="-"/>
    <n v="16097.785166565211"/>
    <x v="1"/>
    <m/>
    <m/>
  </r>
  <r>
    <x v="0"/>
    <x v="46"/>
    <x v="65"/>
    <x v="2"/>
    <d v="1899-12-30T06:51:17"/>
    <n v="1576.392584499139"/>
    <d v="1899-12-30T00:25:12"/>
    <n v="104.55605390369087"/>
    <n v="29.028341033313666"/>
    <m/>
    <x v="5"/>
    <x v="1"/>
    <x v="0"/>
    <x v="2"/>
    <s v="-"/>
    <n v="1511.5869275316961"/>
    <x v="1"/>
    <m/>
    <m/>
  </r>
  <r>
    <x v="0"/>
    <x v="46"/>
    <x v="65"/>
    <x v="0"/>
    <d v="1900-01-05T00:22:38"/>
    <n v="10179.594441050815"/>
    <d v="1899-12-30T08:50:38"/>
    <n v="6462.7285014220188"/>
    <n v="1794.2747448923385"/>
    <m/>
    <x v="5"/>
    <x v="1"/>
    <x v="0"/>
    <x v="2"/>
    <s v="-"/>
    <n v="31837.719264092855"/>
    <x v="1"/>
    <m/>
    <m/>
  </r>
  <r>
    <x v="0"/>
    <x v="46"/>
    <x v="65"/>
    <x v="1"/>
    <d v="1899-12-30T04:06:12"/>
    <n v="8.356944351450581"/>
    <d v="1899-12-30T00:15:05"/>
    <n v="3.4835967476408127"/>
    <n v="0.96716575116928893"/>
    <m/>
    <x v="5"/>
    <x v="1"/>
    <x v="0"/>
    <x v="2"/>
    <s v="-"/>
    <n v="904.85723927131403"/>
    <x v="1"/>
    <m/>
    <m/>
  </r>
  <r>
    <x v="0"/>
    <x v="46"/>
    <x v="65"/>
    <x v="0"/>
    <d v="1899-12-30T03:50:37"/>
    <n v="13.500057583942001"/>
    <d v="1899-12-30T00:14:08"/>
    <n v="5.271310870975868"/>
    <n v="1.4634964111810231"/>
    <m/>
    <x v="5"/>
    <x v="1"/>
    <x v="0"/>
    <x v="2"/>
    <s v="-"/>
    <n v="847.58391685602317"/>
    <x v="1"/>
    <m/>
    <m/>
  </r>
  <r>
    <x v="0"/>
    <x v="46"/>
    <x v="65"/>
    <x v="2"/>
    <d v="1899-12-31T14:06:53"/>
    <n v="54718.713365027557"/>
    <d v="1899-12-30T02:20:05"/>
    <n v="3309.2719023701452"/>
    <n v="918.7672044552188"/>
    <m/>
    <x v="5"/>
    <x v="1"/>
    <x v="0"/>
    <x v="2"/>
    <s v="-"/>
    <n v="8404.9672605019514"/>
    <x v="1"/>
    <m/>
    <m/>
  </r>
  <r>
    <x v="0"/>
    <x v="46"/>
    <x v="65"/>
    <x v="0"/>
    <d v="1900-01-06T14:51:22"/>
    <n v="53437.911610690062"/>
    <d v="1899-12-30T11:12:03"/>
    <n v="35889.397872058507"/>
    <n v="9964.1258637212195"/>
    <m/>
    <x v="5"/>
    <x v="1"/>
    <x v="0"/>
    <x v="2"/>
    <s v="-"/>
    <n v="40322.991685756766"/>
    <x v="1"/>
    <m/>
    <m/>
  </r>
  <r>
    <x v="0"/>
    <x v="46"/>
    <x v="65"/>
    <x v="1"/>
    <d v="1900-01-05T04:25:06"/>
    <n v="38327.163944253771"/>
    <d v="1899-12-30T09:05:29"/>
    <n v="11502.421563927248"/>
    <n v="3193.4661208061775"/>
    <m/>
    <x v="5"/>
    <x v="1"/>
    <x v="0"/>
    <x v="2"/>
    <s v="-"/>
    <n v="32728.855407940624"/>
    <x v="1"/>
    <m/>
    <m/>
  </r>
  <r>
    <x v="0"/>
    <x v="46"/>
    <x v="65"/>
    <x v="0"/>
    <d v="1900-01-01T10:09:48"/>
    <n v="1969.9063617384784"/>
    <d v="1899-12-30T03:33:46"/>
    <n v="1827.4489110104894"/>
    <n v="507.3623977683186"/>
    <m/>
    <x v="5"/>
    <x v="1"/>
    <x v="0"/>
    <x v="2"/>
    <s v="-"/>
    <n v="12826.03896673043"/>
    <x v="1"/>
    <m/>
    <m/>
  </r>
  <r>
    <x v="0"/>
    <x v="46"/>
    <x v="65"/>
    <x v="1"/>
    <d v="1899-12-30T05:24:49"/>
    <n v="14.326190316772401"/>
    <d v="1899-12-30T00:19:54"/>
    <n v="7.8788229099189442"/>
    <n v="2.187431046134177"/>
    <m/>
    <x v="5"/>
    <x v="1"/>
    <x v="0"/>
    <x v="2"/>
    <s v="-"/>
    <n v="1193.7965567396859"/>
    <x v="1"/>
    <m/>
    <m/>
  </r>
  <r>
    <x v="0"/>
    <x v="46"/>
    <x v="65"/>
    <x v="2"/>
    <d v="1899-12-30T03:00:09"/>
    <n v="1448.9918206106977"/>
    <d v="1899-12-30T00:11:02"/>
    <n v="68.60433422538415"/>
    <n v="19.046912501998928"/>
    <m/>
    <x v="5"/>
    <x v="1"/>
    <x v="0"/>
    <x v="2"/>
    <s v="-"/>
    <n v="662.10410907687742"/>
    <x v="1"/>
    <m/>
    <m/>
  </r>
  <r>
    <x v="0"/>
    <x v="46"/>
    <x v="65"/>
    <x v="1"/>
    <d v="1899-12-30T06:02:17"/>
    <n v="213.0168060196286"/>
    <d v="1899-12-30T00:22:11"/>
    <n v="66.647411138202472"/>
    <n v="18.503603639147233"/>
    <m/>
    <x v="5"/>
    <x v="1"/>
    <x v="0"/>
    <x v="2"/>
    <s v="-"/>
    <n v="1331.4975500975193"/>
    <x v="1"/>
    <m/>
    <m/>
  </r>
  <r>
    <x v="0"/>
    <x v="46"/>
    <x v="65"/>
    <x v="2"/>
    <d v="1899-12-30T05:36:52"/>
    <n v="19715.225574264987"/>
    <d v="1899-12-30T00:20:38"/>
    <n v="933.00053576805942"/>
    <n v="259.03289886482162"/>
    <m/>
    <x v="5"/>
    <x v="1"/>
    <x v="0"/>
    <x v="2"/>
    <s v="-"/>
    <n v="1238.0838424148251"/>
    <x v="1"/>
    <m/>
    <m/>
  </r>
  <r>
    <x v="0"/>
    <x v="46"/>
    <x v="65"/>
    <x v="2"/>
    <d v="1899-12-30T03:32:12"/>
    <n v="843.36917995761485"/>
    <d v="1899-12-30T00:13:00"/>
    <n v="69.804266081444922"/>
    <n v="19.380054676306255"/>
    <m/>
    <x v="5"/>
    <x v="1"/>
    <x v="0"/>
    <x v="2"/>
    <s v="-"/>
    <n v="779.89726309249716"/>
    <x v="1"/>
    <m/>
    <m/>
  </r>
  <r>
    <x v="0"/>
    <x v="46"/>
    <x v="65"/>
    <x v="0"/>
    <d v="1900-01-02T17:27:40"/>
    <n v="4782.8775440251738"/>
    <d v="1899-12-30T05:28:48"/>
    <n v="3616.7918731895797"/>
    <n v="1004.1452792219267"/>
    <m/>
    <x v="5"/>
    <x v="1"/>
    <x v="0"/>
    <x v="2"/>
    <s v="-"/>
    <n v="19727.749964779276"/>
    <x v="1"/>
    <m/>
    <m/>
  </r>
  <r>
    <x v="0"/>
    <x v="46"/>
    <x v="65"/>
    <x v="2"/>
    <d v="1899-12-30T20:57:15"/>
    <n v="55079.697182268828"/>
    <d v="1899-12-30T01:17:01"/>
    <n v="5852.2762244587229"/>
    <n v="1624.7922881751399"/>
    <m/>
    <x v="5"/>
    <x v="1"/>
    <x v="0"/>
    <x v="2"/>
    <s v="-"/>
    <n v="4620.7626485534502"/>
    <x v="1"/>
    <m/>
    <m/>
  </r>
  <r>
    <x v="0"/>
    <x v="46"/>
    <x v="65"/>
    <x v="0"/>
    <d v="1900-01-01T20:03:21"/>
    <n v="182178.08157592316"/>
    <d v="1899-12-30T05:25:12"/>
    <n v="64382.240122386007"/>
    <n v="18089.392338109945"/>
    <m/>
    <x v="5"/>
    <x v="1"/>
    <x v="0"/>
    <x v="2"/>
    <s v="-"/>
    <n v="19512.22240587799"/>
    <x v="1"/>
    <m/>
    <m/>
  </r>
  <r>
    <x v="0"/>
    <x v="46"/>
    <x v="65"/>
    <x v="1"/>
    <d v="1900-01-02T12:32:50"/>
    <n v="168941.77830798979"/>
    <d v="1899-12-30T06:34:07"/>
    <n v="45905.498811487858"/>
    <n v="13106.332647835594"/>
    <m/>
    <x v="5"/>
    <x v="1"/>
    <x v="0"/>
    <x v="2"/>
    <s v="-"/>
    <n v="23646.564449045905"/>
    <x v="1"/>
    <m/>
    <m/>
  </r>
  <r>
    <x v="0"/>
    <x v="46"/>
    <x v="65"/>
    <x v="2"/>
    <d v="1899-12-30T22:33:05"/>
    <n v="120843.84215177194"/>
    <d v="1899-12-30T01:44:01"/>
    <n v="2782.8618895401728"/>
    <n v="812.21747326323623"/>
    <m/>
    <x v="5"/>
    <x v="1"/>
    <x v="0"/>
    <x v="2"/>
    <s v="-"/>
    <n v="6240.641196370173"/>
    <x v="1"/>
    <m/>
    <m/>
  </r>
  <r>
    <x v="0"/>
    <x v="46"/>
    <x v="65"/>
    <x v="0"/>
    <d v="1900-01-04T04:11:49"/>
    <n v="226144.38150140725"/>
    <d v="1899-12-30T10:17:06"/>
    <n v="62895.648052621218"/>
    <n v="18045.220700584352"/>
    <m/>
    <x v="5"/>
    <x v="1"/>
    <x v="0"/>
    <x v="2"/>
    <s v="-"/>
    <n v="37025.881735749506"/>
    <x v="1"/>
    <m/>
    <m/>
  </r>
  <r>
    <x v="0"/>
    <x v="46"/>
    <x v="65"/>
    <x v="1"/>
    <d v="1900-01-01T09:32:40"/>
    <n v="20617.455842863477"/>
    <d v="1899-12-30T04:20:19"/>
    <n v="2358.7907692273129"/>
    <n v="673.11154229036981"/>
    <m/>
    <x v="5"/>
    <x v="1"/>
    <x v="0"/>
    <x v="2"/>
    <s v="-"/>
    <n v="15619.234116134798"/>
    <x v="1"/>
    <m/>
    <m/>
  </r>
  <r>
    <x v="0"/>
    <x v="46"/>
    <x v="65"/>
    <x v="2"/>
    <d v="1899-12-30T08:08:42"/>
    <n v="48746.252363622771"/>
    <d v="1899-12-30T00:41:08"/>
    <n v="451.09027053830783"/>
    <n v="133.01365517071224"/>
    <m/>
    <x v="5"/>
    <x v="1"/>
    <x v="0"/>
    <x v="2"/>
    <s v="-"/>
    <n v="2467.5822253303186"/>
    <x v="1"/>
    <m/>
    <m/>
  </r>
  <r>
    <x v="0"/>
    <x v="46"/>
    <x v="65"/>
    <x v="0"/>
    <d v="1900-01-01T17:31:52"/>
    <n v="152351.59348164758"/>
    <d v="1899-12-30T05:43:19"/>
    <n v="19824.049545838909"/>
    <n v="5820.8928335128003"/>
    <m/>
    <x v="5"/>
    <x v="1"/>
    <x v="0"/>
    <x v="2"/>
    <s v="-"/>
    <n v="20598.795957447623"/>
    <x v="1"/>
    <m/>
    <m/>
  </r>
  <r>
    <x v="0"/>
    <x v="46"/>
    <x v="65"/>
    <x v="1"/>
    <d v="1900-01-02T00:54:35"/>
    <n v="12136.43573491508"/>
    <d v="1899-12-30T05:26:45"/>
    <n v="1726.0421686951236"/>
    <n v="492.25745507136327"/>
    <m/>
    <x v="5"/>
    <x v="1"/>
    <x v="0"/>
    <x v="2"/>
    <s v="-"/>
    <n v="19604.965345250224"/>
    <x v="1"/>
    <m/>
    <m/>
  </r>
  <r>
    <x v="0"/>
    <x v="46"/>
    <x v="65"/>
    <x v="0"/>
    <d v="1900-01-05T13:40:00"/>
    <n v="8481"/>
    <d v="1899-12-30T10:07:58"/>
    <n v="7703.9070025549418"/>
    <n v="2168.244901280385"/>
    <m/>
    <x v="5"/>
    <x v="1"/>
    <x v="0"/>
    <x v="2"/>
    <s v="-"/>
    <n v="36477.561770990724"/>
    <x v="1"/>
    <m/>
    <m/>
  </r>
  <r>
    <x v="0"/>
    <x v="46"/>
    <x v="65"/>
    <x v="2"/>
    <d v="1899-12-30T23:41:51"/>
    <n v="12331.483546273079"/>
    <d v="1899-12-30T01:44:22"/>
    <n v="809.8890596759345"/>
    <n v="228.90712582516417"/>
    <m/>
    <x v="5"/>
    <x v="1"/>
    <x v="0"/>
    <x v="2"/>
    <s v="-"/>
    <n v="6262.2452513789276"/>
    <x v="1"/>
    <m/>
    <m/>
  </r>
  <r>
    <x v="0"/>
    <x v="46"/>
    <x v="65"/>
    <x v="0"/>
    <d v="1900-01-04T09:07:45"/>
    <n v="57853.215532994887"/>
    <d v="1899-12-30T10:22:35"/>
    <n v="13961.596687405103"/>
    <n v="3939.6033488248204"/>
    <m/>
    <x v="5"/>
    <x v="1"/>
    <x v="0"/>
    <x v="2"/>
    <s v="-"/>
    <n v="37355.286507956669"/>
    <x v="1"/>
    <m/>
    <m/>
  </r>
  <r>
    <x v="0"/>
    <x v="46"/>
    <x v="65"/>
    <x v="1"/>
    <d v="1899-12-31T10:15:47"/>
    <n v="6754.3589118526843"/>
    <d v="1899-12-30T02:35:56"/>
    <n v="1125.5275946469724"/>
    <n v="326.54251617273275"/>
    <m/>
    <x v="5"/>
    <x v="1"/>
    <x v="0"/>
    <x v="2"/>
    <s v="-"/>
    <n v="9356.3508161896225"/>
    <x v="1"/>
    <m/>
    <m/>
  </r>
  <r>
    <x v="0"/>
    <x v="46"/>
    <x v="65"/>
    <x v="2"/>
    <d v="1899-12-30T20:07:21"/>
    <n v="7868.4395483759345"/>
    <d v="1899-12-30T01:34:58"/>
    <n v="688.59490318568305"/>
    <n v="196.99611939357183"/>
    <m/>
    <x v="5"/>
    <x v="1"/>
    <x v="0"/>
    <x v="2"/>
    <s v="-"/>
    <n v="5698.1850807704077"/>
    <x v="1"/>
    <m/>
    <m/>
  </r>
  <r>
    <x v="0"/>
    <x v="46"/>
    <x v="65"/>
    <x v="0"/>
    <d v="1900-01-02T01:06:04"/>
    <n v="34328.088474617063"/>
    <d v="1899-12-30T06:02:35"/>
    <n v="8833.4187892704813"/>
    <n v="2650.4861454356947"/>
    <m/>
    <x v="5"/>
    <x v="1"/>
    <x v="0"/>
    <x v="2"/>
    <s v="-"/>
    <n v="21754.717327620147"/>
    <x v="1"/>
    <m/>
    <m/>
  </r>
  <r>
    <x v="0"/>
    <x v="46"/>
    <x v="65"/>
    <x v="1"/>
    <d v="1900-01-01T10:01:52"/>
    <n v="9734.9026962164116"/>
    <d v="1899-12-30T04:21:43"/>
    <n v="1715.8745147929981"/>
    <n v="486.61178663304605"/>
    <m/>
    <x v="5"/>
    <x v="1"/>
    <x v="0"/>
    <x v="2"/>
    <s v="-"/>
    <n v="15702.621336057933"/>
    <x v="1"/>
    <m/>
    <m/>
  </r>
  <r>
    <x v="0"/>
    <x v="46"/>
    <x v="65"/>
    <x v="2"/>
    <d v="1899-12-30T03:18:10"/>
    <n v="11279.296278445556"/>
    <d v="1899-12-30T00:14:32"/>
    <n v="205.80834762202915"/>
    <n v="61.796596615011772"/>
    <m/>
    <x v="5"/>
    <x v="1"/>
    <x v="0"/>
    <x v="2"/>
    <s v="-"/>
    <n v="871.60697851034752"/>
    <x v="1"/>
    <m/>
    <m/>
  </r>
  <r>
    <x v="0"/>
    <x v="46"/>
    <x v="65"/>
    <x v="0"/>
    <d v="1899-12-31T00:00:33"/>
    <n v="9960.6115979418882"/>
    <d v="1899-12-30T01:43:26"/>
    <n v="1777.2395942829735"/>
    <n v="533.12147062113775"/>
    <m/>
    <x v="5"/>
    <x v="1"/>
    <x v="0"/>
    <x v="2"/>
    <s v="-"/>
    <n v="6206.416232994331"/>
    <x v="1"/>
    <m/>
    <m/>
  </r>
  <r>
    <x v="0"/>
    <x v="46"/>
    <x v="65"/>
    <x v="1"/>
    <d v="1899-12-30T03:38:02"/>
    <n v="294.0635164277104"/>
    <d v="1899-12-30T00:11:20"/>
    <n v="34.954873609767347"/>
    <n v="9.7190959825655803"/>
    <m/>
    <x v="5"/>
    <x v="1"/>
    <x v="0"/>
    <x v="2"/>
    <s v="-"/>
    <n v="680.32953580240871"/>
    <x v="1"/>
    <m/>
    <m/>
  </r>
  <r>
    <x v="0"/>
    <x v="46"/>
    <x v="65"/>
    <x v="2"/>
    <d v="1899-12-30T04:18:25"/>
    <n v="41855.04050487747"/>
    <d v="1899-12-30T00:20:02"/>
    <n v="1045.2976001551351"/>
    <n v="330.98971533134187"/>
    <m/>
    <x v="5"/>
    <x v="1"/>
    <x v="0"/>
    <x v="2"/>
    <s v="-"/>
    <n v="1202.29763497472"/>
    <x v="1"/>
    <m/>
    <m/>
  </r>
  <r>
    <x v="0"/>
    <x v="46"/>
    <x v="65"/>
    <x v="0"/>
    <d v="1899-12-31T00:44:00"/>
    <n v="35591.224305563461"/>
    <d v="1899-12-30T01:42:51"/>
    <n v="7418.6927248382517"/>
    <n v="2247.9180667586638"/>
    <m/>
    <x v="5"/>
    <x v="1"/>
    <x v="0"/>
    <x v="2"/>
    <s v="-"/>
    <n v="6170.8963152385058"/>
    <x v="1"/>
    <m/>
    <m/>
  </r>
  <r>
    <x v="0"/>
    <x v="46"/>
    <x v="65"/>
    <x v="1"/>
    <d v="1899-12-31T01:45:59"/>
    <n v="5517.1916891675246"/>
    <d v="1899-12-30T02:02:59"/>
    <n v="1302.1918060641485"/>
    <n v="379.10470392192377"/>
    <m/>
    <x v="5"/>
    <x v="1"/>
    <x v="0"/>
    <x v="2"/>
    <s v="-"/>
    <n v="7379.1549368446995"/>
    <x v="1"/>
    <m/>
    <m/>
  </r>
  <r>
    <x v="0"/>
    <x v="46"/>
    <x v="65"/>
    <x v="2"/>
    <d v="1899-12-30T01:34:15"/>
    <n v="52483.336170050454"/>
    <d v="1899-12-30T00:07:20"/>
    <n v="591.15175876826913"/>
    <n v="176.08829234425781"/>
    <m/>
    <x v="5"/>
    <x v="1"/>
    <x v="0"/>
    <x v="2"/>
    <s v="-"/>
    <n v="440.18241263317276"/>
    <x v="1"/>
    <m/>
    <m/>
  </r>
  <r>
    <x v="0"/>
    <x v="46"/>
    <x v="65"/>
    <x v="0"/>
    <d v="1899-12-30T13:42:23"/>
    <n v="55826.092528435714"/>
    <d v="1899-12-30T00:59:04"/>
    <n v="9108.7313753626531"/>
    <n v="2689.7692929182767"/>
    <m/>
    <x v="5"/>
    <x v="1"/>
    <x v="0"/>
    <x v="2"/>
    <s v="-"/>
    <n v="3543.8921493855428"/>
    <x v="1"/>
    <m/>
    <m/>
  </r>
  <r>
    <x v="0"/>
    <x v="46"/>
    <x v="65"/>
    <x v="2"/>
    <d v="1899-12-30T01:56:31"/>
    <n v="34531.458643368256"/>
    <d v="1899-12-30T00:06:52"/>
    <n v="729.05616062862987"/>
    <n v="216.74346007404381"/>
    <m/>
    <x v="5"/>
    <x v="1"/>
    <x v="0"/>
    <x v="2"/>
    <s v="-"/>
    <n v="411.98019976629081"/>
    <x v="1"/>
    <m/>
    <m/>
  </r>
  <r>
    <x v="0"/>
    <x v="46"/>
    <x v="65"/>
    <x v="0"/>
    <d v="1899-12-30T11:44:32"/>
    <n v="39609.108491962157"/>
    <d v="1899-12-30T00:45:27"/>
    <n v="6100.7810799975941"/>
    <n v="1799.8550074379798"/>
    <m/>
    <x v="5"/>
    <x v="1"/>
    <x v="0"/>
    <x v="2"/>
    <s v="-"/>
    <n v="2726.572376362762"/>
    <x v="1"/>
    <m/>
    <m/>
  </r>
  <r>
    <x v="0"/>
    <x v="46"/>
    <x v="65"/>
    <x v="2"/>
    <d v="1899-12-30T01:00:00"/>
    <n v="4253.0363717627406"/>
    <d v="1899-12-30T00:03:41"/>
    <n v="216.0293053260655"/>
    <n v="59.977132973775191"/>
    <m/>
    <x v="5"/>
    <x v="1"/>
    <x v="0"/>
    <x v="2"/>
    <s v="-"/>
    <n v="220.51760502144128"/>
    <x v="1"/>
    <m/>
    <m/>
  </r>
  <r>
    <x v="0"/>
    <x v="46"/>
    <x v="65"/>
    <x v="0"/>
    <d v="1900-01-05T01:00:00"/>
    <n v="125695.26040478845"/>
    <d v="1899-12-30T09:23:17"/>
    <n v="65234.489217421171"/>
    <n v="18362.055642001407"/>
    <m/>
    <x v="5"/>
    <x v="1"/>
    <x v="0"/>
    <x v="2"/>
    <s v="-"/>
    <n v="33797.090762470471"/>
    <x v="1"/>
    <m/>
    <m/>
  </r>
  <r>
    <x v="0"/>
    <x v="46"/>
    <x v="65"/>
    <x v="1"/>
    <d v="1900-01-07T17:30:00"/>
    <n v="82414.664227027461"/>
    <d v="1899-12-30T13:42:59"/>
    <n v="39969.89742825523"/>
    <n v="11167.961525666991"/>
    <m/>
    <x v="5"/>
    <x v="1"/>
    <x v="0"/>
    <x v="2"/>
    <s v="-"/>
    <n v="49378.745637594991"/>
    <x v="1"/>
    <m/>
    <m/>
  </r>
  <r>
    <x v="0"/>
    <x v="46"/>
    <x v="65"/>
    <x v="0"/>
    <d v="1900-01-05T01:00:00"/>
    <n v="121505.4183912955"/>
    <d v="1899-12-30T09:23:17"/>
    <n v="65234.489217421185"/>
    <n v="18362.055642001404"/>
    <m/>
    <x v="5"/>
    <x v="1"/>
    <x v="0"/>
    <x v="2"/>
    <s v="-"/>
    <n v="33797.090762470471"/>
    <x v="1"/>
    <m/>
    <m/>
  </r>
  <r>
    <x v="0"/>
    <x v="46"/>
    <x v="65"/>
    <x v="1"/>
    <d v="1900-01-07T00:00:00"/>
    <n v="65536.07511029701"/>
    <d v="1899-12-30T11:53:54"/>
    <n v="34409.383010061989"/>
    <n v="9606.9477426367157"/>
    <m/>
    <x v="5"/>
    <x v="1"/>
    <x v="0"/>
    <x v="2"/>
    <s v="-"/>
    <n v="42834.285959660097"/>
    <x v="1"/>
    <m/>
    <m/>
  </r>
  <r>
    <x v="0"/>
    <x v="46"/>
    <x v="65"/>
    <x v="0"/>
    <d v="1900-01-05T09:15:00"/>
    <n v="466811"/>
    <d v="1899-12-30T09:50:25"/>
    <n v="309772.12720082927"/>
    <n v="87346.839304257242"/>
    <m/>
    <x v="5"/>
    <x v="1"/>
    <x v="0"/>
    <x v="2"/>
    <s v="-"/>
    <n v="35425.024025497369"/>
    <x v="1"/>
    <m/>
    <m/>
  </r>
  <r>
    <x v="0"/>
    <x v="46"/>
    <x v="65"/>
    <x v="0"/>
    <d v="1899-12-30T03:43:37"/>
    <n v="1323718.37940343"/>
    <d v="1899-12-30T00:13:42"/>
    <n v="501178.10065648105"/>
    <n v="139144.20333504162"/>
    <m/>
    <x v="5"/>
    <x v="1"/>
    <x v="0"/>
    <x v="2"/>
    <s v="-"/>
    <n v="821.85686293685478"/>
    <x v="1"/>
    <m/>
    <m/>
  </r>
  <r>
    <x v="0"/>
    <x v="46"/>
    <x v="65"/>
    <x v="0"/>
    <d v="1900-01-02T15:00:00"/>
    <n v="4349.2727105518825"/>
    <d v="1899-12-30T05:19:45"/>
    <n v="2225.4084794067803"/>
    <n v="617.84960188104071"/>
    <m/>
    <x v="5"/>
    <x v="1"/>
    <x v="0"/>
    <x v="2"/>
    <s v="-"/>
    <n v="19185.031636865395"/>
    <x v="1"/>
    <m/>
    <m/>
  </r>
  <r>
    <x v="0"/>
    <x v="46"/>
    <x v="65"/>
    <x v="1"/>
    <d v="1899-12-31T01:00:00"/>
    <n v="1856.8208598268491"/>
    <d v="1899-12-30T01:31:53"/>
    <n v="672.49746188468271"/>
    <n v="186.70832475762853"/>
    <m/>
    <x v="5"/>
    <x v="1"/>
    <x v="0"/>
    <x v="2"/>
    <s v="-"/>
    <n v="5512.9401255360317"/>
    <x v="1"/>
    <m/>
    <m/>
  </r>
  <r>
    <x v="0"/>
    <x v="46"/>
    <x v="65"/>
    <x v="0"/>
    <d v="1899-12-31T13:00:00"/>
    <n v="1476.3895979932918"/>
    <d v="1899-12-30T02:15:59"/>
    <n v="924.90050876117516"/>
    <n v="256.78405398634646"/>
    <m/>
    <x v="5"/>
    <x v="1"/>
    <x v="0"/>
    <x v="2"/>
    <s v="-"/>
    <n v="8159.1513857933287"/>
    <x v="1"/>
    <m/>
    <m/>
  </r>
  <r>
    <x v="0"/>
    <x v="46"/>
    <x v="65"/>
    <x v="1"/>
    <d v="1899-12-30T20:00:00"/>
    <n v="1209.6072334125251"/>
    <d v="1899-12-30T01:13:30"/>
    <n v="491.5276287527945"/>
    <n v="136.46490185900595"/>
    <m/>
    <x v="5"/>
    <x v="1"/>
    <x v="0"/>
    <x v="2"/>
    <s v="-"/>
    <n v="4410.3521004288268"/>
    <x v="1"/>
    <m/>
    <m/>
  </r>
  <r>
    <x v="0"/>
    <x v="46"/>
    <x v="65"/>
    <x v="0"/>
    <d v="1900-01-06T11:50:00"/>
    <n v="601878"/>
    <d v="1899-12-30T11:00:56"/>
    <n v="750826.15506714233"/>
    <n v="208455.05231190904"/>
    <m/>
    <x v="5"/>
    <x v="1"/>
    <x v="0"/>
    <x v="2"/>
    <s v="-"/>
    <n v="39656.415969689187"/>
    <x v="1"/>
    <m/>
    <m/>
  </r>
  <r>
    <x v="0"/>
    <x v="46"/>
    <x v="65"/>
    <x v="2"/>
    <d v="1899-12-30T19:35:00"/>
    <n v="134541.51479785293"/>
    <d v="1899-12-30T01:11:58"/>
    <n v="12976.369360669627"/>
    <n v="3602.6845037852304"/>
    <m/>
    <x v="5"/>
    <x v="1"/>
    <x v="0"/>
    <x v="2"/>
    <s v="-"/>
    <n v="4318.4697650032258"/>
    <x v="1"/>
    <m/>
    <m/>
  </r>
  <r>
    <x v="0"/>
    <x v="46"/>
    <x v="65"/>
    <x v="0"/>
    <d v="1899-12-30T01:52:00"/>
    <n v="6320.41786742555"/>
    <d v="1899-12-30T00:06:43"/>
    <n v="1172.6113283749366"/>
    <n v="316.6298410140833"/>
    <m/>
    <x v="5"/>
    <x v="1"/>
    <x v="0"/>
    <x v="2"/>
    <s v="-"/>
    <n v="402.72444574829217"/>
    <x v="1"/>
    <m/>
    <m/>
  </r>
  <r>
    <x v="0"/>
    <x v="46"/>
    <x v="65"/>
    <x v="1"/>
    <d v="1900-01-04T20:52:00"/>
    <n v="395734.62306574034"/>
    <d v="1899-12-30T11:31:01"/>
    <n v="114862.54713643718"/>
    <n v="32557.203702178067"/>
    <m/>
    <x v="5"/>
    <x v="1"/>
    <x v="0"/>
    <x v="2"/>
    <s v="-"/>
    <n v="41461.151157516964"/>
    <x v="1"/>
    <m/>
    <m/>
  </r>
  <r>
    <x v="0"/>
    <x v="46"/>
    <x v="65"/>
    <x v="2"/>
    <d v="1900-01-01T18:00:00"/>
    <n v="265660.63127518346"/>
    <d v="1899-12-30T04:15:26"/>
    <n v="22564.112233074567"/>
    <n v="6371.9931183570679"/>
    <m/>
    <x v="5"/>
    <x v="1"/>
    <x v="0"/>
    <x v="2"/>
    <s v="-"/>
    <n v="15326.467734709522"/>
    <x v="1"/>
    <m/>
    <m/>
  </r>
  <r>
    <x v="0"/>
    <x v="46"/>
    <x v="65"/>
    <x v="0"/>
    <d v="1900-01-03T16:30:00"/>
    <n v="207027.17450965688"/>
    <d v="1899-12-30T06:53:28"/>
    <n v="182003.64807820268"/>
    <n v="50530.445330194038"/>
    <m/>
    <x v="5"/>
    <x v="1"/>
    <x v="0"/>
    <x v="2"/>
    <s v="-"/>
    <n v="24808.230564912144"/>
    <x v="1"/>
    <m/>
    <m/>
  </r>
  <r>
    <x v="0"/>
    <x v="46"/>
    <x v="65"/>
    <x v="2"/>
    <d v="1899-12-30T21:25:00"/>
    <n v="43526.536726376056"/>
    <d v="1899-12-30T01:15:33"/>
    <n v="3602.1324674478478"/>
    <n v="1023.6468769805024"/>
    <m/>
    <x v="5"/>
    <x v="1"/>
    <x v="0"/>
    <x v="2"/>
    <s v="-"/>
    <n v="4533.1706022963526"/>
    <x v="1"/>
    <m/>
    <m/>
  </r>
  <r>
    <x v="0"/>
    <x v="46"/>
    <x v="65"/>
    <x v="0"/>
    <d v="1900-01-02T05:30:00"/>
    <n v="59374.473907088635"/>
    <d v="1899-12-30T04:44:50"/>
    <n v="58432.579421327944"/>
    <n v="16222.885041749048"/>
    <m/>
    <x v="5"/>
    <x v="1"/>
    <x v="0"/>
    <x v="2"/>
    <s v="-"/>
    <n v="17090.114389161699"/>
    <x v="1"/>
    <m/>
    <m/>
  </r>
  <r>
    <x v="0"/>
    <x v="46"/>
    <x v="65"/>
    <x v="0"/>
    <d v="1900-01-02T01:00:00"/>
    <n v="12383.111349416338"/>
    <d v="1899-12-30T04:28:18"/>
    <n v="15305.409574016196"/>
    <n v="4249.3058238247322"/>
    <m/>
    <x v="5"/>
    <x v="1"/>
    <x v="0"/>
    <x v="2"/>
    <s v="-"/>
    <n v="16097.785166565211"/>
    <x v="1"/>
    <m/>
    <m/>
  </r>
  <r>
    <x v="0"/>
    <x v="46"/>
    <x v="65"/>
    <x v="2"/>
    <d v="1899-12-30T02:30:00"/>
    <n v="2465.6508979609807"/>
    <d v="1899-12-30T00:09:11"/>
    <n v="125.24060555878401"/>
    <n v="34.771080904869208"/>
    <m/>
    <x v="5"/>
    <x v="1"/>
    <x v="0"/>
    <x v="2"/>
    <s v="-"/>
    <n v="551.29401255360335"/>
    <x v="1"/>
    <m/>
    <m/>
  </r>
  <r>
    <x v="0"/>
    <x v="46"/>
    <x v="65"/>
    <x v="0"/>
    <d v="1899-12-30T10:00:00"/>
    <n v="10442.088288086352"/>
    <d v="1899-12-30T00:36:45"/>
    <n v="2121.5873854319098"/>
    <n v="589.0253108923016"/>
    <m/>
    <x v="5"/>
    <x v="1"/>
    <x v="0"/>
    <x v="2"/>
    <s v="-"/>
    <n v="2205.1760502144134"/>
    <x v="1"/>
    <m/>
    <m/>
  </r>
  <r>
    <x v="0"/>
    <x v="46"/>
    <x v="65"/>
    <x v="1"/>
    <d v="1900-01-03T03:30:00"/>
    <n v="21377.440447008648"/>
    <d v="1899-12-30T06:05:42"/>
    <n v="4672.3750382916951"/>
    <n v="1297.2113137705705"/>
    <m/>
    <x v="5"/>
    <x v="1"/>
    <x v="0"/>
    <x v="2"/>
    <s v="-"/>
    <n v="21941.501699633423"/>
    <x v="1"/>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9">
  <r>
    <x v="0"/>
    <x v="0"/>
    <x v="0"/>
    <x v="0"/>
    <d v="1899-12-30T13:00:00"/>
    <n v="127940"/>
    <d v="1899-12-30T01:12:21"/>
    <n v="50785.852980616386"/>
    <n v="14728.521120704148"/>
    <s v="No"/>
    <x v="0"/>
    <x v="0"/>
    <s v="N"/>
    <x v="0"/>
    <n v="10977116"/>
    <n v="4341.0917676368708"/>
    <s v="N"/>
    <m/>
    <m/>
  </r>
  <r>
    <x v="0"/>
    <x v="0"/>
    <x v="0"/>
    <x v="1"/>
    <d v="1899-12-30T02:00:00"/>
    <n v="16446"/>
    <d v="1899-12-30T00:09:18"/>
    <n v="3354.5208322737703"/>
    <n v="1035.0064005521238"/>
    <s v="No"/>
    <x v="0"/>
    <x v="0"/>
    <s v="N"/>
    <x v="0"/>
    <n v="10977116"/>
    <n v="557.6642162503905"/>
    <s v="N"/>
    <m/>
    <m/>
  </r>
  <r>
    <x v="0"/>
    <x v="0"/>
    <x v="1"/>
    <x v="0"/>
    <d v="1899-12-30T18:20:00"/>
    <n v="127940"/>
    <d v="1899-12-30T01:45:06"/>
    <n v="73769.689620469086"/>
    <n v="21192.648529474314"/>
    <s v="No"/>
    <x v="0"/>
    <x v="0"/>
    <s v="N"/>
    <x v="0"/>
    <n v="10977116"/>
    <n v="6305.7125856441317"/>
    <s v="N"/>
    <m/>
    <m/>
  </r>
  <r>
    <x v="0"/>
    <x v="0"/>
    <x v="1"/>
    <x v="1"/>
    <d v="1899-12-30T05:05:00"/>
    <n v="32892"/>
    <d v="1899-12-30T00:22:16"/>
    <n v="8036.8560482100174"/>
    <n v="2326.1127064094826"/>
    <s v="No"/>
    <x v="0"/>
    <x v="0"/>
    <s v="N"/>
    <x v="0"/>
    <n v="10977116"/>
    <n v="1336.0677286968403"/>
    <s v="N"/>
    <m/>
    <m/>
  </r>
  <r>
    <x v="0"/>
    <x v="0"/>
    <x v="2"/>
    <x v="0"/>
    <d v="1899-12-31T17:25:00"/>
    <n v="451341"/>
    <d v="1899-12-30T03:50:02"/>
    <n v="214375.97927565835"/>
    <n v="61257.26729286919"/>
    <s v="No"/>
    <x v="0"/>
    <x v="0"/>
    <s v="N"/>
    <x v="0"/>
    <n v="10977116"/>
    <n v="13802.215696306885"/>
    <s v="N"/>
    <m/>
    <m/>
  </r>
  <r>
    <x v="0"/>
    <x v="0"/>
    <x v="3"/>
    <x v="2"/>
    <d v="1899-12-30T00:30:00"/>
    <n v="13350"/>
    <d v="1899-12-30T00:02:28"/>
    <n v="723.03285226975152"/>
    <n v="220.85987191986871"/>
    <s v="No"/>
    <x v="0"/>
    <x v="0"/>
    <s v="N"/>
    <x v="0"/>
    <n v="10977116"/>
    <n v="148.07417974322402"/>
    <s v="N"/>
    <m/>
    <m/>
  </r>
  <r>
    <x v="0"/>
    <x v="0"/>
    <x v="3"/>
    <x v="0"/>
    <d v="1900-01-03T23:45:00"/>
    <n v="1024300"/>
    <d v="1899-12-30T11:19:19"/>
    <n v="639977.53544133052"/>
    <n v="186619.7132482935"/>
    <s v="No"/>
    <x v="0"/>
    <x v="0"/>
    <s v="N"/>
    <x v="0"/>
    <n v="10977116"/>
    <n v="40758.871106188679"/>
    <s v="N"/>
    <m/>
    <m/>
  </r>
  <r>
    <x v="0"/>
    <x v="0"/>
    <x v="3"/>
    <x v="1"/>
    <d v="1899-12-30T05:15:00"/>
    <n v="47438"/>
    <d v="1899-12-30T00:24:24"/>
    <n v="25399.542016823729"/>
    <n v="7836.7939485074203"/>
    <s v="No"/>
    <x v="0"/>
    <x v="0"/>
    <s v="N"/>
    <x v="0"/>
    <n v="10977116"/>
    <n v="1463.868567657275"/>
    <s v="N"/>
    <m/>
    <m/>
  </r>
  <r>
    <x v="0"/>
    <x v="1"/>
    <x v="4"/>
    <x v="0"/>
    <d v="1899-12-30T11:48:59"/>
    <n v="60946.785988532793"/>
    <d v="1899-12-30T00:57:27"/>
    <n v="39115.377503567492"/>
    <n v="11430.060811335969"/>
    <s v="Yes"/>
    <x v="1"/>
    <x v="0"/>
    <s v="N"/>
    <x v="0"/>
    <n v="1753245"/>
    <n v="3446.7301463829813"/>
    <s v="Y"/>
    <m/>
    <m/>
  </r>
  <r>
    <x v="0"/>
    <x v="1"/>
    <x v="1"/>
    <x v="2"/>
    <d v="1899-12-30T07:00:00"/>
    <n v="201845.75235486898"/>
    <d v="1899-12-30T00:40:08"/>
    <n v="23742.223655584286"/>
    <n v="6820.6956519626629"/>
    <s v="No"/>
    <x v="1"/>
    <x v="0"/>
    <s v="N"/>
    <x v="0"/>
    <n v="1753245"/>
    <n v="2407.6357145186689"/>
    <s v="N"/>
    <m/>
    <m/>
  </r>
  <r>
    <x v="0"/>
    <x v="1"/>
    <x v="1"/>
    <x v="0"/>
    <d v="1900-01-03T15:30:00"/>
    <n v="409491.22779512737"/>
    <d v="1899-12-30T10:39:10"/>
    <n v="429646.45646896062"/>
    <n v="123429.37039217641"/>
    <s v="No"/>
    <x v="1"/>
    <x v="0"/>
    <s v="N"/>
    <x v="0"/>
    <n v="1753245"/>
    <n v="38350.197452690227"/>
    <s v="N"/>
    <m/>
    <m/>
  </r>
  <r>
    <x v="0"/>
    <x v="1"/>
    <x v="1"/>
    <x v="1"/>
    <d v="1900-01-03T03:30:00"/>
    <n v="519237.12107095367"/>
    <d v="1899-12-30T09:37:10"/>
    <n v="320530.0780350641"/>
    <n v="91306.137444203021"/>
    <s v="No"/>
    <x v="1"/>
    <x v="0"/>
    <s v="N"/>
    <x v="0"/>
    <n v="1753245"/>
    <n v="34630.375595794023"/>
    <s v="N"/>
    <m/>
    <m/>
  </r>
  <r>
    <x v="0"/>
    <x v="1"/>
    <x v="5"/>
    <x v="0"/>
    <d v="1899-12-31T18:24:25"/>
    <n v="378953.71403706371"/>
    <d v="1899-12-30T03:40:41"/>
    <n v="409720.35299985745"/>
    <n v="126492.76990664513"/>
    <s v="Yes"/>
    <x v="1"/>
    <x v="0"/>
    <s v="N"/>
    <x v="1"/>
    <n v="7430500"/>
    <n v="13241.339398751694"/>
    <s v="Y"/>
    <m/>
    <m/>
  </r>
  <r>
    <x v="0"/>
    <x v="2"/>
    <x v="6"/>
    <x v="2"/>
    <d v="1899-12-31T02:24:54"/>
    <n v="256800"/>
    <d v="1899-12-30T02:24:38"/>
    <n v="13606.39163628367"/>
    <n v="4156.6356223895664"/>
    <s v="Yes"/>
    <x v="2"/>
    <x v="0"/>
    <s v="N"/>
    <x v="0"/>
    <n v="3045000"/>
    <n v="8678.052035048222"/>
    <s v="Y"/>
    <m/>
    <m/>
  </r>
  <r>
    <x v="0"/>
    <x v="2"/>
    <x v="6"/>
    <x v="0"/>
    <d v="1900-01-04T03:17:23"/>
    <n v="1084083"/>
    <d v="1899-12-30T11:45:17"/>
    <n v="185811.23396353805"/>
    <n v="56412.683257690835"/>
    <s v="Yes"/>
    <x v="2"/>
    <x v="0"/>
    <s v="N"/>
    <x v="0"/>
    <n v="3045000"/>
    <n v="42317.426120767886"/>
    <s v="Y"/>
    <m/>
    <m/>
  </r>
  <r>
    <x v="0"/>
    <x v="2"/>
    <x v="6"/>
    <x v="1"/>
    <d v="1899-12-31T02:18:33"/>
    <n v="120102"/>
    <d v="1899-12-30T01:53:17"/>
    <n v="13586.760723397536"/>
    <n v="4132.086689967995"/>
    <s v="Yes"/>
    <x v="2"/>
    <x v="0"/>
    <s v="N"/>
    <x v="0"/>
    <n v="3045000"/>
    <n v="6796.5729855109494"/>
    <s v="Y"/>
    <m/>
    <m/>
  </r>
  <r>
    <x v="0"/>
    <x v="2"/>
    <x v="7"/>
    <x v="2"/>
    <d v="1899-12-31T03:44:00"/>
    <n v="17149"/>
    <d v="1899-12-30T02:50:30"/>
    <n v="1088.6199813967355"/>
    <n v="335.24624275154719"/>
    <s v="No"/>
    <x v="2"/>
    <x v="0"/>
    <s v="N"/>
    <x v="0"/>
    <n v="52785.504510029394"/>
    <n v="10229.726131923149"/>
    <s v="N"/>
    <m/>
    <m/>
  </r>
  <r>
    <x v="0"/>
    <x v="2"/>
    <x v="7"/>
    <x v="0"/>
    <d v="1900-01-01T23:03:36"/>
    <n v="57386"/>
    <d v="1899-12-30T08:19:02"/>
    <n v="9254.1523003000675"/>
    <n v="2678.6243840589946"/>
    <s v="No"/>
    <x v="2"/>
    <x v="0"/>
    <s v="N"/>
    <x v="0"/>
    <n v="52785.504510029394"/>
    <n v="29941.544168618664"/>
    <s v="N"/>
    <m/>
    <m/>
  </r>
  <r>
    <x v="0"/>
    <x v="2"/>
    <x v="7"/>
    <x v="1"/>
    <d v="1900-01-01T12:50:32"/>
    <n v="21001"/>
    <d v="1899-12-30T05:40:41"/>
    <n v="2466.8155894715387"/>
    <n v="727.8760073714501"/>
    <s v="No"/>
    <x v="2"/>
    <x v="0"/>
    <s v="N"/>
    <x v="0"/>
    <n v="52785.504510029394"/>
    <n v="20441.319020177998"/>
    <s v="N"/>
    <m/>
    <m/>
  </r>
  <r>
    <x v="0"/>
    <x v="2"/>
    <x v="8"/>
    <x v="2"/>
    <d v="1899-12-30T00:37:56"/>
    <n v="9000"/>
    <d v="1899-12-30T00:03:07"/>
    <n v="430.70572869923041"/>
    <n v="131.5647162878513"/>
    <s v="Yes"/>
    <x v="2"/>
    <x v="0"/>
    <s v="N"/>
    <x v="1"/>
    <n v="2065665"/>
    <n v="187.2315739419877"/>
    <s v="Y"/>
    <m/>
    <m/>
  </r>
  <r>
    <x v="0"/>
    <x v="2"/>
    <x v="9"/>
    <x v="2"/>
    <d v="1899-12-30T12:17:08"/>
    <n v="1937000"/>
    <d v="1899-12-30T01:03:48"/>
    <n v="60295.4835912118"/>
    <n v="17605.813284119766"/>
    <s v="Yes"/>
    <x v="2"/>
    <x v="0"/>
    <s v="N"/>
    <x v="1"/>
    <n v="3180534"/>
    <n v="3828.3334184424175"/>
    <s v="Y"/>
    <m/>
    <m/>
  </r>
  <r>
    <x v="0"/>
    <x v="2"/>
    <x v="9"/>
    <x v="0"/>
    <d v="1899-12-30T21:14:45"/>
    <n v="1214800"/>
    <d v="1899-12-30T01:35:43"/>
    <n v="222032.01714305725"/>
    <n v="67527.38884552379"/>
    <s v="Yes"/>
    <x v="2"/>
    <x v="0"/>
    <s v="N"/>
    <x v="1"/>
    <n v="3180534"/>
    <n v="5742.5887573335212"/>
    <s v="Y"/>
    <m/>
    <m/>
  </r>
  <r>
    <x v="0"/>
    <x v="3"/>
    <x v="10"/>
    <x v="0"/>
    <d v="1899-12-30T01:34:53"/>
    <n v="59236"/>
    <d v="1899-12-30T00:06:09"/>
    <n v="16529.795465736959"/>
    <n v="4499.890259914333"/>
    <s v="Yes"/>
    <x v="2"/>
    <x v="0"/>
    <s v="N"/>
    <x v="1"/>
    <n v="4305200"/>
    <n v="368.79157361558384"/>
    <s v="Y"/>
    <m/>
    <m/>
  </r>
  <r>
    <x v="0"/>
    <x v="3"/>
    <x v="10"/>
    <x v="1"/>
    <d v="1899-12-30T01:31:46"/>
    <n v="38600"/>
    <d v="1899-12-30T00:05:57"/>
    <n v="10417.513771634412"/>
    <n v="2835.949715812842"/>
    <s v="Yes"/>
    <x v="2"/>
    <x v="0"/>
    <s v="N"/>
    <x v="1"/>
    <n v="4305200"/>
    <n v="356.67774535875714"/>
    <s v="Y"/>
    <m/>
    <m/>
  </r>
  <r>
    <x v="0"/>
    <x v="4"/>
    <x v="4"/>
    <x v="2"/>
    <d v="1899-12-30T07:00:00"/>
    <n v="141352"/>
    <d v="1899-12-30T00:40:08"/>
    <n v="17782.471614079135"/>
    <n v="5108.5706452256118"/>
    <s v="No"/>
    <x v="0"/>
    <x v="0"/>
    <s v="N"/>
    <x v="0"/>
    <n v="10162804.986821327"/>
    <n v="2407.6357145186689"/>
    <s v="N"/>
    <m/>
    <m/>
  </r>
  <r>
    <x v="0"/>
    <x v="4"/>
    <x v="1"/>
    <x v="2"/>
    <d v="1899-12-30T01:00:00"/>
    <n v="26068"/>
    <d v="1899-12-30T00:05:44"/>
    <n v="3279.4263260216712"/>
    <n v="942.11768902980771"/>
    <s v="No"/>
    <x v="0"/>
    <x v="0"/>
    <s v="N"/>
    <x v="0"/>
    <n v="10162804.986821327"/>
    <n v="343.94795921695271"/>
    <s v="N"/>
    <m/>
    <m/>
  </r>
  <r>
    <x v="0"/>
    <x v="4"/>
    <x v="1"/>
    <x v="1"/>
    <d v="1899-12-30T07:45:00"/>
    <n v="30452"/>
    <d v="1899-12-30T00:44:26"/>
    <n v="14844.914286099676"/>
    <n v="4264.6655087483077"/>
    <s v="No"/>
    <x v="0"/>
    <x v="0"/>
    <s v="N"/>
    <x v="0"/>
    <n v="10162804.986821327"/>
    <n v="2665.5966839313833"/>
    <s v="N"/>
    <m/>
    <m/>
  </r>
  <r>
    <x v="0"/>
    <x v="4"/>
    <x v="11"/>
    <x v="2"/>
    <d v="1899-12-30T03:00:00"/>
    <n v="12360"/>
    <d v="1899-12-30T00:17:12"/>
    <n v="4664.7663099924484"/>
    <n v="1340.0998891063812"/>
    <s v="No"/>
    <x v="0"/>
    <x v="0"/>
    <s v="N"/>
    <x v="0"/>
    <n v="10162804.986821327"/>
    <n v="1031.8438776508581"/>
    <s v="N"/>
    <m/>
    <m/>
  </r>
  <r>
    <x v="0"/>
    <x v="4"/>
    <x v="11"/>
    <x v="1"/>
    <d v="1899-12-30T06:00:00"/>
    <n v="30452"/>
    <d v="1899-12-30T00:25:33"/>
    <n v="8537.5164949908612"/>
    <n v="2436.1159234794964"/>
    <s v="No"/>
    <x v="0"/>
    <x v="0"/>
    <s v="N"/>
    <x v="0"/>
    <n v="10162804.986821327"/>
    <n v="1533.0216948013383"/>
    <s v="N"/>
    <m/>
    <m/>
  </r>
  <r>
    <x v="0"/>
    <x v="4"/>
    <x v="12"/>
    <x v="0"/>
    <d v="1900-01-04T02:35:00"/>
    <n v="4416167"/>
    <d v="1899-12-30T11:52:17"/>
    <n v="1165062.8307716842"/>
    <n v="339504.03809111263"/>
    <s v="No"/>
    <x v="0"/>
    <x v="0"/>
    <s v="N"/>
    <x v="0"/>
    <n v="20332000"/>
    <n v="42736.610856610088"/>
    <s v="N"/>
    <m/>
    <m/>
  </r>
  <r>
    <x v="0"/>
    <x v="4"/>
    <x v="12"/>
    <x v="1"/>
    <d v="1899-12-30T13:00:00"/>
    <n v="209709"/>
    <d v="1899-12-30T01:02:09"/>
    <n v="59106.477385132835"/>
    <n v="18175.828975203716"/>
    <s v="No"/>
    <x v="0"/>
    <x v="0"/>
    <s v="N"/>
    <x v="0"/>
    <n v="20332000"/>
    <n v="3728.7149137950546"/>
    <s v="N"/>
    <m/>
    <m/>
  </r>
  <r>
    <x v="0"/>
    <x v="5"/>
    <x v="13"/>
    <x v="0"/>
    <d v="1900-01-03T17:09:00"/>
    <n v="1794900"/>
    <d v="1899-12-30T10:50:18"/>
    <n v="230313.91006764214"/>
    <n v="68420.571639397502"/>
    <s v="Yes"/>
    <x v="3"/>
    <x v="0"/>
    <s v="N"/>
    <x v="0"/>
    <n v="6701000"/>
    <n v="39018.466481293384"/>
    <s v="Y"/>
    <m/>
    <m/>
  </r>
  <r>
    <x v="0"/>
    <x v="5"/>
    <x v="13"/>
    <x v="1"/>
    <d v="1899-12-30T02:00:00"/>
    <n v="8300"/>
    <d v="1899-12-30T00:07:10"/>
    <n v="260.90884649555863"/>
    <n v="67.212560478647305"/>
    <s v="Yes"/>
    <x v="3"/>
    <x v="0"/>
    <s v="N"/>
    <x v="0"/>
    <n v="6701000"/>
    <n v="429.71774422799621"/>
    <s v="Y"/>
    <m/>
    <m/>
  </r>
  <r>
    <x v="0"/>
    <x v="5"/>
    <x v="14"/>
    <x v="0"/>
    <d v="1899-12-30T18:06:00"/>
    <n v="197300"/>
    <d v="1899-12-30T01:44:37"/>
    <n v="20681.514397054354"/>
    <n v="6333.5073156418503"/>
    <s v="Yes"/>
    <x v="3"/>
    <x v="0"/>
    <s v="N"/>
    <x v="0"/>
    <n v="6701000"/>
    <n v="6277.0333642049518"/>
    <s v="Y"/>
    <m/>
    <m/>
  </r>
  <r>
    <x v="0"/>
    <x v="5"/>
    <x v="14"/>
    <x v="1"/>
    <d v="1899-12-30T14:00:00"/>
    <n v="26700"/>
    <d v="1899-12-30T01:03:03"/>
    <n v="2606.1977423589742"/>
    <n v="821.09025823721174"/>
    <s v="Yes"/>
    <x v="3"/>
    <x v="0"/>
    <s v="N"/>
    <x v="0"/>
    <n v="6701000"/>
    <n v="3782.989566572167"/>
    <s v="Y"/>
    <m/>
    <m/>
  </r>
  <r>
    <x v="0"/>
    <x v="5"/>
    <x v="15"/>
    <x v="0"/>
    <d v="1900-01-04T10:10:00"/>
    <n v="2763100"/>
    <d v="1899-12-30T12:07:45"/>
    <n v="373148.13278025854"/>
    <n v="110164.56858376109"/>
    <s v="Yes"/>
    <x v="3"/>
    <x v="0"/>
    <s v="N"/>
    <x v="0"/>
    <n v="10512000"/>
    <n v="43664.698063635471"/>
    <s v="Y"/>
    <m/>
    <m/>
  </r>
  <r>
    <x v="0"/>
    <x v="5"/>
    <x v="15"/>
    <x v="1"/>
    <d v="1899-12-30T19:21:00"/>
    <n v="227900"/>
    <d v="1899-12-30T01:32:19"/>
    <n v="12179.631092852514"/>
    <n v="3450.0402567514479"/>
    <s v="Yes"/>
    <x v="3"/>
    <x v="0"/>
    <s v="N"/>
    <x v="0"/>
    <n v="10512000"/>
    <n v="5538.8882230631189"/>
    <s v="Y"/>
    <m/>
    <m/>
  </r>
  <r>
    <x v="0"/>
    <x v="5"/>
    <x v="16"/>
    <x v="0"/>
    <d v="1899-12-31T16:49:00"/>
    <n v="170100"/>
    <d v="1899-12-30T03:47:23"/>
    <n v="29238.568030299448"/>
    <n v="9085.3908516037372"/>
    <s v="Yes"/>
    <x v="3"/>
    <x v="0"/>
    <s v="N"/>
    <x v="0"/>
    <n v="10512000"/>
    <n v="13643.26830045504"/>
    <s v="Y"/>
    <m/>
    <m/>
  </r>
  <r>
    <x v="0"/>
    <x v="5"/>
    <x v="16"/>
    <x v="1"/>
    <d v="1899-12-30T09:00:00"/>
    <n v="64700"/>
    <d v="1899-12-30T00:51:36"/>
    <n v="4883.6631109467999"/>
    <n v="1402.9848353589498"/>
    <s v="Yes"/>
    <x v="3"/>
    <x v="0"/>
    <s v="N"/>
    <x v="0"/>
    <n v="10512000"/>
    <n v="3095.531632952574"/>
    <s v="Y"/>
    <m/>
    <m/>
  </r>
  <r>
    <x v="0"/>
    <x v="6"/>
    <x v="17"/>
    <x v="0"/>
    <d v="1899-12-31T06:30:00"/>
    <n v="1468260"/>
    <d v="1899-12-30T02:54:50"/>
    <n v="493128.75568067736"/>
    <n v="141666.64456207523"/>
    <s v="No"/>
    <x v="1"/>
    <x v="0"/>
    <s v="N"/>
    <x v="0"/>
    <n v="108645000"/>
    <n v="10490.412756117057"/>
    <s v="N"/>
    <m/>
    <m/>
  </r>
  <r>
    <x v="0"/>
    <x v="6"/>
    <x v="18"/>
    <x v="2"/>
    <d v="1899-12-30T01:00:00"/>
    <n v="464497"/>
    <d v="1899-12-30T00:05:44"/>
    <n v="30689.63230848801"/>
    <n v="8816.5558830292121"/>
    <s v="No"/>
    <x v="1"/>
    <x v="0"/>
    <s v="N"/>
    <x v="1"/>
    <n v="393350661"/>
    <n v="343.94795921695271"/>
    <s v="N"/>
    <m/>
    <m/>
  </r>
  <r>
    <x v="0"/>
    <x v="6"/>
    <x v="18"/>
    <x v="0"/>
    <d v="1900-01-03T03:41:00"/>
    <n v="25596125"/>
    <d v="1899-12-30T09:04:20"/>
    <n v="6982010.9016711786"/>
    <n v="2057028.8356518995"/>
    <s v="No"/>
    <x v="1"/>
    <x v="0"/>
    <s v="N"/>
    <x v="1"/>
    <n v="393350661"/>
    <n v="32660.144460907319"/>
    <s v="N"/>
    <m/>
    <m/>
  </r>
  <r>
    <x v="0"/>
    <x v="6"/>
    <x v="18"/>
    <x v="1"/>
    <d v="1899-12-31T00:58:00"/>
    <n v="16122453"/>
    <d v="1899-12-30T02:13:34"/>
    <n v="1741463.4495447627"/>
    <n v="504109.93894104514"/>
    <s v="No"/>
    <x v="1"/>
    <x v="0"/>
    <s v="N"/>
    <x v="1"/>
    <n v="393350661"/>
    <n v="8013.8069162070951"/>
    <s v="N"/>
    <m/>
    <m/>
  </r>
  <r>
    <x v="0"/>
    <x v="6"/>
    <x v="19"/>
    <x v="1"/>
    <d v="1899-12-31T18:20:00"/>
    <n v="22630408"/>
    <d v="1899-12-30T03:41:27"/>
    <n v="2452443.6256809975"/>
    <n v="722348.88678487006"/>
    <s v="No"/>
    <x v="1"/>
    <x v="0"/>
    <s v="N"/>
    <x v="1"/>
    <n v="98000000"/>
    <n v="13286.701041083737"/>
    <s v="N"/>
    <m/>
    <m/>
  </r>
  <r>
    <x v="0"/>
    <x v="6"/>
    <x v="20"/>
    <x v="2"/>
    <d v="1900-01-02T00:00:00"/>
    <n v="1167050"/>
    <d v="1899-12-30T06:30:28"/>
    <n v="55559.279032554157"/>
    <n v="16243.329896664429"/>
    <s v="No"/>
    <x v="1"/>
    <x v="0"/>
    <s v="N"/>
    <x v="0"/>
    <n v="6080000"/>
    <n v="23427.888552667693"/>
    <s v="N"/>
    <m/>
    <m/>
  </r>
  <r>
    <x v="0"/>
    <x v="6"/>
    <x v="20"/>
    <x v="0"/>
    <d v="1900-01-04T23:55:00"/>
    <n v="285544"/>
    <d v="1899-12-30T13:42:13"/>
    <n v="193283.40178931257"/>
    <n v="55600.534472579719"/>
    <s v="No"/>
    <x v="1"/>
    <x v="0"/>
    <s v="N"/>
    <x v="0"/>
    <n v="6080000"/>
    <n v="49332.545198249667"/>
    <s v="N"/>
    <m/>
    <m/>
  </r>
  <r>
    <x v="0"/>
    <x v="6"/>
    <x v="21"/>
    <x v="2"/>
    <d v="1899-12-30T01:00:00"/>
    <n v="35910"/>
    <d v="1899-12-30T00:05:44"/>
    <n v="1186.2990462778066"/>
    <n v="340.80147101012398"/>
    <s v="No"/>
    <x v="1"/>
    <x v="0"/>
    <s v="N"/>
    <x v="0"/>
    <n v="6080000"/>
    <n v="343.94795921695271"/>
    <s v="N"/>
    <m/>
    <m/>
  </r>
  <r>
    <x v="0"/>
    <x v="7"/>
    <x v="22"/>
    <x v="2"/>
    <d v="1899-12-31T12:59:08"/>
    <n v="74722"/>
    <d v="1899-12-30T03:23:02"/>
    <n v="6476.7985370481811"/>
    <n v="1972.7234103420553"/>
    <s v="Yes"/>
    <x v="2"/>
    <x v="0"/>
    <s v="N"/>
    <x v="0"/>
    <n v="1098000"/>
    <n v="12181.766385832358"/>
    <s v="Y"/>
    <m/>
    <m/>
  </r>
  <r>
    <x v="0"/>
    <x v="7"/>
    <x v="22"/>
    <x v="0"/>
    <d v="1900-01-04T18:47:00"/>
    <n v="359467"/>
    <d v="1899-12-30T13:00:41"/>
    <n v="100095.02739216291"/>
    <n v="29844.501717252475"/>
    <s v="Yes"/>
    <x v="2"/>
    <x v="0"/>
    <s v="N"/>
    <x v="0"/>
    <n v="1098000"/>
    <n v="46840.503226282242"/>
    <s v="Y"/>
    <m/>
    <m/>
  </r>
  <r>
    <x v="0"/>
    <x v="7"/>
    <x v="22"/>
    <x v="1"/>
    <d v="1899-12-31T05:10:50"/>
    <n v="35883"/>
    <d v="1899-12-30T02:03:07"/>
    <n v="4099.2293700523733"/>
    <n v="1245.064772465797"/>
    <s v="Yes"/>
    <x v="2"/>
    <x v="0"/>
    <s v="N"/>
    <x v="0"/>
    <n v="1098000"/>
    <n v="7386.8457698898674"/>
    <s v="Y"/>
    <m/>
    <m/>
  </r>
  <r>
    <x v="0"/>
    <x v="7"/>
    <x v="7"/>
    <x v="2"/>
    <d v="1899-12-31T03:44:00"/>
    <n v="51448"/>
    <d v="1899-12-30T02:50:30"/>
    <n v="4374.6738450735647"/>
    <n v="1347.1969617975933"/>
    <s v="No"/>
    <x v="2"/>
    <x v="0"/>
    <s v="N"/>
    <x v="0"/>
    <n v="888000"/>
    <n v="10229.726131923147"/>
    <s v="N"/>
    <m/>
    <m/>
  </r>
  <r>
    <x v="0"/>
    <x v="7"/>
    <x v="7"/>
    <x v="0"/>
    <d v="1900-01-01T23:03:36"/>
    <n v="172158"/>
    <d v="1899-12-30T08:19:02"/>
    <n v="37187.85422408834"/>
    <n v="10764.039618323477"/>
    <s v="No"/>
    <x v="2"/>
    <x v="0"/>
    <s v="N"/>
    <x v="0"/>
    <n v="888000"/>
    <n v="29941.544168618679"/>
    <s v="N"/>
    <m/>
    <m/>
  </r>
  <r>
    <x v="0"/>
    <x v="7"/>
    <x v="7"/>
    <x v="1"/>
    <d v="1900-01-01T12:50:32"/>
    <n v="63046"/>
    <d v="1899-12-30T05:40:41"/>
    <n v="9919.9775253477655"/>
    <n v="2927.0551879145846"/>
    <s v="No"/>
    <x v="2"/>
    <x v="0"/>
    <s v="N"/>
    <x v="0"/>
    <n v="888000"/>
    <n v="20441.319020177998"/>
    <s v="N"/>
    <m/>
    <m/>
  </r>
  <r>
    <x v="0"/>
    <x v="8"/>
    <x v="22"/>
    <x v="2"/>
    <d v="1899-12-30T09:17:30"/>
    <n v="300"/>
    <d v="1899-12-30T00:53:16"/>
    <n v="57.745599164864693"/>
    <n v="16.589227818647572"/>
    <s v="Yes"/>
    <x v="2"/>
    <x v="0"/>
    <s v="N"/>
    <x v="0"/>
    <n v="1156000"/>
    <n v="3195.8497877241857"/>
    <s v="Y"/>
    <m/>
    <m/>
  </r>
  <r>
    <x v="0"/>
    <x v="8"/>
    <x v="22"/>
    <x v="0"/>
    <d v="1900-01-03T10:06:32"/>
    <n v="245455"/>
    <d v="1899-12-30T09:47:12"/>
    <n v="36256.889266387996"/>
    <n v="10693.185519157576"/>
    <s v="Yes"/>
    <x v="2"/>
    <x v="0"/>
    <s v="N"/>
    <x v="0"/>
    <n v="1156000"/>
    <n v="35232.117123109543"/>
    <s v="Y"/>
    <m/>
    <m/>
  </r>
  <r>
    <x v="0"/>
    <x v="8"/>
    <x v="22"/>
    <x v="1"/>
    <d v="1899-12-30T06:44:23"/>
    <n v="2100"/>
    <d v="1899-12-30T00:38:38"/>
    <n v="802.49544499782792"/>
    <n v="230.54189328762027"/>
    <s v="Yes"/>
    <x v="2"/>
    <x v="0"/>
    <s v="N"/>
    <x v="0"/>
    <n v="1156000"/>
    <n v="2318.1137040224785"/>
    <s v="Y"/>
    <m/>
    <m/>
  </r>
  <r>
    <x v="0"/>
    <x v="8"/>
    <x v="7"/>
    <x v="0"/>
    <d v="1900-01-02T11:35:20"/>
    <n v="130300"/>
    <d v="1899-12-30T08:23:50"/>
    <n v="29005.963931333055"/>
    <n v="8392.0065358496213"/>
    <s v="Yes"/>
    <x v="2"/>
    <x v="0"/>
    <s v="N"/>
    <x v="0"/>
    <n v="1156000"/>
    <n v="30229.66514757297"/>
    <s v="Y"/>
    <m/>
    <m/>
  </r>
  <r>
    <x v="0"/>
    <x v="8"/>
    <x v="7"/>
    <x v="1"/>
    <d v="1899-12-30T17:24:10"/>
    <n v="2300"/>
    <d v="1899-12-30T01:39:46"/>
    <n v="901.45127752896099"/>
    <n v="258.97004839526937"/>
    <s v="Yes"/>
    <x v="2"/>
    <x v="0"/>
    <s v="N"/>
    <x v="0"/>
    <n v="1156000"/>
    <n v="5985.6499013728026"/>
    <s v="Y"/>
    <m/>
    <m/>
  </r>
  <r>
    <x v="0"/>
    <x v="9"/>
    <x v="22"/>
    <x v="2"/>
    <d v="1899-12-31T06:40:00"/>
    <n v="84973"/>
    <d v="1899-12-30T02:41:24"/>
    <n v="8142.8687434274289"/>
    <n v="2387.7945901466642"/>
    <s v="No"/>
    <x v="2"/>
    <x v="0"/>
    <s v="N"/>
    <x v="0"/>
    <n v="7446000"/>
    <n v="9683.8526675484045"/>
    <s v="N"/>
    <m/>
    <m/>
  </r>
  <r>
    <x v="0"/>
    <x v="9"/>
    <x v="22"/>
    <x v="0"/>
    <d v="1900-01-05T04:00:00"/>
    <n v="428574"/>
    <d v="1899-12-30T13:42:53"/>
    <n v="102875.16255425106"/>
    <n v="30115.952741910543"/>
    <s v="No"/>
    <x v="2"/>
    <x v="0"/>
    <s v="N"/>
    <x v="0"/>
    <n v="7446000"/>
    <n v="49372.620721319981"/>
    <s v="N"/>
    <m/>
    <m/>
  </r>
  <r>
    <x v="0"/>
    <x v="9"/>
    <x v="22"/>
    <x v="1"/>
    <d v="1899-12-30T08:50:00"/>
    <n v="13506"/>
    <d v="1899-12-30T00:39:38"/>
    <n v="2076.6723984964792"/>
    <n v="581.36069935877708"/>
    <s v="No"/>
    <x v="2"/>
    <x v="0"/>
    <s v="N"/>
    <x v="0"/>
    <n v="7446000"/>
    <n v="2377.5318366371771"/>
    <s v="N"/>
    <m/>
    <m/>
  </r>
  <r>
    <x v="0"/>
    <x v="9"/>
    <x v="7"/>
    <x v="2"/>
    <d v="1899-12-31T17:50:00"/>
    <n v="112060"/>
    <d v="1899-12-30T03:48:06"/>
    <n v="13350.835716002446"/>
    <n v="3845.8387884163176"/>
    <s v="No"/>
    <x v="2"/>
    <x v="0"/>
    <s v="N"/>
    <x v="0"/>
    <n v="5286000"/>
    <n v="13686.07588487021"/>
    <s v="N"/>
    <m/>
    <m/>
  </r>
  <r>
    <x v="0"/>
    <x v="9"/>
    <x v="7"/>
    <x v="0"/>
    <d v="1900-01-03T09:10:00"/>
    <n v="396492"/>
    <d v="1899-12-30T09:57:57"/>
    <n v="100055.85865708522"/>
    <n v="28760.673542241231"/>
    <s v="No"/>
    <x v="2"/>
    <x v="0"/>
    <s v="N"/>
    <x v="0"/>
    <n v="5286000"/>
    <n v="35876.986398447094"/>
    <s v="N"/>
    <m/>
    <m/>
  </r>
  <r>
    <x v="0"/>
    <x v="9"/>
    <x v="7"/>
    <x v="1"/>
    <d v="1899-12-31T01:36:00"/>
    <n v="54986"/>
    <d v="1899-12-30T02:10:56"/>
    <n v="8821.7839226892957"/>
    <n v="2520.0275327221971"/>
    <s v="No"/>
    <x v="2"/>
    <x v="0"/>
    <s v="N"/>
    <x v="0"/>
    <n v="5286000"/>
    <n v="7855.82381509065"/>
    <s v="N"/>
    <m/>
    <m/>
  </r>
  <r>
    <x v="0"/>
    <x v="10"/>
    <x v="6"/>
    <x v="2"/>
    <d v="1900-01-01T01:12:43"/>
    <n v="5727500"/>
    <d v="1899-12-30T04:36:22"/>
    <n v="493619.41316609923"/>
    <n v="144480.86991196539"/>
    <s v="Yes"/>
    <x v="2"/>
    <x v="0"/>
    <s v="N"/>
    <x v="1"/>
    <n v="33338000"/>
    <n v="16581.533327687142"/>
    <s v="Y"/>
    <m/>
    <m/>
  </r>
  <r>
    <x v="0"/>
    <x v="10"/>
    <x v="6"/>
    <x v="0"/>
    <d v="1900-01-04T04:09:52"/>
    <n v="9237925"/>
    <d v="1899-12-30T11:50:09"/>
    <n v="3321998.8808372486"/>
    <n v="1009488.9712186222"/>
    <s v="Yes"/>
    <x v="2"/>
    <x v="0"/>
    <s v="N"/>
    <x v="1"/>
    <n v="33338000"/>
    <n v="42608.947237999411"/>
    <s v="Y"/>
    <m/>
    <m/>
  </r>
  <r>
    <x v="0"/>
    <x v="10"/>
    <x v="6"/>
    <x v="1"/>
    <d v="1899-12-31T01:03:29"/>
    <n v="501776"/>
    <d v="1899-12-30T01:45:31"/>
    <n v="103254.57659439032"/>
    <n v="31022.215723468638"/>
    <s v="Yes"/>
    <x v="2"/>
    <x v="0"/>
    <s v="N"/>
    <x v="1"/>
    <n v="33338000"/>
    <n v="6331.4787681032567"/>
    <s v="Y"/>
    <m/>
    <m/>
  </r>
  <r>
    <x v="0"/>
    <x v="10"/>
    <x v="7"/>
    <x v="2"/>
    <d v="1899-12-31T03:44:00"/>
    <n v="528776"/>
    <d v="1899-12-30T02:50:30"/>
    <n v="70074.237109146969"/>
    <n v="21579.581847739977"/>
    <s v="No"/>
    <x v="2"/>
    <x v="0"/>
    <s v="N"/>
    <x v="0"/>
    <n v="4469000"/>
    <n v="10229.726131923147"/>
    <s v="N"/>
    <m/>
    <m/>
  </r>
  <r>
    <x v="0"/>
    <x v="10"/>
    <x v="7"/>
    <x v="0"/>
    <d v="1900-01-01T23:03:36"/>
    <n v="1769909"/>
    <d v="1899-12-30T08:19:02"/>
    <n v="595898.30113143579"/>
    <n v="172482.70317004653"/>
    <s v="No"/>
    <x v="2"/>
    <x v="0"/>
    <s v="N"/>
    <x v="0"/>
    <n v="4469000"/>
    <n v="29941.544168618675"/>
    <s v="N"/>
    <m/>
    <m/>
  </r>
  <r>
    <x v="0"/>
    <x v="10"/>
    <x v="7"/>
    <x v="1"/>
    <d v="1900-01-01T12:50:32"/>
    <n v="648310"/>
    <d v="1899-12-30T05:40:41"/>
    <n v="158996.4934767299"/>
    <n v="46914.550774656411"/>
    <s v="No"/>
    <x v="2"/>
    <x v="0"/>
    <s v="N"/>
    <x v="0"/>
    <n v="4469000"/>
    <n v="20441.319020177998"/>
    <s v="N"/>
    <m/>
    <m/>
  </r>
  <r>
    <x v="0"/>
    <x v="11"/>
    <x v="23"/>
    <x v="2"/>
    <d v="1900-01-01T20:30:00"/>
    <n v="128667"/>
    <d v="1899-12-30T06:10:51"/>
    <n v="17165.734151714878"/>
    <n v="5025.7562895563806"/>
    <s v="No"/>
    <x v="1"/>
    <x v="0"/>
    <s v="N"/>
    <x v="0"/>
    <n v="1269000"/>
    <n v="22250.596664249795"/>
    <s v="N"/>
    <m/>
    <m/>
  </r>
  <r>
    <x v="0"/>
    <x v="11"/>
    <x v="23"/>
    <x v="0"/>
    <d v="1900-01-04T21:50:00"/>
    <n v="37184"/>
    <d v="1899-12-30T13:30:16"/>
    <n v="66745.0425350265"/>
    <n v="19200.472688031725"/>
    <s v="No"/>
    <x v="1"/>
    <x v="0"/>
    <s v="N"/>
    <x v="0"/>
    <n v="1269000"/>
    <n v="48615.986949881029"/>
    <s v="N"/>
    <m/>
    <m/>
  </r>
  <r>
    <x v="0"/>
    <x v="11"/>
    <x v="24"/>
    <x v="2"/>
    <d v="1899-12-30T05:00:00"/>
    <n v="18400"/>
    <d v="1899-12-30T00:22:46"/>
    <n v="2049.984075776687"/>
    <n v="586.46484128613315"/>
    <s v="No"/>
    <x v="1"/>
    <x v="0"/>
    <s v="N"/>
    <x v="0"/>
    <n v="1269000"/>
    <n v="1365.9624224178451"/>
    <s v="N"/>
    <m/>
    <m/>
  </r>
  <r>
    <x v="0"/>
    <x v="11"/>
    <x v="24"/>
    <x v="0"/>
    <d v="1900-01-01T17:30:00"/>
    <n v="25886"/>
    <d v="1899-12-30T06:15:29"/>
    <n v="43063.84270118866"/>
    <n v="12371.434492814065"/>
    <s v="No"/>
    <x v="1"/>
    <x v="0"/>
    <s v="N"/>
    <x v="0"/>
    <n v="1269000"/>
    <n v="22528.591328710409"/>
    <s v="N"/>
    <m/>
    <m/>
  </r>
  <r>
    <x v="0"/>
    <x v="11"/>
    <x v="25"/>
    <x v="2"/>
    <d v="1899-12-30T00:30:00"/>
    <n v="4402"/>
    <d v="1899-12-30T00:02:52"/>
    <n v="391.31330649253908"/>
    <n v="112.41697521120878"/>
    <s v="No"/>
    <x v="1"/>
    <x v="0"/>
    <s v="N"/>
    <x v="0"/>
    <n v="1269000"/>
    <n v="171.97397960847636"/>
    <s v="N"/>
    <m/>
    <m/>
  </r>
  <r>
    <x v="0"/>
    <x v="11"/>
    <x v="25"/>
    <x v="0"/>
    <d v="1899-12-30T12:00:00"/>
    <n v="3698"/>
    <d v="1899-12-30T01:08:47"/>
    <n v="7889.5589681566998"/>
    <n v="2266.5223498285304"/>
    <s v="No"/>
    <x v="1"/>
    <x v="0"/>
    <s v="N"/>
    <x v="0"/>
    <n v="1269000"/>
    <n v="4127.3755106034323"/>
    <s v="N"/>
    <m/>
    <m/>
  </r>
  <r>
    <x v="0"/>
    <x v="12"/>
    <x v="6"/>
    <x v="2"/>
    <d v="1899-12-31T23:52:50"/>
    <n v="98600"/>
    <d v="1899-12-30T04:19:01"/>
    <n v="21042.238491416745"/>
    <n v="6293.0369871026005"/>
    <s v="Yes"/>
    <x v="2"/>
    <x v="0"/>
    <s v="N"/>
    <x v="0"/>
    <n v="832000"/>
    <n v="15540.526655518359"/>
    <s v="Y"/>
    <m/>
    <m/>
  </r>
  <r>
    <x v="0"/>
    <x v="12"/>
    <x v="6"/>
    <x v="0"/>
    <d v="1900-01-04T18:15:12"/>
    <n v="206019"/>
    <d v="1899-12-30T12:49:34"/>
    <n v="124736.01202204016"/>
    <n v="37342.536923689768"/>
    <s v="Yes"/>
    <x v="2"/>
    <x v="0"/>
    <s v="N"/>
    <x v="0"/>
    <n v="832000"/>
    <n v="46173.976769112327"/>
    <s v="Y"/>
    <m/>
    <m/>
  </r>
  <r>
    <x v="0"/>
    <x v="12"/>
    <x v="6"/>
    <x v="1"/>
    <d v="1899-12-30T12:09:46"/>
    <n v="7400"/>
    <d v="1899-12-30T00:53:30"/>
    <n v="2090.5484312823669"/>
    <n v="625.74799216815097"/>
    <s v="Yes"/>
    <x v="2"/>
    <x v="0"/>
    <s v="N"/>
    <x v="0"/>
    <n v="832000"/>
    <n v="3210.319332974324"/>
    <s v="Y"/>
    <m/>
    <m/>
  </r>
  <r>
    <x v="0"/>
    <x v="12"/>
    <x v="7"/>
    <x v="2"/>
    <d v="1899-12-31T03:44:00"/>
    <n v="120019"/>
    <d v="1899-12-30T02:50:30"/>
    <n v="20285.720961816955"/>
    <n v="6247.056573208999"/>
    <s v="No"/>
    <x v="2"/>
    <x v="0"/>
    <s v="N"/>
    <x v="0"/>
    <n v="2098000"/>
    <n v="10229.726131923149"/>
    <s v="N"/>
    <m/>
    <m/>
  </r>
  <r>
    <x v="0"/>
    <x v="12"/>
    <x v="7"/>
    <x v="0"/>
    <d v="1900-01-01T23:03:36"/>
    <n v="401725"/>
    <d v="1899-12-30T08:19:02"/>
    <n v="172503.53064016541"/>
    <n v="49931.13265920656"/>
    <s v="No"/>
    <x v="2"/>
    <x v="0"/>
    <s v="N"/>
    <x v="0"/>
    <n v="2098000"/>
    <n v="29941.544168618675"/>
    <s v="N"/>
    <m/>
    <m/>
  </r>
  <r>
    <x v="0"/>
    <x v="12"/>
    <x v="7"/>
    <x v="1"/>
    <d v="1900-01-01T12:50:32"/>
    <n v="147136"/>
    <d v="1899-12-30T05:40:41"/>
    <n v="46022.513250498225"/>
    <n v="13579.707394203235"/>
    <s v="No"/>
    <x v="2"/>
    <x v="0"/>
    <s v="N"/>
    <x v="0"/>
    <n v="2098000"/>
    <n v="20441.319020177998"/>
    <s v="N"/>
    <m/>
    <m/>
  </r>
  <r>
    <x v="0"/>
    <x v="13"/>
    <x v="26"/>
    <x v="2"/>
    <d v="1899-12-30T23:15:35"/>
    <n v="84870"/>
    <d v="1899-12-30T02:13:20"/>
    <n v="6674.7154519013357"/>
    <n v="1917.5205878478639"/>
    <s v="Yes"/>
    <x v="1"/>
    <x v="0"/>
    <s v="N"/>
    <x v="0"/>
    <n v="5000000"/>
    <n v="8000.1339902865366"/>
    <s v="Y"/>
    <m/>
    <m/>
  </r>
  <r>
    <x v="0"/>
    <x v="13"/>
    <x v="26"/>
    <x v="0"/>
    <d v="1900-01-04T00:59:26"/>
    <n v="70390"/>
    <d v="1899-12-30T11:28:35"/>
    <n v="76506.622306974154"/>
    <n v="22550.414350451352"/>
    <s v="Yes"/>
    <x v="1"/>
    <x v="0"/>
    <s v="N"/>
    <x v="0"/>
    <n v="5000000"/>
    <n v="41315.035271651614"/>
    <s v="Y"/>
    <m/>
    <m/>
  </r>
  <r>
    <x v="0"/>
    <x v="13"/>
    <x v="27"/>
    <x v="2"/>
    <d v="1899-12-30T23:20:10"/>
    <n v="220220"/>
    <d v="1899-12-30T02:13:46"/>
    <n v="19696.780370096483"/>
    <n v="5658.5156545091286"/>
    <s v="Yes"/>
    <x v="1"/>
    <x v="0"/>
    <s v="N"/>
    <x v="0"/>
    <n v="40000000"/>
    <n v="8026.4077927267199"/>
    <s v="Y"/>
    <m/>
    <m/>
  </r>
  <r>
    <x v="0"/>
    <x v="13"/>
    <x v="27"/>
    <x v="0"/>
    <d v="1900-01-04T00:58:25"/>
    <n v="85500"/>
    <d v="1899-12-30T11:28:22"/>
    <n v="75989.886175969936"/>
    <n v="22397.835829458287"/>
    <s v="Yes"/>
    <x v="1"/>
    <x v="0"/>
    <s v="N"/>
    <x v="0"/>
    <n v="40000000"/>
    <n v="41302.462206419346"/>
    <s v="Y"/>
    <m/>
    <m/>
  </r>
  <r>
    <x v="0"/>
    <x v="13"/>
    <x v="28"/>
    <x v="2"/>
    <d v="1900-01-01T15:53:27"/>
    <n v="158640"/>
    <d v="1899-12-30T06:06:15"/>
    <n v="16076.900655328311"/>
    <n v="4618.5920909325596"/>
    <s v="Yes"/>
    <x v="1"/>
    <x v="0"/>
    <s v="N"/>
    <x v="0"/>
    <n v="5000000"/>
    <n v="21975.121737670444"/>
    <s v="Y"/>
    <m/>
    <m/>
  </r>
  <r>
    <x v="0"/>
    <x v="13"/>
    <x v="28"/>
    <x v="0"/>
    <d v="1900-01-04T04:35:24"/>
    <n v="97500"/>
    <d v="1899-12-30T11:31:02"/>
    <n v="80589.339752432075"/>
    <n v="23154.319114794329"/>
    <s v="Yes"/>
    <x v="1"/>
    <x v="0"/>
    <s v="N"/>
    <x v="0"/>
    <n v="5000000"/>
    <n v="41462.262086604751"/>
    <s v="Y"/>
    <m/>
    <m/>
  </r>
  <r>
    <x v="0"/>
    <x v="13"/>
    <x v="29"/>
    <x v="2"/>
    <d v="1900-01-01T15:47:31"/>
    <n v="487050"/>
    <d v="1899-12-30T06:05:41"/>
    <n v="42012.824649137619"/>
    <n v="12069.496714712452"/>
    <s v="Yes"/>
    <x v="1"/>
    <x v="0"/>
    <s v="N"/>
    <x v="0"/>
    <n v="29000000"/>
    <n v="21941.109106147884"/>
    <s v="Y"/>
    <m/>
    <m/>
  </r>
  <r>
    <x v="0"/>
    <x v="13"/>
    <x v="29"/>
    <x v="0"/>
    <d v="1900-01-04T04:38:38"/>
    <n v="144290"/>
    <d v="1899-12-30T11:31:27"/>
    <n v="78398.367706665158"/>
    <n v="23283.191472448081"/>
    <s v="Yes"/>
    <x v="1"/>
    <x v="0"/>
    <s v="N"/>
    <x v="0"/>
    <n v="29000000"/>
    <n v="41487.28832186661"/>
    <s v="Y"/>
    <m/>
    <m/>
  </r>
  <r>
    <x v="0"/>
    <x v="14"/>
    <x v="30"/>
    <x v="2"/>
    <d v="1900-01-01T20:00:00"/>
    <n v="735951"/>
    <d v="1899-12-30T06:08:09"/>
    <n v="13223.636597688781"/>
    <n v="3861.7696003980009"/>
    <s v="No"/>
    <x v="1"/>
    <x v="0"/>
    <s v="N"/>
    <x v="0"/>
    <n v="4637000"/>
    <n v="22088.929172927026"/>
    <s v="N"/>
    <m/>
    <m/>
  </r>
  <r>
    <x v="0"/>
    <x v="14"/>
    <x v="30"/>
    <x v="0"/>
    <d v="1900-01-05T01:50:00"/>
    <n v="189154"/>
    <d v="1899-12-30T13:53:12"/>
    <n v="49409.846990061131"/>
    <n v="14213.149012671369"/>
    <s v="No"/>
    <x v="1"/>
    <x v="0"/>
    <s v="N"/>
    <x v="0"/>
    <n v="4637000"/>
    <n v="49991.778786748837"/>
    <s v="N"/>
    <m/>
    <m/>
  </r>
  <r>
    <x v="0"/>
    <x v="14"/>
    <x v="24"/>
    <x v="2"/>
    <d v="1899-12-30T05:00:00"/>
    <n v="58854"/>
    <d v="1899-12-30T00:22:46"/>
    <n v="954.66604296461571"/>
    <n v="272.98695550621147"/>
    <s v="No"/>
    <x v="1"/>
    <x v="0"/>
    <s v="N"/>
    <x v="0"/>
    <n v="4637000"/>
    <n v="1365.9624224178451"/>
    <s v="N"/>
    <m/>
    <m/>
  </r>
  <r>
    <x v="0"/>
    <x v="14"/>
    <x v="24"/>
    <x v="0"/>
    <d v="1900-01-02T01:30:00"/>
    <n v="94577"/>
    <d v="1899-12-30T07:01:20"/>
    <n v="24985.899863277489"/>
    <n v="7177.9805055348015"/>
    <s v="No"/>
    <x v="1"/>
    <x v="0"/>
    <s v="N"/>
    <x v="0"/>
    <n v="4637000"/>
    <n v="25280.175002446027"/>
    <s v="N"/>
    <m/>
    <m/>
  </r>
  <r>
    <x v="0"/>
    <x v="14"/>
    <x v="25"/>
    <x v="0"/>
    <d v="1899-12-30T12:10:00"/>
    <n v="13511"/>
    <d v="1899-12-30T01:09:45"/>
    <n v="4135.9879592273392"/>
    <n v="1188.1917843629037"/>
    <s v="No"/>
    <x v="1"/>
    <x v="0"/>
    <s v="N"/>
    <x v="0"/>
    <n v="4637000"/>
    <n v="4184.7001704729246"/>
    <s v="N"/>
    <m/>
    <m/>
  </r>
  <r>
    <x v="0"/>
    <x v="15"/>
    <x v="6"/>
    <x v="2"/>
    <d v="1899-12-30T11:10:00"/>
    <n v="79483"/>
    <d v="1899-12-30T01:04:01"/>
    <n v="13255.295991461257"/>
    <n v="3807.9979805586972"/>
    <s v="No"/>
    <x v="2"/>
    <x v="0"/>
    <s v="N"/>
    <x v="0"/>
    <n v="0"/>
    <n v="3840.7522112559723"/>
    <s v="N"/>
    <m/>
    <m/>
  </r>
  <r>
    <x v="0"/>
    <x v="15"/>
    <x v="6"/>
    <x v="0"/>
    <d v="1900-01-04T10:20:00"/>
    <n v="1109511"/>
    <d v="1899-12-30T12:05:07"/>
    <n v="356961.29089061305"/>
    <n v="103388.95839458054"/>
    <s v="No"/>
    <x v="2"/>
    <x v="0"/>
    <s v="N"/>
    <x v="0"/>
    <n v="0"/>
    <n v="43506.924111339446"/>
    <s v="N"/>
    <m/>
    <m/>
  </r>
  <r>
    <x v="0"/>
    <x v="15"/>
    <x v="6"/>
    <x v="1"/>
    <d v="1900-01-02T08:50:00"/>
    <n v="575389"/>
    <d v="1899-12-30T07:04:20"/>
    <n v="103473.89012752855"/>
    <n v="30222.676337863595"/>
    <s v="No"/>
    <x v="2"/>
    <x v="0"/>
    <s v="N"/>
    <x v="0"/>
    <n v="0"/>
    <n v="25460.187930866967"/>
    <s v="N"/>
    <m/>
    <m/>
  </r>
  <r>
    <x v="0"/>
    <x v="15"/>
    <x v="7"/>
    <x v="2"/>
    <d v="1899-12-30T03:00:00"/>
    <n v="40420"/>
    <d v="1899-12-30T00:17:12"/>
    <n v="6661.2812585588608"/>
    <n v="1913.6611960129676"/>
    <s v="No"/>
    <x v="2"/>
    <x v="0"/>
    <s v="N"/>
    <x v="0"/>
    <n v="6054000"/>
    <n v="1031.8438776508581"/>
    <s v="N"/>
    <m/>
    <m/>
  </r>
  <r>
    <x v="0"/>
    <x v="15"/>
    <x v="7"/>
    <x v="0"/>
    <d v="1900-01-02T04:00:00"/>
    <n v="952734"/>
    <d v="1899-12-30T07:15:40"/>
    <n v="314024.20280018961"/>
    <n v="90213.26501346966"/>
    <s v="No"/>
    <x v="2"/>
    <x v="0"/>
    <s v="N"/>
    <x v="0"/>
    <n v="6054000"/>
    <n v="26140.044900488385"/>
    <s v="N"/>
    <m/>
    <m/>
  </r>
  <r>
    <x v="0"/>
    <x v="15"/>
    <x v="7"/>
    <x v="1"/>
    <d v="1900-01-03T20:40:00"/>
    <n v="1002302"/>
    <d v="1899-12-30T10:51:19"/>
    <n v="209136.83608664823"/>
    <n v="60670.829725970507"/>
    <s v="No"/>
    <x v="2"/>
    <x v="0"/>
    <s v="N"/>
    <x v="0"/>
    <n v="6054000"/>
    <n v="39079.128158244042"/>
    <s v="N"/>
    <m/>
    <m/>
  </r>
  <r>
    <x v="0"/>
    <x v="16"/>
    <x v="31"/>
    <x v="2"/>
    <d v="1899-12-30T02:00:00"/>
    <n v="10978"/>
    <d v="1899-12-30T00:12:32"/>
    <n v="1964.6234498281574"/>
    <n v="584.20132621816674"/>
    <s v="No"/>
    <x v="1"/>
    <x v="0"/>
    <s v="N"/>
    <x v="0"/>
    <n v="4513000"/>
    <n v="751.87449452513556"/>
    <s v="N"/>
    <m/>
    <m/>
  </r>
  <r>
    <x v="0"/>
    <x v="16"/>
    <x v="31"/>
    <x v="0"/>
    <d v="1900-01-06T21:39:00"/>
    <n v="341900"/>
    <d v="1899-12-30T18:02:11"/>
    <n v="406460.61541593977"/>
    <n v="116979.17903439238"/>
    <s v="No"/>
    <x v="1"/>
    <x v="0"/>
    <s v="N"/>
    <x v="0"/>
    <n v="4513000"/>
    <n v="64930.982967179414"/>
    <s v="N"/>
    <m/>
    <m/>
  </r>
  <r>
    <x v="0"/>
    <x v="16"/>
    <x v="32"/>
    <x v="0"/>
    <d v="1899-12-30T15:10:00"/>
    <n v="26300"/>
    <d v="1899-12-30T01:26:57"/>
    <n v="32654.976210917757"/>
    <n v="9381.1623328872083"/>
    <s v="No"/>
    <x v="1"/>
    <x v="0"/>
    <s v="N"/>
    <x v="0"/>
    <n v="4513000"/>
    <n v="5216.544048123782"/>
    <s v="N"/>
    <m/>
    <m/>
  </r>
  <r>
    <x v="0"/>
    <x v="17"/>
    <x v="33"/>
    <x v="0"/>
    <d v="1899-12-30T23:05:00"/>
    <n v="1588"/>
    <d v="1899-12-30T02:12:19"/>
    <n v="1184.2931361255698"/>
    <n v="340.22521063737793"/>
    <s v="No"/>
    <x v="1"/>
    <x v="0"/>
    <s v="N"/>
    <x v="1"/>
    <n v="250000"/>
    <n v="7939.4653919246593"/>
    <s v="N"/>
    <m/>
    <m/>
  </r>
  <r>
    <x v="0"/>
    <x v="17"/>
    <x v="33"/>
    <x v="1"/>
    <d v="1899-12-30T23:10:00"/>
    <n v="3360"/>
    <d v="1899-12-30T02:12:48"/>
    <n v="1438.158699128672"/>
    <n v="413.1560265068951"/>
    <s v="No"/>
    <x v="1"/>
    <x v="0"/>
    <s v="N"/>
    <x v="1"/>
    <n v="250000"/>
    <n v="7968.1277218594041"/>
    <s v="N"/>
    <m/>
    <m/>
  </r>
  <r>
    <x v="0"/>
    <x v="18"/>
    <x v="23"/>
    <x v="2"/>
    <d v="1900-01-02T01:37:38"/>
    <n v="41000"/>
    <d v="1899-12-30T06:43:05"/>
    <n v="7746.9612849488276"/>
    <n v="2212.1330967994004"/>
    <s v="Yes"/>
    <x v="1"/>
    <x v="0"/>
    <s v="N"/>
    <x v="0"/>
    <n v="4355000"/>
    <n v="24184.7796752867"/>
    <s v="Y"/>
    <m/>
    <m/>
  </r>
  <r>
    <x v="0"/>
    <x v="18"/>
    <x v="23"/>
    <x v="0"/>
    <d v="1900-01-05T04:12:35"/>
    <n v="0"/>
    <d v="1899-12-30T13:58:36"/>
    <n v="0"/>
    <n v="0"/>
    <s v="Yes"/>
    <x v="1"/>
    <x v="0"/>
    <s v="N"/>
    <x v="0"/>
    <n v="4355000"/>
    <n v="50315.796641640722"/>
    <s v="Y"/>
    <m/>
    <m/>
  </r>
  <r>
    <x v="0"/>
    <x v="18"/>
    <x v="24"/>
    <x v="2"/>
    <d v="1899-12-30T11:19:49"/>
    <n v="0"/>
    <d v="1899-12-30T01:00:25"/>
    <n v="0"/>
    <n v="0"/>
    <s v="Yes"/>
    <x v="1"/>
    <x v="0"/>
    <s v="N"/>
    <x v="0"/>
    <n v="4355000"/>
    <n v="3624.613723812914"/>
    <s v="Y"/>
    <m/>
    <m/>
  </r>
  <r>
    <x v="0"/>
    <x v="18"/>
    <x v="24"/>
    <x v="0"/>
    <d v="1900-01-02T15:36:46"/>
    <n v="0"/>
    <d v="1899-12-30T08:22:14"/>
    <n v="0"/>
    <n v="0"/>
    <s v="Yes"/>
    <x v="1"/>
    <x v="0"/>
    <s v="N"/>
    <x v="0"/>
    <n v="4355000"/>
    <n v="30134.236117995046"/>
    <s v="Y"/>
    <m/>
    <m/>
  </r>
  <r>
    <x v="0"/>
    <x v="18"/>
    <x v="34"/>
    <x v="2"/>
    <d v="1899-12-30T11:19:49"/>
    <n v="2000"/>
    <d v="1899-12-30T01:00:25"/>
    <n v="184.58688701877878"/>
    <n v="53.028351344090815"/>
    <s v="Yes"/>
    <x v="1"/>
    <x v="0"/>
    <s v="N"/>
    <x v="0"/>
    <n v="4355000"/>
    <n v="3624.613723812914"/>
    <s v="Y"/>
    <m/>
    <m/>
  </r>
  <r>
    <x v="0"/>
    <x v="18"/>
    <x v="34"/>
    <x v="0"/>
    <d v="1900-01-02T15:36:46"/>
    <n v="25000"/>
    <d v="1899-12-30T08:22:14"/>
    <n v="15509.228912764307"/>
    <n v="4455.5106440379377"/>
    <s v="Yes"/>
    <x v="1"/>
    <x v="0"/>
    <s v="N"/>
    <x v="0"/>
    <n v="4355000"/>
    <n v="30134.236117995046"/>
    <s v="Y"/>
    <m/>
    <m/>
  </r>
  <r>
    <x v="0"/>
    <x v="18"/>
    <x v="25"/>
    <x v="0"/>
    <d v="1899-12-30T12:11:58"/>
    <n v="0"/>
    <d v="1899-12-30T01:09:56"/>
    <n v="0"/>
    <n v="0"/>
    <s v="Yes"/>
    <x v="1"/>
    <x v="0"/>
    <s v="N"/>
    <x v="0"/>
    <n v="4355000"/>
    <n v="4195.9740202472576"/>
    <s v="Y"/>
    <m/>
    <m/>
  </r>
  <r>
    <x v="0"/>
    <x v="18"/>
    <x v="35"/>
    <x v="0"/>
    <d v="1899-12-30T12:11:58"/>
    <n v="11000"/>
    <d v="1899-12-30T01:09:56"/>
    <n v="5937.702713288264"/>
    <n v="1705.7906482001545"/>
    <s v="Yes"/>
    <x v="1"/>
    <x v="0"/>
    <s v="N"/>
    <x v="0"/>
    <n v="4355000"/>
    <n v="4195.9740202472576"/>
    <s v="Y"/>
    <m/>
    <m/>
  </r>
  <r>
    <x v="0"/>
    <x v="18"/>
    <x v="36"/>
    <x v="2"/>
    <d v="1900-01-02T01:37:38"/>
    <n v="73000"/>
    <d v="1899-12-30T06:43:05"/>
    <n v="10306.594003125532"/>
    <n v="3052.513109278018"/>
    <s v="Yes"/>
    <x v="1"/>
    <x v="0"/>
    <s v="N"/>
    <x v="0"/>
    <n v="4355000"/>
    <n v="24184.7796752867"/>
    <s v="Y"/>
    <m/>
    <m/>
  </r>
  <r>
    <x v="0"/>
    <x v="18"/>
    <x v="36"/>
    <x v="0"/>
    <d v="1900-01-05T04:12:35"/>
    <n v="38000"/>
    <d v="1899-12-30T13:58:36"/>
    <n v="32698.769188100461"/>
    <n v="9383.9485584268423"/>
    <s v="Yes"/>
    <x v="1"/>
    <x v="0"/>
    <s v="N"/>
    <x v="0"/>
    <n v="4355000"/>
    <n v="50315.796641640707"/>
    <s v="Y"/>
    <m/>
    <m/>
  </r>
  <r>
    <x v="0"/>
    <x v="19"/>
    <x v="0"/>
    <x v="0"/>
    <d v="1899-12-30T13:00:00"/>
    <n v="95264"/>
    <d v="1899-12-30T01:12:21"/>
    <n v="52584.801592173215"/>
    <n v="15250.23831290113"/>
    <s v="No"/>
    <x v="0"/>
    <x v="0"/>
    <s v="N"/>
    <x v="0"/>
    <n v="8173540"/>
    <n v="4341.0917676368708"/>
    <s v="N"/>
    <m/>
    <m/>
  </r>
  <r>
    <x v="0"/>
    <x v="19"/>
    <x v="0"/>
    <x v="1"/>
    <d v="1899-12-30T02:00:00"/>
    <n v="12246"/>
    <d v="1899-12-30T00:09:18"/>
    <n v="3473.4374654181729"/>
    <n v="1071.6970286896569"/>
    <s v="No"/>
    <x v="0"/>
    <x v="0"/>
    <s v="N"/>
    <x v="0"/>
    <n v="8173540"/>
    <n v="557.6642162503905"/>
    <s v="N"/>
    <m/>
    <m/>
  </r>
  <r>
    <x v="0"/>
    <x v="19"/>
    <x v="1"/>
    <x v="0"/>
    <d v="1899-12-30T18:20:00"/>
    <n v="95264"/>
    <d v="1899-12-30T01:45:06"/>
    <n v="76382.777181849044"/>
    <n v="21943.339586329472"/>
    <s v="No"/>
    <x v="0"/>
    <x v="0"/>
    <s v="N"/>
    <x v="0"/>
    <n v="8173540"/>
    <n v="6305.7125856441317"/>
    <s v="N"/>
    <m/>
    <m/>
  </r>
  <r>
    <x v="0"/>
    <x v="19"/>
    <x v="1"/>
    <x v="1"/>
    <d v="1899-12-30T05:05:00"/>
    <n v="24492"/>
    <d v="1899-12-30T00:22:16"/>
    <n v="8321.7598869712638"/>
    <n v="2408.572618030641"/>
    <s v="No"/>
    <x v="0"/>
    <x v="0"/>
    <s v="N"/>
    <x v="0"/>
    <n v="8173540"/>
    <n v="1336.0677286968403"/>
    <s v="N"/>
    <m/>
    <m/>
  </r>
  <r>
    <x v="0"/>
    <x v="19"/>
    <x v="2"/>
    <x v="0"/>
    <d v="1899-12-31T17:25:00"/>
    <n v="251303"/>
    <d v="1899-12-30T03:50:02"/>
    <n v="173425.67543294796"/>
    <n v="49557.99838884468"/>
    <s v="No"/>
    <x v="0"/>
    <x v="0"/>
    <s v="N"/>
    <x v="0"/>
    <n v="8173540"/>
    <n v="13802.215696306885"/>
    <s v="N"/>
    <m/>
    <m/>
  </r>
  <r>
    <x v="0"/>
    <x v="19"/>
    <x v="3"/>
    <x v="2"/>
    <d v="1899-12-30T00:30:00"/>
    <n v="9940"/>
    <d v="1899-12-30T00:02:28"/>
    <n v="748.61439062666216"/>
    <n v="228.67408847625919"/>
    <s v="No"/>
    <x v="0"/>
    <x v="0"/>
    <s v="N"/>
    <x v="0"/>
    <n v="8173540"/>
    <n v="148.07417974322402"/>
    <s v="N"/>
    <m/>
    <m/>
  </r>
  <r>
    <x v="0"/>
    <x v="19"/>
    <x v="3"/>
    <x v="0"/>
    <d v="1900-01-03T23:45:00"/>
    <n v="655382"/>
    <d v="1899-12-30T11:19:19"/>
    <n v="586717.93968884833"/>
    <n v="170947.9539206505"/>
    <s v="No"/>
    <x v="0"/>
    <x v="0"/>
    <s v="N"/>
    <x v="0"/>
    <n v="8173540"/>
    <n v="40758.871106188686"/>
    <s v="N"/>
    <m/>
    <m/>
  </r>
  <r>
    <x v="0"/>
    <x v="19"/>
    <x v="3"/>
    <x v="1"/>
    <d v="1899-12-30T05:15:00"/>
    <n v="12246"/>
    <d v="1899-12-30T00:24:24"/>
    <n v="9117.7733467227044"/>
    <n v="2813.2047003103498"/>
    <s v="No"/>
    <x v="0"/>
    <x v="0"/>
    <s v="N"/>
    <x v="0"/>
    <n v="8173540"/>
    <n v="1463.868567657275"/>
    <s v="N"/>
    <m/>
    <m/>
  </r>
  <r>
    <x v="0"/>
    <x v="20"/>
    <x v="6"/>
    <x v="2"/>
    <d v="1899-12-31T14:49:20"/>
    <n v="1479414"/>
    <d v="1899-12-30T03:38:59"/>
    <n v="55587.930922713007"/>
    <n v="16575.932012152869"/>
    <s v="Yes"/>
    <x v="2"/>
    <x v="0"/>
    <s v="N"/>
    <x v="0"/>
    <n v="7455000"/>
    <n v="13139.347622602065"/>
    <s v="Y"/>
    <m/>
    <m/>
  </r>
  <r>
    <x v="0"/>
    <x v="20"/>
    <x v="6"/>
    <x v="0"/>
    <d v="1900-01-04T10:04:59"/>
    <n v="1299617"/>
    <d v="1899-12-30T12:02:49"/>
    <n v="384039.94793879049"/>
    <n v="114994.86333229799"/>
    <s v="Yes"/>
    <x v="2"/>
    <x v="0"/>
    <s v="N"/>
    <x v="0"/>
    <n v="7455000"/>
    <n v="43368.714977544631"/>
    <s v="Y"/>
    <m/>
    <m/>
  </r>
  <r>
    <x v="0"/>
    <x v="20"/>
    <x v="6"/>
    <x v="1"/>
    <d v="1899-12-31T08:16:41"/>
    <n v="143700"/>
    <d v="1899-12-30T02:19:00"/>
    <n v="27324.781893821604"/>
    <n v="8194.7525201362369"/>
    <s v="Yes"/>
    <x v="2"/>
    <x v="0"/>
    <s v="N"/>
    <x v="0"/>
    <n v="7455000"/>
    <n v="8340.316651795556"/>
    <s v="Y"/>
    <m/>
    <m/>
  </r>
  <r>
    <x v="0"/>
    <x v="20"/>
    <x v="7"/>
    <x v="2"/>
    <d v="1899-12-31T03:44:00"/>
    <n v="267340"/>
    <d v="1899-12-30T02:50:30"/>
    <n v="26225.566184034044"/>
    <n v="8076.2446000067339"/>
    <s v="No"/>
    <x v="2"/>
    <x v="0"/>
    <s v="N"/>
    <x v="0"/>
    <n v="1871000"/>
    <n v="10229.726131923147"/>
    <s v="N"/>
    <m/>
    <m/>
  </r>
  <r>
    <x v="0"/>
    <x v="20"/>
    <x v="7"/>
    <x v="0"/>
    <d v="1900-01-01T23:03:36"/>
    <n v="894783"/>
    <d v="1899-12-30T08:19:02"/>
    <n v="223001.24661752043"/>
    <n v="64547.697937082492"/>
    <s v="No"/>
    <x v="2"/>
    <x v="0"/>
    <s v="N"/>
    <x v="0"/>
    <n v="1871000"/>
    <n v="29941.544168618675"/>
    <s v="N"/>
    <m/>
    <m/>
  </r>
  <r>
    <x v="0"/>
    <x v="20"/>
    <x v="7"/>
    <x v="1"/>
    <d v="1900-01-01T12:50:32"/>
    <n v="327756"/>
    <d v="1899-12-30T05:40:41"/>
    <n v="59500.969981402603"/>
    <n v="17556.747216808239"/>
    <s v="No"/>
    <x v="2"/>
    <x v="0"/>
    <s v="N"/>
    <x v="0"/>
    <n v="1871000"/>
    <n v="20441.319020177998"/>
    <s v="N"/>
    <m/>
    <m/>
  </r>
  <r>
    <x v="0"/>
    <x v="21"/>
    <x v="37"/>
    <x v="0"/>
    <d v="1899-12-30T18:37:00"/>
    <n v="310000"/>
    <d v="1899-12-30T01:46:43"/>
    <n v="106573.35135446006"/>
    <n v="30616.525425051477"/>
    <s v="Yes"/>
    <x v="1"/>
    <x v="0"/>
    <s v="N"/>
    <x v="0"/>
    <n v="9498920"/>
    <n v="6403.1645074222688"/>
    <s v="Y"/>
    <m/>
    <m/>
  </r>
  <r>
    <x v="0"/>
    <x v="21"/>
    <x v="37"/>
    <x v="1"/>
    <d v="1899-12-30T04:41:00"/>
    <n v="2000"/>
    <d v="1899-12-30T00:26:51"/>
    <n v="702.16072234345063"/>
    <n v="201.71760890393631"/>
    <s v="Yes"/>
    <x v="1"/>
    <x v="0"/>
    <s v="N"/>
    <x v="0"/>
    <n v="9498920"/>
    <n v="1610.8229423327284"/>
    <s v="Y"/>
    <m/>
    <m/>
  </r>
  <r>
    <x v="0"/>
    <x v="21"/>
    <x v="38"/>
    <x v="2"/>
    <d v="1899-12-30T01:45:00"/>
    <n v="114000"/>
    <d v="1899-12-30T00:10:02"/>
    <n v="6608.0647121156462"/>
    <n v="1898.3730801143402"/>
    <s v="Yes"/>
    <x v="1"/>
    <x v="0"/>
    <s v="N"/>
    <x v="0"/>
    <n v="5475360"/>
    <n v="601.90892862966723"/>
    <s v="Y"/>
    <m/>
    <m/>
  </r>
  <r>
    <x v="0"/>
    <x v="22"/>
    <x v="39"/>
    <x v="2"/>
    <d v="1899-12-30T14:12:26"/>
    <n v="71234"/>
    <d v="1899-12-30T01:21:27"/>
    <n v="667.93247899078256"/>
    <n v="191.88447642247425"/>
    <s v="No"/>
    <x v="4"/>
    <x v="0"/>
    <s v="Y"/>
    <x v="0"/>
    <n v="3100000"/>
    <n v="4886.5450894750738"/>
    <s v="N"/>
    <m/>
    <m/>
  </r>
  <r>
    <x v="0"/>
    <x v="22"/>
    <x v="39"/>
    <x v="0"/>
    <d v="1900-01-03T20:57:22"/>
    <n v="149410"/>
    <d v="1899-12-30T11:01:45"/>
    <n v="12503.021939779568"/>
    <n v="3594.9331067715952"/>
    <s v="No"/>
    <x v="4"/>
    <x v="0"/>
    <s v="Y"/>
    <x v="0"/>
    <n v="3100000"/>
    <n v="39705.031233648268"/>
    <s v="N"/>
    <m/>
    <m/>
  </r>
  <r>
    <x v="0"/>
    <x v="22"/>
    <x v="40"/>
    <x v="2"/>
    <d v="1899-12-30T00:13:19"/>
    <n v="2398"/>
    <d v="1899-12-30T00:01:16"/>
    <n v="9.7876789290890223"/>
    <n v="2.8118166218496587"/>
    <s v="No"/>
    <x v="4"/>
    <x v="0"/>
    <s v="Y"/>
    <x v="0"/>
    <n v="3100000"/>
    <n v="76.337338726206994"/>
    <s v="N"/>
    <m/>
    <m/>
  </r>
  <r>
    <x v="0"/>
    <x v="22"/>
    <x v="41"/>
    <x v="2"/>
    <d v="1900-01-04T15:38:16"/>
    <n v="484738"/>
    <d v="1899-12-30T12:57:32"/>
    <n v="6311.354432020863"/>
    <n v="1813.1337804306684"/>
    <s v="No"/>
    <x v="4"/>
    <x v="0"/>
    <s v="Y"/>
    <x v="0"/>
    <n v="3100000"/>
    <n v="46652.336859389165"/>
    <s v="N"/>
    <m/>
    <m/>
  </r>
  <r>
    <x v="0"/>
    <x v="22"/>
    <x v="41"/>
    <x v="0"/>
    <d v="1900-01-04T02:06:03"/>
    <n v="432934"/>
    <d v="1899-12-30T11:29:54"/>
    <n v="17401.45045777359"/>
    <n v="5002.1671874341428"/>
    <s v="No"/>
    <x v="4"/>
    <x v="0"/>
    <s v="Y"/>
    <x v="0"/>
    <n v="3100000"/>
    <n v="41393.922181194233"/>
    <s v="N"/>
    <m/>
    <m/>
  </r>
  <r>
    <x v="0"/>
    <x v="22"/>
    <x v="41"/>
    <x v="1"/>
    <d v="1899-12-31T23:58:43"/>
    <n v="93592"/>
    <d v="1899-12-30T04:35:02"/>
    <n v="3147.2752329201944"/>
    <n v="904.15315802399584"/>
    <s v="No"/>
    <x v="4"/>
    <x v="0"/>
    <s v="Y"/>
    <x v="0"/>
    <n v="3100000"/>
    <n v="16502.145377730474"/>
    <s v="N"/>
    <m/>
    <m/>
  </r>
  <r>
    <x v="0"/>
    <x v="22"/>
    <x v="42"/>
    <x v="0"/>
    <d v="1899-12-30T17:03:26"/>
    <n v="11492"/>
    <d v="1899-12-30T01:37:47"/>
    <n v="1802.4373836711318"/>
    <n v="517.80646177381391"/>
    <s v="No"/>
    <x v="4"/>
    <x v="0"/>
    <s v="Y"/>
    <x v="0"/>
    <n v="3100000"/>
    <n v="5866.7967732433881"/>
    <s v="N"/>
    <m/>
    <m/>
  </r>
  <r>
    <x v="0"/>
    <x v="22"/>
    <x v="43"/>
    <x v="2"/>
    <d v="1899-12-30T06:31:39"/>
    <n v="23627"/>
    <d v="1899-12-30T00:37:25"/>
    <n v="297.73366407839166"/>
    <n v="85.533298712092432"/>
    <s v="No"/>
    <x v="4"/>
    <x v="0"/>
    <s v="Y"/>
    <x v="0"/>
    <n v="3100000"/>
    <n v="2245.1203037886589"/>
    <s v="N"/>
    <m/>
    <m/>
  </r>
  <r>
    <x v="0"/>
    <x v="22"/>
    <x v="43"/>
    <x v="0"/>
    <d v="1899-12-30T10:00:04"/>
    <n v="40250"/>
    <d v="1899-12-30T00:57:20"/>
    <n v="1707.065583697113"/>
    <n v="490.40793201353853"/>
    <s v="No"/>
    <x v="4"/>
    <x v="0"/>
    <s v="Y"/>
    <x v="0"/>
    <n v="3100000"/>
    <n v="3439.8617565686568"/>
    <s v="N"/>
    <m/>
    <m/>
  </r>
  <r>
    <x v="0"/>
    <x v="22"/>
    <x v="43"/>
    <x v="1"/>
    <d v="1899-12-30T01:58:45"/>
    <n v="2954"/>
    <d v="1899-12-30T00:11:21"/>
    <n v="107.51748972092358"/>
    <n v="30.887758673647134"/>
    <s v="No"/>
    <x v="4"/>
    <x v="0"/>
    <s v="Y"/>
    <x v="0"/>
    <n v="3100000"/>
    <n v="680.730335950219"/>
    <s v="N"/>
    <m/>
    <m/>
  </r>
  <r>
    <x v="0"/>
    <x v="22"/>
    <x v="44"/>
    <x v="2"/>
    <d v="1899-12-30T06:02:32"/>
    <n v="59557"/>
    <d v="1899-12-30T00:34:38"/>
    <n v="508.81360291022179"/>
    <n v="146.17260705540264"/>
    <s v="No"/>
    <x v="4"/>
    <x v="0"/>
    <s v="Y"/>
    <x v="0"/>
    <n v="3100000"/>
    <n v="2078.2100024686542"/>
    <s v="N"/>
    <m/>
    <m/>
  </r>
  <r>
    <x v="0"/>
    <x v="22"/>
    <x v="45"/>
    <x v="2"/>
    <d v="1899-12-30T00:12:11"/>
    <n v="3770"/>
    <d v="1899-12-30T00:01:10"/>
    <n v="14.078049360234795"/>
    <n v="4.044359595478932"/>
    <s v="No"/>
    <x v="4"/>
    <x v="0"/>
    <s v="Y"/>
    <x v="0"/>
    <n v="3100000"/>
    <n v="69.84054394099789"/>
    <s v="N"/>
    <m/>
    <m/>
  </r>
  <r>
    <x v="0"/>
    <x v="22"/>
    <x v="45"/>
    <x v="0"/>
    <d v="1900-01-02T18:24:12"/>
    <n v="135517"/>
    <d v="1899-12-30T08:38:14"/>
    <n v="15688.763784513823"/>
    <n v="4507.087646128457"/>
    <s v="No"/>
    <x v="4"/>
    <x v="0"/>
    <s v="Y"/>
    <x v="0"/>
    <n v="3100000"/>
    <n v="31094.042006409909"/>
    <s v="N"/>
    <m/>
    <m/>
  </r>
  <r>
    <x v="0"/>
    <x v="23"/>
    <x v="23"/>
    <x v="2"/>
    <d v="1900-01-02T01:37:38"/>
    <n v="741900"/>
    <d v="1899-12-30T06:43:05"/>
    <n v="77008.397572357251"/>
    <n v="22458.229060764945"/>
    <s v="No"/>
    <x v="1"/>
    <x v="0"/>
    <s v="Y"/>
    <x v="0"/>
    <n v="41686315"/>
    <n v="24184.7796752867"/>
    <s v="N"/>
    <m/>
    <m/>
  </r>
  <r>
    <x v="0"/>
    <x v="23"/>
    <x v="23"/>
    <x v="0"/>
    <d v="1900-01-05T04:12:35"/>
    <n v="369975"/>
    <d v="1899-12-30T13:58:36"/>
    <n v="279778.39141403086"/>
    <n v="80428.369342311111"/>
    <s v="No"/>
    <x v="1"/>
    <x v="0"/>
    <s v="Y"/>
    <x v="0"/>
    <n v="41686315"/>
    <n v="50315.796641640707"/>
    <s v="N"/>
    <m/>
    <m/>
  </r>
  <r>
    <x v="0"/>
    <x v="23"/>
    <x v="24"/>
    <x v="2"/>
    <d v="1899-12-30T11:19:49"/>
    <n v="91338"/>
    <d v="1899-12-30T01:00:25"/>
    <n v="9930.9351539507588"/>
    <n v="2868.8328745205681"/>
    <s v="No"/>
    <x v="1"/>
    <x v="0"/>
    <s v="Y"/>
    <x v="0"/>
    <n v="41686315"/>
    <n v="3624.613723812914"/>
    <s v="N"/>
    <m/>
    <m/>
  </r>
  <r>
    <x v="0"/>
    <x v="23"/>
    <x v="24"/>
    <x v="0"/>
    <d v="1900-01-02T15:36:46"/>
    <n v="163170"/>
    <d v="1899-12-30T08:22:14"/>
    <n v="131962.31029368346"/>
    <n v="37910.297245109665"/>
    <s v="No"/>
    <x v="1"/>
    <x v="0"/>
    <s v="Y"/>
    <x v="0"/>
    <n v="41686315"/>
    <n v="30134.236117995046"/>
    <s v="N"/>
    <m/>
    <m/>
  </r>
  <r>
    <x v="0"/>
    <x v="23"/>
    <x v="34"/>
    <x v="2"/>
    <d v="1899-12-30T11:19:49"/>
    <n v="76887"/>
    <d v="1899-12-30T01:00:25"/>
    <n v="8359.6049572443062"/>
    <n v="2414.9084031717539"/>
    <s v="No"/>
    <x v="1"/>
    <x v="0"/>
    <s v="Y"/>
    <x v="0"/>
    <n v="41686315"/>
    <n v="3624.6137238129145"/>
    <s v="N"/>
    <m/>
    <m/>
  </r>
  <r>
    <x v="0"/>
    <x v="23"/>
    <x v="34"/>
    <x v="0"/>
    <d v="1900-01-02T15:36:46"/>
    <n v="137368"/>
    <d v="1899-12-30T08:22:14"/>
    <n v="111095.16847718813"/>
    <n v="31915.558693180403"/>
    <s v="No"/>
    <x v="1"/>
    <x v="0"/>
    <s v="Y"/>
    <x v="0"/>
    <n v="41686315"/>
    <n v="30134.236117995057"/>
    <s v="N"/>
    <m/>
    <m/>
  </r>
  <r>
    <x v="0"/>
    <x v="23"/>
    <x v="25"/>
    <x v="0"/>
    <d v="1899-12-30T12:11:58"/>
    <n v="32200.000000000004"/>
    <d v="1899-12-30T01:09:56"/>
    <n v="25382.600364134221"/>
    <n v="7291.9451206684207"/>
    <s v="No"/>
    <x v="1"/>
    <x v="0"/>
    <s v="Y"/>
    <x v="0"/>
    <n v="41686315"/>
    <n v="4195.9740202472576"/>
    <s v="N"/>
    <m/>
    <m/>
  </r>
  <r>
    <x v="0"/>
    <x v="23"/>
    <x v="35"/>
    <x v="0"/>
    <d v="1899-12-30T12:11:58"/>
    <n v="19624"/>
    <d v="1899-12-30T01:09:56"/>
    <n v="15469.197190862407"/>
    <n v="4444.0102809936934"/>
    <s v="No"/>
    <x v="1"/>
    <x v="0"/>
    <s v="Y"/>
    <x v="0"/>
    <n v="41686315"/>
    <n v="4195.9740202472576"/>
    <s v="N"/>
    <m/>
    <m/>
  </r>
  <r>
    <x v="0"/>
    <x v="23"/>
    <x v="36"/>
    <x v="2"/>
    <d v="1900-01-02T01:37:38"/>
    <n v="5063248"/>
    <d v="1899-12-30T06:43:05"/>
    <n v="525557.18300520896"/>
    <n v="153270.09292771269"/>
    <s v="No"/>
    <x v="1"/>
    <x v="0"/>
    <s v="Y"/>
    <x v="0"/>
    <n v="41686315"/>
    <n v="24184.7796752867"/>
    <s v="N"/>
    <m/>
    <m/>
  </r>
  <r>
    <x v="0"/>
    <x v="23"/>
    <x v="36"/>
    <x v="0"/>
    <d v="1900-01-05T04:12:35"/>
    <n v="2524950"/>
    <d v="1899-12-30T13:58:36"/>
    <n v="1909389.6868730534"/>
    <n v="548895.49610343552"/>
    <s v="No"/>
    <x v="1"/>
    <x v="0"/>
    <s v="Y"/>
    <x v="0"/>
    <n v="41686315"/>
    <n v="50315.796641640707"/>
    <s v="N"/>
    <m/>
    <m/>
  </r>
  <r>
    <x v="0"/>
    <x v="24"/>
    <x v="26"/>
    <x v="2"/>
    <d v="1899-12-30T23:15:35"/>
    <n v="70360"/>
    <d v="1899-12-30T02:13:20"/>
    <n v="5900.7616485372191"/>
    <n v="1695.1781730006364"/>
    <s v="No"/>
    <x v="1"/>
    <x v="0"/>
    <s v="Y"/>
    <x v="0"/>
    <n v="4400000"/>
    <n v="8000.1339902865366"/>
    <s v="N"/>
    <m/>
    <m/>
  </r>
  <r>
    <x v="0"/>
    <x v="24"/>
    <x v="26"/>
    <x v="0"/>
    <d v="1900-01-04T00:59:26"/>
    <n v="63440"/>
    <d v="1899-12-30T11:28:35"/>
    <n v="49326.875580449174"/>
    <n v="14414.822590390373"/>
    <s v="No"/>
    <x v="1"/>
    <x v="0"/>
    <s v="Y"/>
    <x v="0"/>
    <n v="4400000"/>
    <n v="41315.035271651599"/>
    <s v="N"/>
    <m/>
    <m/>
  </r>
  <r>
    <x v="0"/>
    <x v="24"/>
    <x v="27"/>
    <x v="2"/>
    <d v="1899-12-30T23:20:10"/>
    <n v="569106"/>
    <d v="1899-12-30T02:13:46"/>
    <n v="47872.167676832491"/>
    <n v="13752.776094609802"/>
    <s v="No"/>
    <x v="1"/>
    <x v="0"/>
    <s v="Y"/>
    <x v="0"/>
    <n v="35200000"/>
    <n v="8026.4077927267199"/>
    <s v="N"/>
    <m/>
    <m/>
  </r>
  <r>
    <x v="0"/>
    <x v="24"/>
    <x v="27"/>
    <x v="0"/>
    <d v="1900-01-04T00:58:25"/>
    <n v="513032"/>
    <d v="1899-12-30T11:28:22"/>
    <n v="398771.69264233235"/>
    <n v="116534.03811992418"/>
    <s v="No"/>
    <x v="1"/>
    <x v="0"/>
    <s v="Y"/>
    <x v="0"/>
    <n v="35200000"/>
    <n v="41302.462206419332"/>
    <s v="N"/>
    <m/>
    <m/>
  </r>
  <r>
    <x v="0"/>
    <x v="24"/>
    <x v="28"/>
    <x v="2"/>
    <d v="1900-01-01T15:53:27"/>
    <n v="126060"/>
    <d v="1899-12-30T06:06:15"/>
    <n v="11418.456632179299"/>
    <n v="3280.3084762834069"/>
    <s v="No"/>
    <x v="1"/>
    <x v="0"/>
    <s v="Y"/>
    <x v="0"/>
    <n v="4400000"/>
    <n v="21975.121737670444"/>
    <s v="N"/>
    <m/>
    <m/>
  </r>
  <r>
    <x v="0"/>
    <x v="24"/>
    <x v="28"/>
    <x v="0"/>
    <d v="1900-01-04T04:35:24"/>
    <n v="56658"/>
    <d v="1899-12-30T11:31:02"/>
    <n v="36989.546236109651"/>
    <n v="10887.912211424413"/>
    <s v="No"/>
    <x v="1"/>
    <x v="0"/>
    <s v="Y"/>
    <x v="0"/>
    <n v="4400000"/>
    <n v="41462.262086604736"/>
    <s v="N"/>
    <m/>
    <m/>
  </r>
  <r>
    <x v="0"/>
    <x v="24"/>
    <x v="29"/>
    <x v="2"/>
    <d v="1900-01-01T15:47:31"/>
    <n v="791966"/>
    <d v="1899-12-30T06:05:41"/>
    <n v="72118.118803163656"/>
    <n v="20718.183203230354"/>
    <s v="No"/>
    <x v="1"/>
    <x v="0"/>
    <s v="Y"/>
    <x v="0"/>
    <n v="25520000"/>
    <n v="21941.109106147884"/>
    <s v="N"/>
    <m/>
    <m/>
  </r>
  <r>
    <x v="0"/>
    <x v="24"/>
    <x v="29"/>
    <x v="0"/>
    <d v="1900-01-04T04:38:38"/>
    <n v="358448"/>
    <d v="1899-12-30T11:31:27"/>
    <n v="234154.38676366795"/>
    <n v="68927.334402797089"/>
    <s v="No"/>
    <x v="1"/>
    <x v="0"/>
    <s v="Y"/>
    <x v="0"/>
    <n v="25520000"/>
    <n v="41487.288321866588"/>
    <s v="N"/>
    <m/>
    <m/>
  </r>
  <r>
    <x v="0"/>
    <x v="25"/>
    <x v="46"/>
    <x v="1"/>
    <d v="1899-12-30T10:30:00"/>
    <n v="1275"/>
    <d v="1899-12-30T01:00:11"/>
    <n v="1982.0766175131394"/>
    <n v="569.41344513654963"/>
    <s v="No"/>
    <x v="0"/>
    <x v="0"/>
    <s v="Y"/>
    <x v="0"/>
    <n v="954000"/>
    <n v="3611.4535717780027"/>
    <s v="N"/>
    <m/>
    <m/>
  </r>
  <r>
    <x v="0"/>
    <x v="25"/>
    <x v="47"/>
    <x v="2"/>
    <d v="1899-12-30T00:30:00"/>
    <n v="1160"/>
    <d v="1899-12-30T00:02:52"/>
    <n v="85.871479974425569"/>
    <n v="24.669265970435038"/>
    <s v="No"/>
    <x v="0"/>
    <x v="0"/>
    <s v="Y"/>
    <x v="0"/>
    <n v="954000"/>
    <n v="171.97397960847636"/>
    <s v="N"/>
    <m/>
    <m/>
  </r>
  <r>
    <x v="0"/>
    <x v="25"/>
    <x v="47"/>
    <x v="0"/>
    <d v="1900-01-02T00:30:00"/>
    <n v="93616"/>
    <d v="1899-12-30T07:12:51"/>
    <n v="47766.375772560496"/>
    <n v="13983.330349685582"/>
    <s v="No"/>
    <x v="0"/>
    <x v="0"/>
    <s v="Y"/>
    <x v="0"/>
    <n v="954000"/>
    <n v="25971.185525849243"/>
    <s v="N"/>
    <m/>
    <m/>
  </r>
  <r>
    <x v="0"/>
    <x v="26"/>
    <x v="48"/>
    <x v="2"/>
    <d v="1899-12-30T02:00:00"/>
    <n v="56782"/>
    <d v="1899-12-30T00:11:28"/>
    <n v="8406.8178894962457"/>
    <n v="2415.1211385055849"/>
    <s v="No"/>
    <x v="0"/>
    <x v="0"/>
    <s v="Y"/>
    <x v="0"/>
    <n v="15017000"/>
    <n v="687.89591843390542"/>
    <s v="N"/>
    <m/>
    <m/>
  </r>
  <r>
    <x v="0"/>
    <x v="26"/>
    <x v="48"/>
    <x v="0"/>
    <d v="1900-01-01T04:00:00"/>
    <n v="1628480"/>
    <d v="1899-12-30T04:58:05"/>
    <n v="410273.79593629349"/>
    <n v="117863.96828920055"/>
    <s v="No"/>
    <x v="0"/>
    <x v="0"/>
    <s v="Y"/>
    <x v="0"/>
    <n v="15017000"/>
    <n v="17885.293879281533"/>
    <s v="N"/>
    <m/>
    <m/>
  </r>
  <r>
    <x v="0"/>
    <x v="26"/>
    <x v="48"/>
    <x v="1"/>
    <d v="1899-12-30T04:00:00"/>
    <n v="44998"/>
    <d v="1899-12-30T00:22:56"/>
    <n v="13324.292606514457"/>
    <n v="3827.8194142677007"/>
    <s v="No"/>
    <x v="0"/>
    <x v="0"/>
    <s v="Y"/>
    <x v="0"/>
    <n v="15017000"/>
    <n v="1375.7918368678108"/>
    <s v="N"/>
    <m/>
    <m/>
  </r>
  <r>
    <x v="0"/>
    <x v="26"/>
    <x v="0"/>
    <x v="0"/>
    <d v="1899-12-30T13:00:00"/>
    <n v="345052"/>
    <d v="1899-12-30T01:12:21"/>
    <n v="161195.06500379994"/>
    <n v="46748.548663107053"/>
    <s v="No"/>
    <x v="0"/>
    <x v="0"/>
    <s v="Y"/>
    <x v="0"/>
    <n v="47600000"/>
    <n v="4341.0917676368708"/>
    <s v="N"/>
    <m/>
    <m/>
  </r>
  <r>
    <x v="0"/>
    <x v="26"/>
    <x v="0"/>
    <x v="1"/>
    <d v="1899-12-30T02:00:00"/>
    <n v="44354"/>
    <d v="1899-12-30T00:09:18"/>
    <n v="10647.160171912263"/>
    <n v="3285.0828707369565"/>
    <s v="No"/>
    <x v="0"/>
    <x v="0"/>
    <s v="Y"/>
    <x v="0"/>
    <n v="47600000"/>
    <n v="557.6642162503905"/>
    <s v="N"/>
    <m/>
    <m/>
  </r>
  <r>
    <x v="0"/>
    <x v="26"/>
    <x v="1"/>
    <x v="0"/>
    <d v="1899-12-30T18:20:00"/>
    <n v="554784"/>
    <d v="1899-12-30T01:45:06"/>
    <n v="376466.49037891492"/>
    <n v="108151.76334307498"/>
    <s v="No"/>
    <x v="0"/>
    <x v="0"/>
    <s v="Y"/>
    <x v="0"/>
    <n v="47600000"/>
    <n v="6305.7125856441317"/>
    <s v="N"/>
    <m/>
    <m/>
  </r>
  <r>
    <x v="0"/>
    <x v="26"/>
    <x v="1"/>
    <x v="1"/>
    <d v="1899-12-30T05:05:00"/>
    <n v="142628"/>
    <d v="1899-12-30T00:22:16"/>
    <n v="41013.939675104491"/>
    <n v="11870.692425730442"/>
    <s v="No"/>
    <x v="0"/>
    <x v="0"/>
    <s v="Y"/>
    <x v="0"/>
    <n v="47600000"/>
    <n v="1336.0677286968403"/>
    <s v="N"/>
    <m/>
    <m/>
  </r>
  <r>
    <x v="0"/>
    <x v="26"/>
    <x v="2"/>
    <x v="0"/>
    <d v="1899-12-31T17:25:00"/>
    <n v="1463502"/>
    <d v="1899-12-30T03:50:02"/>
    <n v="854760.88756533898"/>
    <n v="244255.85711003208"/>
    <s v="No"/>
    <x v="0"/>
    <x v="0"/>
    <s v="Y"/>
    <x v="0"/>
    <n v="47600000"/>
    <n v="13802.215696306885"/>
    <s v="N"/>
    <m/>
    <m/>
  </r>
  <r>
    <x v="0"/>
    <x v="26"/>
    <x v="3"/>
    <x v="2"/>
    <d v="1899-12-30T00:30:00"/>
    <n v="57890"/>
    <d v="1899-12-30T00:02:28"/>
    <n v="3689.870314232719"/>
    <n v="1127.1193036998018"/>
    <s v="No"/>
    <x v="0"/>
    <x v="0"/>
    <s v="Y"/>
    <x v="0"/>
    <n v="47600000"/>
    <n v="148.07417974322402"/>
    <s v="N"/>
    <m/>
    <m/>
  </r>
  <r>
    <x v="0"/>
    <x v="26"/>
    <x v="3"/>
    <x v="0"/>
    <d v="1900-01-03T23:45:00"/>
    <n v="3816732"/>
    <d v="1899-12-30T11:19:19"/>
    <n v="2891757.4441344901"/>
    <n v="842551.417131925"/>
    <s v="No"/>
    <x v="0"/>
    <x v="0"/>
    <s v="Y"/>
    <x v="0"/>
    <n v="47600000"/>
    <n v="40758.871106188686"/>
    <s v="N"/>
    <m/>
    <m/>
  </r>
  <r>
    <x v="0"/>
    <x v="26"/>
    <x v="3"/>
    <x v="1"/>
    <d v="1899-12-30T05:15:00"/>
    <n v="71314"/>
    <d v="1899-12-30T00:24:24"/>
    <n v="44937.105983943882"/>
    <n v="13864.92874576826"/>
    <s v="No"/>
    <x v="0"/>
    <x v="0"/>
    <s v="Y"/>
    <x v="0"/>
    <n v="47600000"/>
    <n v="1463.868567657275"/>
    <s v="N"/>
    <m/>
    <m/>
  </r>
  <r>
    <x v="0"/>
    <x v="27"/>
    <x v="6"/>
    <x v="2"/>
    <d v="1899-12-31T15:32:01"/>
    <n v="5322426"/>
    <d v="1899-12-30T03:35:57"/>
    <n v="719709.74407664093"/>
    <n v="216488.90204870605"/>
    <s v="No"/>
    <x v="2"/>
    <x v="0"/>
    <s v="Y"/>
    <x v="0"/>
    <n v="69759000"/>
    <n v="12957.161826815882"/>
    <s v="N"/>
    <m/>
    <m/>
  </r>
  <r>
    <x v="0"/>
    <x v="27"/>
    <x v="6"/>
    <x v="0"/>
    <d v="1900-01-04T16:04:52"/>
    <n v="15425506"/>
    <d v="1899-12-30T12:47:45"/>
    <n v="6237103.2793789031"/>
    <n v="1871260.6540037091"/>
    <s v="No"/>
    <x v="2"/>
    <x v="0"/>
    <s v="Y"/>
    <x v="0"/>
    <n v="69759000"/>
    <n v="46064.984827178494"/>
    <s v="N"/>
    <m/>
    <m/>
  </r>
  <r>
    <x v="0"/>
    <x v="27"/>
    <x v="6"/>
    <x v="1"/>
    <d v="1899-12-30T22:12:17"/>
    <n v="1900648"/>
    <d v="1899-12-30T01:30:48"/>
    <n v="377366.82864223002"/>
    <n v="106828.90836656503"/>
    <s v="No"/>
    <x v="2"/>
    <x v="0"/>
    <s v="Y"/>
    <x v="0"/>
    <n v="69759000"/>
    <n v="5447.8490340184217"/>
    <s v="N"/>
    <m/>
    <m/>
  </r>
  <r>
    <x v="0"/>
    <x v="27"/>
    <x v="7"/>
    <x v="2"/>
    <d v="1899-12-31T03:44:00"/>
    <n v="3549850"/>
    <d v="1899-12-30T02:50:30"/>
    <n v="494156.8165479544"/>
    <n v="152177.14663518296"/>
    <s v="No"/>
    <x v="2"/>
    <x v="0"/>
    <s v="Y"/>
    <x v="0"/>
    <n v="75200000"/>
    <n v="10229.726131923147"/>
    <s v="N"/>
    <m/>
    <m/>
  </r>
  <r>
    <x v="0"/>
    <x v="27"/>
    <x v="7"/>
    <x v="0"/>
    <d v="1900-01-01T23:03:36"/>
    <n v="11881849"/>
    <d v="1899-12-30T08:19:02"/>
    <n v="4202154.6337645659"/>
    <n v="1216313.2060604312"/>
    <s v="No"/>
    <x v="2"/>
    <x v="0"/>
    <s v="Y"/>
    <x v="0"/>
    <n v="75200000"/>
    <n v="29941.544168618679"/>
    <s v="N"/>
    <m/>
    <m/>
  </r>
  <r>
    <x v="0"/>
    <x v="27"/>
    <x v="7"/>
    <x v="1"/>
    <d v="1900-01-01T12:50:32"/>
    <n v="4352181"/>
    <d v="1899-12-30T05:40:41"/>
    <n v="1121187.2057434854"/>
    <n v="330824.88445239619"/>
    <s v="No"/>
    <x v="2"/>
    <x v="0"/>
    <s v="Y"/>
    <x v="0"/>
    <n v="75200000"/>
    <n v="20441.319020177998"/>
    <s v="N"/>
    <m/>
    <m/>
  </r>
  <r>
    <x v="0"/>
    <x v="28"/>
    <x v="49"/>
    <x v="0"/>
    <d v="1899-12-30T02:00:00"/>
    <n v="24494"/>
    <d v="1899-12-30T00:11:28"/>
    <n v="2724.1897775582015"/>
    <n v="782.60864022069165"/>
    <s v="No"/>
    <x v="4"/>
    <x v="0"/>
    <s v="Y"/>
    <x v="0"/>
    <n v="2185000"/>
    <n v="687.89591843390542"/>
    <s v="N"/>
    <m/>
    <m/>
  </r>
  <r>
    <x v="0"/>
    <x v="28"/>
    <x v="50"/>
    <x v="2"/>
    <d v="1899-12-30T06:00:00"/>
    <n v="51050"/>
    <d v="1899-12-30T00:34:24"/>
    <n v="1703.3137275783392"/>
    <n v="489.33009410385768"/>
    <s v="No"/>
    <x v="4"/>
    <x v="0"/>
    <s v="Y"/>
    <x v="0"/>
    <n v="2185000"/>
    <n v="2063.6877553017162"/>
    <s v="N"/>
    <m/>
    <m/>
  </r>
  <r>
    <x v="0"/>
    <x v="28"/>
    <x v="50"/>
    <x v="0"/>
    <d v="1900-01-04T05:05:00"/>
    <n v="996352"/>
    <d v="1899-12-30T11:57:02"/>
    <n v="112910.2554099618"/>
    <n v="32436.999133212295"/>
    <s v="No"/>
    <x v="4"/>
    <x v="0"/>
    <s v="Y"/>
    <x v="0"/>
    <n v="2185000"/>
    <n v="43022.157232053789"/>
    <s v="N"/>
    <m/>
    <m/>
  </r>
  <r>
    <x v="0"/>
    <x v="28"/>
    <x v="50"/>
    <x v="1"/>
    <d v="1900-01-01T12:41:00"/>
    <n v="194323"/>
    <d v="1899-12-30T08:14:16"/>
    <n v="31769.696779199141"/>
    <n v="9496.7872864630444"/>
    <s v="No"/>
    <x v="4"/>
    <x v="0"/>
    <s v="Y"/>
    <x v="0"/>
    <n v="2185000"/>
    <n v="29656.315967525868"/>
    <s v="N"/>
    <m/>
    <m/>
  </r>
  <r>
    <x v="0"/>
    <x v="28"/>
    <x v="51"/>
    <x v="2"/>
    <d v="1899-12-30T01:00:00"/>
    <n v="10210"/>
    <d v="1899-12-30T00:05:44"/>
    <n v="283.88562126305663"/>
    <n v="81.555015683976293"/>
    <s v="No"/>
    <x v="4"/>
    <x v="0"/>
    <s v="Y"/>
    <x v="0"/>
    <n v="2185000"/>
    <n v="343.94795921695271"/>
    <s v="N"/>
    <m/>
    <m/>
  </r>
  <r>
    <x v="0"/>
    <x v="28"/>
    <x v="52"/>
    <x v="0"/>
    <d v="1899-12-31T18:00:00"/>
    <n v="389963"/>
    <d v="1899-12-30T07:43:18"/>
    <n v="83202.631247714555"/>
    <n v="24468.022035426176"/>
    <s v="No"/>
    <x v="4"/>
    <x v="0"/>
    <s v="Y"/>
    <x v="0"/>
    <n v="2185000"/>
    <n v="27798.345866790882"/>
    <s v="N"/>
    <m/>
    <m/>
  </r>
  <r>
    <x v="0"/>
    <x v="28"/>
    <x v="53"/>
    <x v="2"/>
    <d v="1899-12-30T13:29:00"/>
    <n v="122520"/>
    <d v="1899-12-30T01:21:12"/>
    <n v="4021.3007144442659"/>
    <n v="1197.4871158485967"/>
    <s v="No"/>
    <x v="4"/>
    <x v="0"/>
    <s v="Y"/>
    <x v="0"/>
    <n v="2185000"/>
    <n v="4872.0966140414075"/>
    <s v="N"/>
    <m/>
    <m/>
  </r>
  <r>
    <x v="0"/>
    <x v="28"/>
    <x v="53"/>
    <x v="0"/>
    <d v="1900-01-01T12:00:00"/>
    <n v="531326"/>
    <d v="1899-12-30T05:54:16"/>
    <n v="59433.045285800108"/>
    <n v="17373.161168049017"/>
    <s v="No"/>
    <x v="4"/>
    <x v="0"/>
    <s v="Y"/>
    <x v="0"/>
    <n v="2185000"/>
    <n v="21255.821180986604"/>
    <s v="N"/>
    <m/>
    <m/>
  </r>
  <r>
    <x v="0"/>
    <x v="28"/>
    <x v="53"/>
    <x v="1"/>
    <d v="1900-01-02T06:55:00"/>
    <n v="238257"/>
    <d v="1899-12-30T07:36:56"/>
    <n v="29317.594937230853"/>
    <n v="8407.2556094837273"/>
    <s v="No"/>
    <x v="4"/>
    <x v="0"/>
    <s v="Y"/>
    <x v="0"/>
    <n v="2185000"/>
    <n v="27416.060416150922"/>
    <s v="N"/>
    <m/>
    <m/>
  </r>
  <r>
    <x v="0"/>
    <x v="28"/>
    <x v="54"/>
    <x v="2"/>
    <d v="1900-01-01T16:42:00"/>
    <n v="845390"/>
    <d v="1899-12-30T05:51:19"/>
    <n v="23550.099819494531"/>
    <n v="6858.4594667242518"/>
    <s v="No"/>
    <x v="4"/>
    <x v="0"/>
    <s v="Y"/>
    <x v="0"/>
    <n v="2185000"/>
    <n v="21079.205777197054"/>
    <s v="N"/>
    <m/>
    <m/>
  </r>
  <r>
    <x v="0"/>
    <x v="28"/>
    <x v="54"/>
    <x v="0"/>
    <d v="1900-01-02T17:45:00"/>
    <n v="815963"/>
    <d v="1899-12-30T08:12:50"/>
    <n v="88708.418525854111"/>
    <n v="26513.765139080264"/>
    <s v="No"/>
    <x v="4"/>
    <x v="0"/>
    <s v="Y"/>
    <x v="0"/>
    <n v="2185000"/>
    <n v="29569.789550339221"/>
    <s v="N"/>
    <m/>
    <m/>
  </r>
  <r>
    <x v="0"/>
    <x v="28"/>
    <x v="54"/>
    <x v="1"/>
    <d v="1900-01-03T20:20:00"/>
    <n v="370415"/>
    <d v="1899-12-30T10:43:05"/>
    <n v="40684.970168736778"/>
    <n v="12124.306400209442"/>
    <s v="No"/>
    <x v="4"/>
    <x v="0"/>
    <s v="Y"/>
    <x v="0"/>
    <n v="2185000"/>
    <n v="38584.953795807029"/>
    <s v="N"/>
    <m/>
    <m/>
  </r>
  <r>
    <x v="0"/>
    <x v="29"/>
    <x v="4"/>
    <x v="0"/>
    <d v="1899-12-30T11:48:59"/>
    <n v="9384"/>
    <d v="1899-12-30T00:57:27"/>
    <n v="3480.675271994236"/>
    <n v="1006.8143003668084"/>
    <s v="No"/>
    <x v="1"/>
    <x v="0"/>
    <s v="Y"/>
    <x v="0"/>
    <n v="805000"/>
    <n v="3446.7301463829813"/>
    <s v="N"/>
    <m/>
    <m/>
  </r>
  <r>
    <x v="0"/>
    <x v="29"/>
    <x v="1"/>
    <x v="2"/>
    <d v="1899-12-30T07:00:00"/>
    <n v="28910"/>
    <d v="1899-12-30T00:40:08"/>
    <n v="2140.1245569488265"/>
    <n v="614.81765448730664"/>
    <s v="No"/>
    <x v="1"/>
    <x v="0"/>
    <s v="Y"/>
    <x v="0"/>
    <n v="805000"/>
    <n v="2407.6357145186689"/>
    <s v="N"/>
    <m/>
    <m/>
  </r>
  <r>
    <x v="0"/>
    <x v="29"/>
    <x v="1"/>
    <x v="0"/>
    <d v="1900-01-03T15:30:00"/>
    <n v="58650"/>
    <d v="1899-12-30T10:39:10"/>
    <n v="38727.88941419006"/>
    <n v="11125.796419448998"/>
    <s v="No"/>
    <x v="1"/>
    <x v="0"/>
    <s v="Y"/>
    <x v="0"/>
    <n v="805000"/>
    <n v="38350.197452690227"/>
    <s v="N"/>
    <m/>
    <m/>
  </r>
  <r>
    <x v="0"/>
    <x v="29"/>
    <x v="1"/>
    <x v="1"/>
    <d v="1900-01-03T03:30:00"/>
    <n v="74358"/>
    <d v="1899-12-30T09:37:10"/>
    <n v="28888.002123462418"/>
    <n v="8229.0176077438591"/>
    <s v="No"/>
    <x v="1"/>
    <x v="0"/>
    <s v="Y"/>
    <x v="0"/>
    <n v="805000"/>
    <n v="34630.375595794001"/>
    <s v="N"/>
    <m/>
    <m/>
  </r>
  <r>
    <x v="0"/>
    <x v="30"/>
    <x v="23"/>
    <x v="2"/>
    <d v="1900-01-01T14:50:10"/>
    <n v="165000"/>
    <d v="1899-12-30T06:00:12"/>
    <n v="29491.440136755547"/>
    <n v="8472.3377400909048"/>
    <s v="Yes"/>
    <x v="1"/>
    <x v="0"/>
    <s v="N"/>
    <x v="0"/>
    <n v="2274000"/>
    <n v="21612.352181796356"/>
    <s v="Y"/>
    <m/>
    <m/>
  </r>
  <r>
    <x v="0"/>
    <x v="30"/>
    <x v="23"/>
    <x v="0"/>
    <d v="1900-01-02T05:08:51"/>
    <n v="67000"/>
    <d v="1899-12-30T07:19:56"/>
    <n v="55884.599785998442"/>
    <n v="16160.473300183301"/>
    <s v="Yes"/>
    <x v="1"/>
    <x v="0"/>
    <s v="N"/>
    <x v="0"/>
    <n v="2274000"/>
    <n v="26396.093066804795"/>
    <s v="Y"/>
    <m/>
    <m/>
  </r>
  <r>
    <x v="0"/>
    <x v="30"/>
    <x v="24"/>
    <x v="2"/>
    <d v="1899-12-30T05:00:00"/>
    <n v="7416"/>
    <d v="1899-12-30T00:22:46"/>
    <n v="774.07002167854944"/>
    <n v="221.44791409326791"/>
    <s v="No"/>
    <x v="1"/>
    <x v="0"/>
    <s v="N"/>
    <x v="0"/>
    <n v="2274000"/>
    <n v="1365.9624224178451"/>
    <s v="N"/>
    <m/>
    <m/>
  </r>
  <r>
    <x v="0"/>
    <x v="30"/>
    <x v="24"/>
    <x v="0"/>
    <d v="1900-01-01T13:30:00"/>
    <n v="11253"/>
    <d v="1899-12-30T05:52:33"/>
    <n v="15285.669385589837"/>
    <n v="4391.2861839758298"/>
    <s v="No"/>
    <x v="1"/>
    <x v="0"/>
    <s v="N"/>
    <x v="0"/>
    <n v="2274000"/>
    <n v="21152.79949184259"/>
    <s v="N"/>
    <m/>
    <m/>
  </r>
  <r>
    <x v="0"/>
    <x v="30"/>
    <x v="25"/>
    <x v="0"/>
    <d v="1899-12-30T12:10:00"/>
    <n v="1490"/>
    <d v="1899-12-30T01:09:45"/>
    <n v="3019.4744213852177"/>
    <n v="867.4383813375714"/>
    <s v="No"/>
    <x v="1"/>
    <x v="0"/>
    <s v="N"/>
    <x v="0"/>
    <n v="2274000"/>
    <n v="4184.7001704729246"/>
    <s v="N"/>
    <m/>
    <m/>
  </r>
  <r>
    <x v="0"/>
    <x v="31"/>
    <x v="22"/>
    <x v="2"/>
    <d v="1899-12-30T15:30:03"/>
    <n v="195800"/>
    <d v="1899-12-30T01:22:36"/>
    <n v="3593.7042028497735"/>
    <n v="1087.116042622828"/>
    <s v="Yes"/>
    <x v="2"/>
    <x v="0"/>
    <s v="N"/>
    <x v="0"/>
    <n v="8671000"/>
    <n v="4956.1044909615539"/>
    <s v="Y"/>
    <m/>
    <m/>
  </r>
  <r>
    <x v="0"/>
    <x v="31"/>
    <x v="22"/>
    <x v="0"/>
    <d v="1900-01-04T19:43:55"/>
    <n v="1935507"/>
    <d v="1899-12-30T13:27:47"/>
    <n v="126527.14267458311"/>
    <n v="37640.239814446279"/>
    <s v="Yes"/>
    <x v="2"/>
    <x v="0"/>
    <s v="N"/>
    <x v="0"/>
    <n v="8671000"/>
    <n v="48467.019939018224"/>
    <s v="Y"/>
    <m/>
    <m/>
  </r>
  <r>
    <x v="0"/>
    <x v="31"/>
    <x v="22"/>
    <x v="1"/>
    <d v="1900-01-01T01:16:05"/>
    <n v="571400"/>
    <d v="1899-12-30T03:58:13"/>
    <n v="11704.439774945558"/>
    <n v="3519.9795738894932"/>
    <s v="Yes"/>
    <x v="2"/>
    <x v="0"/>
    <s v="N"/>
    <x v="0"/>
    <n v="8671000"/>
    <n v="14293.309462661373"/>
    <s v="Y"/>
    <m/>
    <m/>
  </r>
  <r>
    <x v="0"/>
    <x v="31"/>
    <x v="7"/>
    <x v="2"/>
    <d v="1899-12-30T01:50:45"/>
    <n v="6000"/>
    <d v="1899-12-30T00:10:35"/>
    <n v="139.33005030093287"/>
    <n v="40.026910792401296"/>
    <s v="Yes"/>
    <x v="2"/>
    <x v="0"/>
    <s v="N"/>
    <x v="0"/>
    <n v="4406000"/>
    <n v="634.870608054625"/>
    <s v="Y"/>
    <m/>
    <m/>
  </r>
  <r>
    <x v="0"/>
    <x v="31"/>
    <x v="7"/>
    <x v="0"/>
    <d v="1900-01-01T18:44:15"/>
    <n v="237865"/>
    <d v="1899-12-30T07:48:23"/>
    <n v="14308.784837684767"/>
    <n v="4274.373915465806"/>
    <s v="Yes"/>
    <x v="2"/>
    <x v="0"/>
    <s v="N"/>
    <x v="0"/>
    <n v="4406000"/>
    <n v="28103.330440293565"/>
    <s v="Y"/>
    <m/>
    <m/>
  </r>
  <r>
    <x v="0"/>
    <x v="31"/>
    <x v="7"/>
    <x v="1"/>
    <d v="1900-01-03T01:16:09"/>
    <n v="581600"/>
    <d v="1899-12-30T09:15:19"/>
    <n v="20175.114515374364"/>
    <n v="5981.2715065642178"/>
    <s v="Yes"/>
    <x v="2"/>
    <x v="0"/>
    <s v="N"/>
    <x v="0"/>
    <n v="4406000"/>
    <n v="33319.422534978745"/>
    <s v="Y"/>
    <m/>
    <m/>
  </r>
  <r>
    <x v="0"/>
    <x v="32"/>
    <x v="6"/>
    <x v="2"/>
    <d v="1899-12-31T12:26:54"/>
    <n v="264000"/>
    <d v="1899-12-30T03:20:53"/>
    <n v="38612.406938575856"/>
    <n v="11741.871234958684"/>
    <s v="Yes"/>
    <x v="2"/>
    <x v="0"/>
    <s v="N"/>
    <x v="0"/>
    <n v="5553000"/>
    <n v="12052.844768701481"/>
    <s v="Y"/>
    <m/>
    <m/>
  </r>
  <r>
    <x v="0"/>
    <x v="32"/>
    <x v="6"/>
    <x v="0"/>
    <d v="1900-01-04T19:09:59"/>
    <n v="868438"/>
    <d v="1899-12-30T13:02:49"/>
    <n v="387373.81309656665"/>
    <n v="115201.73273260622"/>
    <s v="Yes"/>
    <x v="2"/>
    <x v="0"/>
    <s v="N"/>
    <x v="0"/>
    <n v="5553000"/>
    <n v="46969.301885292894"/>
    <s v="Y"/>
    <m/>
    <m/>
  </r>
  <r>
    <x v="0"/>
    <x v="32"/>
    <x v="6"/>
    <x v="1"/>
    <d v="1899-12-30T22:12:17"/>
    <n v="52000"/>
    <d v="1899-12-30T01:30:48"/>
    <n v="11179.248088515869"/>
    <n v="3111.4780878149195"/>
    <s v="Yes"/>
    <x v="2"/>
    <x v="0"/>
    <s v="N"/>
    <x v="0"/>
    <n v="5553000"/>
    <n v="5447.8490340184217"/>
    <s v="Y"/>
    <m/>
    <m/>
  </r>
  <r>
    <x v="0"/>
    <x v="32"/>
    <x v="7"/>
    <x v="2"/>
    <d v="1899-12-31T01:34:40"/>
    <n v="222000"/>
    <d v="1899-12-30T02:34:16"/>
    <n v="41928.566281772823"/>
    <n v="12757.139313207575"/>
    <s v="Yes"/>
    <x v="2"/>
    <x v="0"/>
    <s v="N"/>
    <x v="0"/>
    <n v="4844000"/>
    <n v="9256.1886846091656"/>
    <s v="Y"/>
    <m/>
    <m/>
  </r>
  <r>
    <x v="0"/>
    <x v="32"/>
    <x v="7"/>
    <x v="0"/>
    <d v="1900-01-02T01:12:56"/>
    <n v="582306"/>
    <d v="1899-12-30T08:35:15"/>
    <n v="213055.2720321682"/>
    <n v="60689.254506613222"/>
    <s v="Yes"/>
    <x v="2"/>
    <x v="0"/>
    <s v="N"/>
    <x v="0"/>
    <n v="4844000"/>
    <n v="30915.081615932657"/>
    <s v="Y"/>
    <m/>
    <m/>
  </r>
  <r>
    <x v="0"/>
    <x v="32"/>
    <x v="7"/>
    <x v="1"/>
    <d v="1900-01-01T12:50:32"/>
    <n v="249000"/>
    <d v="1899-12-30T05:40:41"/>
    <n v="70393.290476180249"/>
    <n v="20702.18953571382"/>
    <s v="Yes"/>
    <x v="2"/>
    <x v="0"/>
    <s v="N"/>
    <x v="0"/>
    <n v="4844000"/>
    <n v="20441.319020177998"/>
    <s v="Y"/>
    <m/>
    <m/>
  </r>
  <r>
    <x v="0"/>
    <x v="33"/>
    <x v="55"/>
    <x v="0"/>
    <d v="1899-12-30T03:06:58"/>
    <n v="84033"/>
    <d v="1899-12-30T00:15:01"/>
    <n v="8491.1166558582117"/>
    <n v="2784.8471524953184"/>
    <s v="Yes"/>
    <x v="2"/>
    <x v="0"/>
    <s v="N"/>
    <x v="0"/>
    <n v="27627000"/>
    <n v="900.98799292711976"/>
    <s v="Y"/>
    <m/>
    <m/>
  </r>
  <r>
    <x v="0"/>
    <x v="34"/>
    <x v="23"/>
    <x v="2"/>
    <d v="1900-01-01T15:00:00"/>
    <n v="95944"/>
    <d v="1899-12-30T06:01:09"/>
    <n v="10945.780185945016"/>
    <n v="3144.5173967120941"/>
    <s v="No"/>
    <x v="1"/>
    <x v="0"/>
    <s v="N"/>
    <x v="0"/>
    <n v="964000"/>
    <n v="21668.721430667989"/>
    <s v="N"/>
    <m/>
    <m/>
  </r>
  <r>
    <x v="0"/>
    <x v="34"/>
    <x v="23"/>
    <x v="0"/>
    <d v="1900-01-05T07:50:00"/>
    <n v="40279.999999999993"/>
    <d v="1899-12-30T14:27:35"/>
    <n v="44727.331421215975"/>
    <n v="12865.516434655136"/>
    <s v="No"/>
    <x v="1"/>
    <x v="0"/>
    <s v="N"/>
    <x v="0"/>
    <n v="964000"/>
    <n v="52055.466542050548"/>
    <s v="N"/>
    <m/>
    <m/>
  </r>
  <r>
    <x v="0"/>
    <x v="34"/>
    <x v="24"/>
    <x v="2"/>
    <d v="1899-12-30T14:00:00"/>
    <n v="29600"/>
    <d v="1899-12-30T01:20:15"/>
    <n v="3840.4032338383158"/>
    <n v="1103.275835440264"/>
    <s v="No"/>
    <x v="1"/>
    <x v="0"/>
    <s v="N"/>
    <x v="0"/>
    <n v="964000"/>
    <n v="4815.2714290373378"/>
    <s v="N"/>
    <m/>
    <m/>
  </r>
  <r>
    <x v="0"/>
    <x v="34"/>
    <x v="24"/>
    <x v="0"/>
    <d v="1900-01-01T21:30:00"/>
    <n v="20160"/>
    <d v="1899-12-30T06:38:24"/>
    <n v="29370.896808997357"/>
    <n v="8437.7079024042359"/>
    <s v="No"/>
    <x v="1"/>
    <x v="0"/>
    <s v="N"/>
    <x v="0"/>
    <n v="964000"/>
    <n v="23904.383165578212"/>
    <s v="N"/>
    <m/>
    <m/>
  </r>
  <r>
    <x v="0"/>
    <x v="34"/>
    <x v="25"/>
    <x v="2"/>
    <d v="1899-12-30T00:30:00"/>
    <n v="3428"/>
    <d v="1899-12-30T00:02:52"/>
    <n v="251.5073797493076"/>
    <n v="72.253354040371903"/>
    <s v="No"/>
    <x v="1"/>
    <x v="0"/>
    <s v="N"/>
    <x v="0"/>
    <n v="964000"/>
    <n v="171.97397960847636"/>
    <s v="N"/>
    <m/>
    <m/>
  </r>
  <r>
    <x v="0"/>
    <x v="34"/>
    <x v="25"/>
    <x v="0"/>
    <d v="1899-12-30T12:00:00"/>
    <n v="2880"/>
    <d v="1899-12-30T01:08:47"/>
    <n v="5071.2339814096149"/>
    <n v="1456.8704291920981"/>
    <s v="No"/>
    <x v="1"/>
    <x v="0"/>
    <s v="N"/>
    <x v="0"/>
    <n v="964000"/>
    <n v="4127.3755106034323"/>
    <s v="N"/>
    <m/>
    <m/>
  </r>
  <r>
    <x v="0"/>
    <x v="35"/>
    <x v="39"/>
    <x v="2"/>
    <d v="1899-12-30T14:12:26"/>
    <n v="19900"/>
    <d v="1899-12-30T01:21:27"/>
    <n v="206.96231253449091"/>
    <n v="59.45639152009749"/>
    <s v="Yes"/>
    <x v="4"/>
    <x v="0"/>
    <s v="N"/>
    <x v="0"/>
    <n v="5200000"/>
    <n v="4886.5450894750738"/>
    <s v="Y"/>
    <m/>
    <m/>
  </r>
  <r>
    <x v="0"/>
    <x v="35"/>
    <x v="39"/>
    <x v="0"/>
    <d v="1900-01-03T20:57:22"/>
    <n v="31860"/>
    <d v="1899-12-30T11:01:45"/>
    <n v="4755.7151064682739"/>
    <n v="1365.5016042211253"/>
    <s v="Yes"/>
    <x v="4"/>
    <x v="0"/>
    <s v="N"/>
    <x v="0"/>
    <n v="5200000"/>
    <n v="39705.031233648268"/>
    <s v="Y"/>
    <m/>
    <m/>
  </r>
  <r>
    <x v="0"/>
    <x v="35"/>
    <x v="40"/>
    <x v="2"/>
    <d v="1899-12-30T00:13:19"/>
    <n v="0"/>
    <d v="1899-12-30T00:01:16"/>
    <n v="0"/>
    <n v="0"/>
    <s v="Yes"/>
    <x v="4"/>
    <x v="0"/>
    <s v="N"/>
    <x v="0"/>
    <n v="5200000"/>
    <n v="76.337338726206994"/>
    <s v="Y"/>
    <m/>
    <m/>
  </r>
  <r>
    <x v="0"/>
    <x v="35"/>
    <x v="41"/>
    <x v="2"/>
    <d v="1900-01-04T15:38:16"/>
    <n v="409800"/>
    <d v="1899-12-30T12:57:32"/>
    <n v="6840.4348711790099"/>
    <n v="1965.1286695048311"/>
    <s v="Yes"/>
    <x v="4"/>
    <x v="0"/>
    <s v="N"/>
    <x v="0"/>
    <n v="5200000"/>
    <n v="46652.336859389165"/>
    <s v="Y"/>
    <m/>
    <m/>
  </r>
  <r>
    <x v="0"/>
    <x v="35"/>
    <x v="41"/>
    <x v="0"/>
    <d v="1900-01-04T02:06:03"/>
    <n v="171916"/>
    <d v="1899-12-30T11:29:54"/>
    <n v="9276.015473041587"/>
    <n v="2639.926675038947"/>
    <s v="Yes"/>
    <x v="4"/>
    <x v="0"/>
    <s v="N"/>
    <x v="0"/>
    <n v="5200000"/>
    <n v="41393.922181194233"/>
    <s v="Y"/>
    <m/>
    <m/>
  </r>
  <r>
    <x v="0"/>
    <x v="35"/>
    <x v="41"/>
    <x v="1"/>
    <d v="1899-12-31T23:58:43"/>
    <n v="92500"/>
    <d v="1899-12-30T04:35:02"/>
    <n v="4537.7614355690166"/>
    <n v="1303.6137702270228"/>
    <s v="Yes"/>
    <x v="4"/>
    <x v="0"/>
    <s v="N"/>
    <x v="0"/>
    <n v="5200000"/>
    <n v="16502.145377730474"/>
    <s v="Y"/>
    <m/>
    <m/>
  </r>
  <r>
    <x v="0"/>
    <x v="35"/>
    <x v="42"/>
    <x v="0"/>
    <d v="1899-12-30T17:03:26"/>
    <n v="6400"/>
    <d v="1899-12-30T01:37:47"/>
    <n v="1427.7061598336575"/>
    <n v="410.15320796909953"/>
    <s v="Yes"/>
    <x v="4"/>
    <x v="0"/>
    <s v="N"/>
    <x v="0"/>
    <n v="5200000"/>
    <n v="5866.7967732433881"/>
    <s v="Y"/>
    <m/>
    <m/>
  </r>
  <r>
    <x v="0"/>
    <x v="35"/>
    <x v="43"/>
    <x v="2"/>
    <d v="1899-12-30T06:31:39"/>
    <n v="0"/>
    <d v="1899-12-30T00:37:25"/>
    <n v="0"/>
    <n v="0"/>
    <s v="Yes"/>
    <x v="4"/>
    <x v="0"/>
    <s v="N"/>
    <x v="0"/>
    <n v="5200000"/>
    <n v="2245.1203037886589"/>
    <s v="Y"/>
    <m/>
    <m/>
  </r>
  <r>
    <x v="0"/>
    <x v="35"/>
    <x v="43"/>
    <x v="0"/>
    <d v="1899-12-30T10:00:04"/>
    <n v="1100"/>
    <d v="1899-12-30T00:57:20"/>
    <n v="73.073930471841919"/>
    <n v="20.992769972659428"/>
    <s v="Yes"/>
    <x v="4"/>
    <x v="0"/>
    <s v="N"/>
    <x v="0"/>
    <n v="5200000"/>
    <n v="3439.8617565686568"/>
    <s v="Y"/>
    <m/>
    <m/>
  </r>
  <r>
    <x v="0"/>
    <x v="35"/>
    <x v="43"/>
    <x v="1"/>
    <d v="1899-12-30T01:58:45"/>
    <n v="0"/>
    <d v="1899-12-30T00:11:21"/>
    <n v="0"/>
    <n v="0"/>
    <s v="Yes"/>
    <x v="4"/>
    <x v="0"/>
    <s v="N"/>
    <x v="0"/>
    <n v="5200000"/>
    <n v="680.730335950219"/>
    <s v="Y"/>
    <m/>
    <m/>
  </r>
  <r>
    <x v="0"/>
    <x v="35"/>
    <x v="44"/>
    <x v="2"/>
    <d v="1899-12-30T06:02:32"/>
    <n v="70900"/>
    <d v="1899-12-30T00:34:38"/>
    <n v="831.74703895955531"/>
    <n v="238.9453277191212"/>
    <s v="Yes"/>
    <x v="4"/>
    <x v="0"/>
    <s v="N"/>
    <x v="0"/>
    <n v="5200000"/>
    <n v="2078.2100024686542"/>
    <s v="Y"/>
    <m/>
    <m/>
  </r>
  <r>
    <x v="0"/>
    <x v="35"/>
    <x v="45"/>
    <x v="2"/>
    <d v="1899-12-30T00:12:11"/>
    <n v="6100"/>
    <d v="1899-12-30T00:01:10"/>
    <n v="31.1648379672889"/>
    <n v="8.9530735579441743"/>
    <s v="Yes"/>
    <x v="4"/>
    <x v="0"/>
    <s v="N"/>
    <x v="0"/>
    <n v="5200000"/>
    <n v="69.84054394099789"/>
    <s v="Y"/>
    <m/>
    <m/>
  </r>
  <r>
    <x v="0"/>
    <x v="35"/>
    <x v="45"/>
    <x v="0"/>
    <d v="1900-01-02T18:24:12"/>
    <n v="20400"/>
    <d v="1899-12-30T08:38:14"/>
    <n v="3930.215880575432"/>
    <n v="1129.0773247185027"/>
    <s v="Yes"/>
    <x v="4"/>
    <x v="0"/>
    <s v="N"/>
    <x v="0"/>
    <n v="5200000"/>
    <n v="31094.042006409902"/>
    <s v="Y"/>
    <m/>
    <m/>
  </r>
  <r>
    <x v="0"/>
    <x v="36"/>
    <x v="56"/>
    <x v="2"/>
    <d v="1899-12-31T01:03:22"/>
    <n v="278837"/>
    <d v="1899-12-30T02:23:38"/>
    <n v="65858.016472885894"/>
    <n v="18919.773190572432"/>
    <s v="Yes"/>
    <x v="1"/>
    <x v="0"/>
    <s v="N"/>
    <x v="0"/>
    <n v="11136000"/>
    <n v="8617.9982825798797"/>
    <s v="Y"/>
    <m/>
    <m/>
  </r>
  <r>
    <x v="0"/>
    <x v="36"/>
    <x v="56"/>
    <x v="0"/>
    <d v="1900-01-01T21:10:37"/>
    <n v="754857"/>
    <d v="1899-12-30T06:30:43"/>
    <n v="509520.82284754247"/>
    <n v="156827.13354226309"/>
    <s v="Yes"/>
    <x v="1"/>
    <x v="0"/>
    <s v="N"/>
    <x v="0"/>
    <n v="11136000"/>
    <n v="23443.025958480743"/>
    <s v="Y"/>
    <m/>
    <m/>
  </r>
  <r>
    <x v="0"/>
    <x v="36"/>
    <x v="56"/>
    <x v="1"/>
    <d v="1900-01-02T09:15:50"/>
    <n v="606046"/>
    <d v="1899-12-30T07:46:26"/>
    <n v="314364.68276637868"/>
    <n v="94592.144086251676"/>
    <s v="Yes"/>
    <x v="1"/>
    <x v="0"/>
    <s v="N"/>
    <x v="0"/>
    <n v="11136000"/>
    <n v="27985.564038808068"/>
    <s v="Y"/>
    <m/>
    <m/>
  </r>
  <r>
    <x v="0"/>
    <x v="37"/>
    <x v="6"/>
    <x v="2"/>
    <d v="1899-12-31T12:01:03"/>
    <n v="1076000"/>
    <d v="1899-12-30T03:16:25"/>
    <n v="16193.096411768121"/>
    <n v="4919.5699638209744"/>
    <s v="Yes"/>
    <x v="2"/>
    <x v="0"/>
    <s v="N"/>
    <x v="0"/>
    <n v="2143000"/>
    <n v="11785.454444204795"/>
    <s v="Y"/>
    <m/>
    <m/>
  </r>
  <r>
    <x v="0"/>
    <x v="37"/>
    <x v="6"/>
    <x v="0"/>
    <d v="1900-01-03T21:32:44"/>
    <n v="569567"/>
    <d v="1899-12-30T11:04:19"/>
    <n v="167392.77619266292"/>
    <n v="50953.457907714823"/>
    <s v="Yes"/>
    <x v="2"/>
    <x v="0"/>
    <s v="N"/>
    <x v="0"/>
    <n v="2143000"/>
    <n v="39859.424940550824"/>
    <s v="Y"/>
    <m/>
    <m/>
  </r>
  <r>
    <x v="0"/>
    <x v="37"/>
    <x v="6"/>
    <x v="1"/>
    <d v="1899-12-31T17:29:10"/>
    <n v="135500"/>
    <d v="1899-12-30T03:13:31"/>
    <n v="14347.585055275787"/>
    <n v="4221.9674447538109"/>
    <s v="Yes"/>
    <x v="2"/>
    <x v="0"/>
    <s v="N"/>
    <x v="0"/>
    <n v="2143000"/>
    <n v="11611.293248637987"/>
    <s v="Y"/>
    <m/>
    <m/>
  </r>
  <r>
    <x v="0"/>
    <x v="37"/>
    <x v="7"/>
    <x v="2"/>
    <d v="1899-12-31T01:55:29"/>
    <n v="333100"/>
    <d v="1899-12-30T02:21:33"/>
    <n v="5146.5436059630474"/>
    <n v="1553.7862119497481"/>
    <s v="Yes"/>
    <x v="2"/>
    <x v="0"/>
    <s v="N"/>
    <x v="0"/>
    <n v="1560000"/>
    <n v="8492.86287382099"/>
    <s v="Y"/>
    <m/>
    <m/>
  </r>
  <r>
    <x v="0"/>
    <x v="37"/>
    <x v="7"/>
    <x v="0"/>
    <d v="1900-01-01T14:03:20"/>
    <n v="253961"/>
    <d v="1899-12-30T07:43:52"/>
    <n v="57665.056012574336"/>
    <n v="16232.344977375262"/>
    <s v="Yes"/>
    <x v="2"/>
    <x v="0"/>
    <s v="N"/>
    <x v="0"/>
    <n v="1560000"/>
    <n v="27832.160643319283"/>
    <s v="Y"/>
    <m/>
    <m/>
  </r>
  <r>
    <x v="0"/>
    <x v="37"/>
    <x v="7"/>
    <x v="1"/>
    <d v="1900-01-01T22:54:38"/>
    <n v="115100"/>
    <d v="1899-12-30T06:41:22"/>
    <n v="19010.290428032225"/>
    <n v="5503.2429518700637"/>
    <s v="Yes"/>
    <x v="2"/>
    <x v="0"/>
    <s v="N"/>
    <x v="0"/>
    <n v="1560000"/>
    <n v="24082.021279242414"/>
    <s v="Y"/>
    <m/>
    <m/>
  </r>
  <r>
    <x v="0"/>
    <x v="37"/>
    <x v="57"/>
    <x v="2"/>
    <d v="1899-12-30T09:23:37"/>
    <n v="22600"/>
    <d v="1899-12-30T00:55:51"/>
    <n v="478.19046999030951"/>
    <n v="145.22680530484047"/>
    <s v="Yes"/>
    <x v="2"/>
    <x v="0"/>
    <s v="N"/>
    <x v="0"/>
    <n v="3854000"/>
    <n v="3351.2243666603954"/>
    <s v="Y"/>
    <m/>
    <m/>
  </r>
  <r>
    <x v="0"/>
    <x v="37"/>
    <x v="57"/>
    <x v="0"/>
    <d v="1900-01-01T09:34:46"/>
    <n v="22500"/>
    <d v="1899-12-30T05:55:12"/>
    <n v="5431.9167685030507"/>
    <n v="1653.658628950664"/>
    <s v="Yes"/>
    <x v="2"/>
    <x v="0"/>
    <s v="N"/>
    <x v="0"/>
    <n v="3854000"/>
    <n v="21312.048741991595"/>
    <s v="Y"/>
    <m/>
    <m/>
  </r>
  <r>
    <x v="0"/>
    <x v="37"/>
    <x v="57"/>
    <x v="1"/>
    <d v="1899-12-30T00:37:48"/>
    <n v="0"/>
    <d v="1899-12-30T00:05:00"/>
    <n v="0"/>
    <n v="0"/>
    <s v="Yes"/>
    <x v="2"/>
    <x v="0"/>
    <s v="N"/>
    <x v="0"/>
    <n v="3854000"/>
    <n v="300.00620266736195"/>
    <s v="Y"/>
    <m/>
    <m/>
  </r>
  <r>
    <x v="0"/>
    <x v="38"/>
    <x v="22"/>
    <x v="2"/>
    <d v="1899-12-31T15:32:01"/>
    <n v="236613"/>
    <d v="1899-12-30T03:35:57"/>
    <n v="88872.414896784991"/>
    <n v="26732.853908742698"/>
    <s v="No"/>
    <x v="2"/>
    <x v="0"/>
    <s v="N"/>
    <x v="0"/>
    <n v="3087000"/>
    <n v="12957.161826815876"/>
    <s v="N"/>
    <m/>
    <m/>
  </r>
  <r>
    <x v="0"/>
    <x v="38"/>
    <x v="22"/>
    <x v="0"/>
    <d v="1900-01-04T16:04:52"/>
    <n v="685668"/>
    <d v="1899-12-30T12:47:45"/>
    <n v="770081.78760543664"/>
    <n v="231040.54482802827"/>
    <s v="No"/>
    <x v="2"/>
    <x v="0"/>
    <s v="N"/>
    <x v="0"/>
    <n v="3087000"/>
    <n v="46064.984827178494"/>
    <s v="N"/>
    <m/>
    <m/>
  </r>
  <r>
    <x v="0"/>
    <x v="38"/>
    <x v="22"/>
    <x v="1"/>
    <d v="1899-12-30T22:12:17"/>
    <n v="84493"/>
    <d v="1899-12-30T01:30:48"/>
    <n v="46597.572705300969"/>
    <n v="13191.337026154493"/>
    <s v="No"/>
    <x v="2"/>
    <x v="0"/>
    <s v="N"/>
    <x v="0"/>
    <n v="3087000"/>
    <n v="5447.8490340184208"/>
    <s v="N"/>
    <m/>
    <m/>
  </r>
  <r>
    <x v="0"/>
    <x v="38"/>
    <x v="7"/>
    <x v="2"/>
    <d v="1899-12-31T03:44:00"/>
    <n v="122884"/>
    <d v="1899-12-30T02:50:30"/>
    <n v="47515.569934248015"/>
    <n v="14632.562018510362"/>
    <s v="No"/>
    <x v="2"/>
    <x v="0"/>
    <s v="N"/>
    <x v="0"/>
    <n v="1301000"/>
    <n v="10229.726131923147"/>
    <s v="N"/>
    <m/>
    <m/>
  </r>
  <r>
    <x v="0"/>
    <x v="38"/>
    <x v="7"/>
    <x v="0"/>
    <d v="1900-01-01T23:03:36"/>
    <n v="411299"/>
    <d v="1899-12-30T08:19:02"/>
    <n v="404040.95271309954"/>
    <n v="116949.57012998594"/>
    <s v="No"/>
    <x v="2"/>
    <x v="0"/>
    <s v="N"/>
    <x v="0"/>
    <n v="1301000"/>
    <n v="29941.544168618679"/>
    <s v="N"/>
    <m/>
    <m/>
  </r>
  <r>
    <x v="0"/>
    <x v="38"/>
    <x v="7"/>
    <x v="1"/>
    <d v="1900-01-01T12:50:32"/>
    <n v="150643"/>
    <d v="1899-12-30T05:40:41"/>
    <n v="107795.28072014224"/>
    <n v="31806.786256881831"/>
    <s v="No"/>
    <x v="2"/>
    <x v="0"/>
    <s v="N"/>
    <x v="0"/>
    <n v="1301000"/>
    <n v="20441.319020177998"/>
    <s v="N"/>
    <m/>
    <m/>
  </r>
  <r>
    <x v="0"/>
    <x v="38"/>
    <x v="58"/>
    <x v="2"/>
    <d v="1899-12-30T01:24:03"/>
    <n v="27259"/>
    <d v="1899-12-30T00:07:18"/>
    <n v="1377.020329991426"/>
    <n v="421.21931671021861"/>
    <s v="Yes"/>
    <x v="2"/>
    <x v="0"/>
    <s v="N"/>
    <x v="1"/>
    <n v="1421400"/>
    <n v="437.63982055638166"/>
    <s v="Y"/>
    <m/>
    <m/>
  </r>
  <r>
    <x v="0"/>
    <x v="38"/>
    <x v="58"/>
    <x v="0"/>
    <d v="1899-12-30T22:14:21"/>
    <n v="23610"/>
    <d v="1899-12-30T02:04:36"/>
    <n v="29192.026309814821"/>
    <n v="8783.3662976832165"/>
    <s v="Yes"/>
    <x v="2"/>
    <x v="0"/>
    <s v="N"/>
    <x v="1"/>
    <n v="1421400"/>
    <n v="7476.0093048188128"/>
    <s v="Y"/>
    <m/>
    <m/>
  </r>
  <r>
    <x v="0"/>
    <x v="38"/>
    <x v="58"/>
    <x v="1"/>
    <d v="1899-12-30T01:44:44"/>
    <n v="500"/>
    <d v="1899-12-30T00:09:43"/>
    <n v="247.13857969307648"/>
    <n v="78.791398199561741"/>
    <s v="Yes"/>
    <x v="2"/>
    <x v="0"/>
    <s v="N"/>
    <x v="1"/>
    <n v="1421400"/>
    <n v="582.71960464440212"/>
    <s v="Y"/>
    <m/>
    <m/>
  </r>
  <r>
    <x v="0"/>
    <x v="38"/>
    <x v="59"/>
    <x v="2"/>
    <d v="1899-12-30T03:48:02"/>
    <n v="124907"/>
    <d v="1899-12-30T00:18:36"/>
    <n v="13402.206937126686"/>
    <n v="3986.6435863573479"/>
    <s v="Yes"/>
    <x v="2"/>
    <x v="0"/>
    <s v="N"/>
    <x v="1"/>
    <n v="2088840"/>
    <n v="1115.6012163384828"/>
    <s v="Y"/>
    <m/>
    <m/>
  </r>
  <r>
    <x v="0"/>
    <x v="38"/>
    <x v="59"/>
    <x v="0"/>
    <d v="1899-12-31T05:57:19"/>
    <n v="130345"/>
    <d v="1899-12-30T02:41:59"/>
    <n v="167257.0975586852"/>
    <n v="50024.021406196553"/>
    <s v="Yes"/>
    <x v="2"/>
    <x v="0"/>
    <s v="N"/>
    <x v="1"/>
    <n v="2088840"/>
    <n v="9719.0764830046701"/>
    <s v="Y"/>
    <m/>
    <m/>
  </r>
  <r>
    <x v="0"/>
    <x v="38"/>
    <x v="59"/>
    <x v="1"/>
    <d v="1899-12-30T22:53:20"/>
    <n v="29900"/>
    <d v="1899-12-30T01:57:38"/>
    <n v="26808.455749344303"/>
    <n v="8044.4712912755867"/>
    <s v="Yes"/>
    <x v="2"/>
    <x v="0"/>
    <s v="N"/>
    <x v="1"/>
    <n v="2088840"/>
    <n v="7057.953263261913"/>
    <s v="Y"/>
    <m/>
    <m/>
  </r>
  <r>
    <x v="0"/>
    <x v="38"/>
    <x v="60"/>
    <x v="2"/>
    <d v="1899-12-30T02:06:49"/>
    <n v="232334"/>
    <d v="1899-12-30T00:09:47"/>
    <n v="15364.818417611034"/>
    <n v="4452.0704939223369"/>
    <s v="Yes"/>
    <x v="2"/>
    <x v="0"/>
    <s v="N"/>
    <x v="1"/>
    <n v="3353680"/>
    <n v="586.96498010373011"/>
    <s v="Y"/>
    <m/>
    <m/>
  </r>
  <r>
    <x v="0"/>
    <x v="38"/>
    <x v="60"/>
    <x v="0"/>
    <d v="1899-12-30T23:15:50"/>
    <n v="219424"/>
    <d v="1899-12-30T01:54:07"/>
    <n v="232385.08831971249"/>
    <n v="70092.740931723587"/>
    <s v="Yes"/>
    <x v="2"/>
    <x v="0"/>
    <s v="N"/>
    <x v="1"/>
    <n v="3353680"/>
    <n v="6847.1249538395641"/>
    <s v="Y"/>
    <m/>
    <m/>
  </r>
  <r>
    <x v="0"/>
    <x v="38"/>
    <x v="60"/>
    <x v="1"/>
    <d v="1899-12-30T08:31:36"/>
    <n v="11300"/>
    <d v="1899-12-30T00:39:10"/>
    <n v="14212.760280293778"/>
    <n v="4302.5973465904281"/>
    <s v="Yes"/>
    <x v="2"/>
    <x v="0"/>
    <s v="N"/>
    <x v="1"/>
    <n v="3353680"/>
    <n v="2350.1639049388914"/>
    <s v="Y"/>
    <m/>
    <m/>
  </r>
  <r>
    <x v="0"/>
    <x v="39"/>
    <x v="23"/>
    <x v="2"/>
    <d v="1899-12-30T15:30:00"/>
    <n v="338857"/>
    <d v="1899-12-30T01:28:51"/>
    <n v="4262.9145563784077"/>
    <n v="1224.6554156497355"/>
    <s v="No"/>
    <x v="1"/>
    <x v="0"/>
    <s v="N"/>
    <x v="0"/>
    <n v="5115000"/>
    <n v="5331.1933678627638"/>
    <s v="N"/>
    <m/>
    <m/>
  </r>
  <r>
    <x v="0"/>
    <x v="39"/>
    <x v="23"/>
    <x v="0"/>
    <d v="1900-01-04T23:00:00"/>
    <n v="361692"/>
    <d v="1899-12-30T13:30:54"/>
    <n v="47678.233002777735"/>
    <n v="13694.149690166725"/>
    <s v="No"/>
    <x v="1"/>
    <x v="0"/>
    <s v="N"/>
    <x v="0"/>
    <n v="5115000"/>
    <n v="48653.892107523847"/>
    <s v="N"/>
    <m/>
    <m/>
  </r>
  <r>
    <x v="0"/>
    <x v="39"/>
    <x v="23"/>
    <x v="1"/>
    <d v="1899-12-31T17:00:00"/>
    <n v="137760"/>
    <d v="1899-12-30T03:55:02"/>
    <n v="7105.5411222888488"/>
    <n v="2041.2887242867121"/>
    <s v="No"/>
    <x v="1"/>
    <x v="0"/>
    <s v="N"/>
    <x v="0"/>
    <n v="5115000"/>
    <n v="14101.866327895061"/>
    <s v="N"/>
    <m/>
    <m/>
  </r>
  <r>
    <x v="0"/>
    <x v="39"/>
    <x v="24"/>
    <x v="2"/>
    <d v="1899-12-30T02:00:00"/>
    <n v="63564"/>
    <d v="1899-12-30T00:11:28"/>
    <n v="799.65265838285018"/>
    <n v="229.72521399988742"/>
    <s v="No"/>
    <x v="1"/>
    <x v="0"/>
    <s v="N"/>
    <x v="0"/>
    <n v="5115000"/>
    <n v="687.89591843390542"/>
    <s v="N"/>
    <m/>
    <m/>
  </r>
  <r>
    <x v="0"/>
    <x v="39"/>
    <x v="24"/>
    <x v="1"/>
    <d v="1899-12-30T04:00:00"/>
    <n v="13726"/>
    <d v="1899-12-30T00:22:56"/>
    <n v="690.70746894235742"/>
    <n v="198.42730396843842"/>
    <s v="No"/>
    <x v="1"/>
    <x v="0"/>
    <s v="N"/>
    <x v="0"/>
    <n v="5115000"/>
    <n v="1375.7918368678108"/>
    <s v="N"/>
    <m/>
    <m/>
  </r>
  <r>
    <x v="0"/>
    <x v="39"/>
    <x v="25"/>
    <x v="2"/>
    <d v="1899-12-30T14:00:00"/>
    <n v="312696"/>
    <d v="1899-12-30T01:20:15"/>
    <n v="3933.8019581159679"/>
    <n v="1130.1075375512667"/>
    <s v="No"/>
    <x v="1"/>
    <x v="0"/>
    <s v="N"/>
    <x v="0"/>
    <n v="5115000"/>
    <n v="4815.2714290373351"/>
    <s v="N"/>
    <m/>
    <m/>
  </r>
  <r>
    <x v="0"/>
    <x v="39"/>
    <x v="25"/>
    <x v="0"/>
    <d v="1900-01-04T21:00:00"/>
    <n v="347048"/>
    <d v="1899-12-30T13:19:26"/>
    <n v="46835.708214087397"/>
    <n v="13452.118553392031"/>
    <s v="No"/>
    <x v="1"/>
    <x v="0"/>
    <s v="N"/>
    <x v="0"/>
    <n v="5115000"/>
    <n v="47965.996189089936"/>
    <s v="N"/>
    <m/>
    <m/>
  </r>
  <r>
    <x v="0"/>
    <x v="39"/>
    <x v="25"/>
    <x v="1"/>
    <d v="1899-12-31T09:55:00"/>
    <n v="252761"/>
    <d v="1899-12-30T03:14:26"/>
    <n v="13350.721368045099"/>
    <n v="3835.4119018743295"/>
    <s v="No"/>
    <x v="1"/>
    <x v="0"/>
    <s v="N"/>
    <x v="0"/>
    <n v="5115000"/>
    <n v="11665.568283441646"/>
    <s v="N"/>
    <m/>
    <m/>
  </r>
  <r>
    <x v="0"/>
    <x v="40"/>
    <x v="4"/>
    <x v="2"/>
    <d v="1899-12-30T00:14:00"/>
    <n v="659700"/>
    <d v="1899-12-30T00:01:09"/>
    <n v="32297.345202730317"/>
    <n v="9865.6478781486021"/>
    <s v="Yes"/>
    <x v="3"/>
    <x v="0"/>
    <s v="N"/>
    <x v="0"/>
    <n v="93000000"/>
    <n v="69.101283880171209"/>
    <s v="Y"/>
    <m/>
    <m/>
  </r>
  <r>
    <x v="0"/>
    <x v="40"/>
    <x v="4"/>
    <x v="0"/>
    <d v="1900-01-02T20:12:00"/>
    <n v="14154500"/>
    <d v="1899-12-30T08:36:28"/>
    <n v="16796931.09121925"/>
    <n v="4998805.5206386782"/>
    <s v="Yes"/>
    <x v="3"/>
    <x v="0"/>
    <s v="N"/>
    <x v="0"/>
    <n v="93000000"/>
    <n v="30987.7195729497"/>
    <s v="Y"/>
    <m/>
    <m/>
  </r>
  <r>
    <x v="0"/>
    <x v="40"/>
    <x v="1"/>
    <x v="2"/>
    <d v="1899-12-30T00:53:00"/>
    <n v="102000"/>
    <d v="1899-12-30T00:04:22"/>
    <n v="9456.5149632109224"/>
    <n v="2888.616578107959"/>
    <s v="Yes"/>
    <x v="3"/>
    <x v="0"/>
    <s v="N"/>
    <x v="0"/>
    <n v="93000000"/>
    <n v="261.59771754636245"/>
    <s v="Y"/>
    <m/>
    <m/>
  </r>
  <r>
    <x v="0"/>
    <x v="40"/>
    <x v="1"/>
    <x v="0"/>
    <d v="1900-01-01T10:34:00"/>
    <n v="8028500"/>
    <d v="1899-12-30T05:23:42"/>
    <n v="7638778.3138077166"/>
    <n v="2193245.4312096476"/>
    <s v="Yes"/>
    <x v="3"/>
    <x v="0"/>
    <s v="N"/>
    <x v="0"/>
    <n v="93000000"/>
    <n v="19422.313569471611"/>
    <s v="Y"/>
    <m/>
    <m/>
  </r>
  <r>
    <x v="0"/>
    <x v="40"/>
    <x v="2"/>
    <x v="0"/>
    <d v="1900-01-05T01:07:00"/>
    <n v="510892"/>
    <d v="1899-12-30T13:27:47"/>
    <n v="645722.9480675793"/>
    <n v="190052.90619385883"/>
    <s v="No"/>
    <x v="3"/>
    <x v="0"/>
    <s v="N"/>
    <x v="0"/>
    <n v="93000000"/>
    <n v="48466.727172845523"/>
    <s v="N"/>
    <m/>
    <m/>
  </r>
  <r>
    <x v="0"/>
    <x v="40"/>
    <x v="61"/>
    <x v="2"/>
    <d v="1899-12-30T00:33:00"/>
    <n v="12400"/>
    <d v="1899-12-30T00:02:43"/>
    <n v="1430.9614388528651"/>
    <n v="437.10594769683422"/>
    <s v="Yes"/>
    <x v="3"/>
    <x v="0"/>
    <s v="N"/>
    <x v="0"/>
    <n v="38400000"/>
    <n v="162.88159771754644"/>
    <s v="Y"/>
    <m/>
    <m/>
  </r>
  <r>
    <x v="0"/>
    <x v="40"/>
    <x v="61"/>
    <x v="0"/>
    <d v="1900-01-02T09:18:00"/>
    <n v="195900"/>
    <d v="1899-12-30T07:34:00"/>
    <n v="175528.94387944759"/>
    <n v="51829.213973383426"/>
    <s v="Yes"/>
    <x v="3"/>
    <x v="0"/>
    <s v="N"/>
    <x v="0"/>
    <n v="38400000"/>
    <n v="27239.613677123867"/>
    <s v="Y"/>
    <m/>
    <m/>
  </r>
  <r>
    <x v="0"/>
    <x v="40"/>
    <x v="62"/>
    <x v="2"/>
    <d v="1899-12-31T17:46:00"/>
    <n v="1851484"/>
    <d v="1899-12-30T03:51:43"/>
    <n v="319698.33205917408"/>
    <n v="92172.200398974615"/>
    <s v="Yes"/>
    <x v="3"/>
    <x v="0"/>
    <s v="N"/>
    <x v="0"/>
    <n v="34000000"/>
    <n v="13903.308625513771"/>
    <s v="Y"/>
    <m/>
    <m/>
  </r>
  <r>
    <x v="0"/>
    <x v="40"/>
    <x v="62"/>
    <x v="0"/>
    <d v="1899-12-30T07:11:00"/>
    <n v="178900"/>
    <d v="1899-12-30T00:32:15"/>
    <n v="95929.11979701223"/>
    <n v="27052.970515742199"/>
    <s v="Yes"/>
    <x v="3"/>
    <x v="0"/>
    <s v="N"/>
    <x v="0"/>
    <n v="34000000"/>
    <n v="1934.9472621961868"/>
    <s v="Y"/>
    <m/>
    <m/>
  </r>
  <r>
    <x v="0"/>
    <x v="40"/>
    <x v="62"/>
    <x v="1"/>
    <d v="1900-01-02T09:40:00"/>
    <n v="1544843"/>
    <d v="1899-12-30T07:26:49"/>
    <n v="621042.22738550464"/>
    <n v="180264.04707518368"/>
    <s v="Yes"/>
    <x v="3"/>
    <x v="0"/>
    <s v="N"/>
    <x v="0"/>
    <n v="34000000"/>
    <n v="26808.944494296411"/>
    <s v="Y"/>
    <m/>
    <m/>
  </r>
  <r>
    <x v="0"/>
    <x v="41"/>
    <x v="30"/>
    <x v="2"/>
    <d v="1900-01-01T20:30:00"/>
    <n v="232058"/>
    <d v="1899-12-30T06:10:51"/>
    <n v="13847.493741336066"/>
    <n v="4041.1225419440748"/>
    <s v="No"/>
    <x v="1"/>
    <x v="0"/>
    <s v="N"/>
    <x v="0"/>
    <n v="6225000"/>
    <n v="22250.596664249795"/>
    <s v="N"/>
    <m/>
    <m/>
  </r>
  <r>
    <x v="0"/>
    <x v="41"/>
    <x v="30"/>
    <x v="0"/>
    <d v="1900-01-05T00:50:00"/>
    <n v="63915"/>
    <d v="1899-12-30T13:39:56"/>
    <n v="50670.396756042457"/>
    <n v="14553.083336790447"/>
    <s v="No"/>
    <x v="1"/>
    <x v="0"/>
    <s v="N"/>
    <x v="0"/>
    <n v="6225000"/>
    <n v="49196.019022671549"/>
    <s v="N"/>
    <m/>
    <m/>
  </r>
  <r>
    <x v="0"/>
    <x v="41"/>
    <x v="24"/>
    <x v="2"/>
    <d v="1899-12-30T05:00:00"/>
    <n v="17506"/>
    <d v="1899-12-30T00:22:46"/>
    <n v="938.30690672459991"/>
    <n v="268.3090857422028"/>
    <s v="No"/>
    <x v="1"/>
    <x v="0"/>
    <s v="N"/>
    <x v="0"/>
    <n v="6225000"/>
    <n v="1365.9624224178451"/>
    <s v="N"/>
    <m/>
    <m/>
  </r>
  <r>
    <x v="0"/>
    <x v="41"/>
    <x v="24"/>
    <x v="0"/>
    <d v="1900-01-01T17:30:00"/>
    <n v="28133"/>
    <d v="1899-12-30T06:15:29"/>
    <n v="21885.922300404978"/>
    <n v="6287.4150812093048"/>
    <s v="No"/>
    <x v="1"/>
    <x v="0"/>
    <s v="N"/>
    <x v="0"/>
    <n v="6225000"/>
    <n v="22528.591328710409"/>
    <s v="N"/>
    <m/>
    <m/>
  </r>
  <r>
    <x v="0"/>
    <x v="41"/>
    <x v="63"/>
    <x v="0"/>
    <d v="1900-01-04T13:15:00"/>
    <n v="89953"/>
    <d v="1899-12-30T12:34:04"/>
    <n v="42772.418031682966"/>
    <n v="12285.94225606293"/>
    <s v="No"/>
    <x v="1"/>
    <x v="0"/>
    <s v="N"/>
    <x v="0"/>
    <n v="0"/>
    <n v="45244.227433517568"/>
    <s v="N"/>
    <m/>
    <m/>
  </r>
  <r>
    <x v="0"/>
    <x v="41"/>
    <x v="63"/>
    <x v="1"/>
    <d v="1899-12-31T23:00:00"/>
    <n v="63743"/>
    <d v="1899-12-30T04:29:26"/>
    <n v="9524.9814856907542"/>
    <n v="2736.3485723543522"/>
    <s v="No"/>
    <x v="1"/>
    <x v="0"/>
    <s v="N"/>
    <x v="0"/>
    <n v="0"/>
    <n v="16165.554083196781"/>
    <s v="N"/>
    <m/>
    <m/>
  </r>
  <r>
    <x v="0"/>
    <x v="42"/>
    <x v="64"/>
    <x v="3"/>
    <d v="1899-12-30T13:00:00"/>
    <n v="35218.596430517646"/>
    <d v="1899-12-30T01:12:21"/>
    <n v="17608.052327533442"/>
    <n v="5106.5514386363348"/>
    <m/>
    <x v="5"/>
    <x v="1"/>
    <s v="N"/>
    <x v="2"/>
    <s v="-"/>
    <n v="4341.0917676368708"/>
    <s v="Y"/>
    <m/>
    <m/>
  </r>
  <r>
    <x v="0"/>
    <x v="42"/>
    <x v="64"/>
    <x v="3"/>
    <d v="1899-12-30T02:00:00"/>
    <n v="1056.87758538098"/>
    <d v="1899-12-30T00:09:18"/>
    <n v="271.51746244291189"/>
    <n v="83.774203691440874"/>
    <m/>
    <x v="5"/>
    <x v="1"/>
    <s v="N"/>
    <x v="2"/>
    <s v="-"/>
    <n v="557.66421625039061"/>
    <s v="Y"/>
    <m/>
    <m/>
  </r>
  <r>
    <x v="0"/>
    <x v="42"/>
    <x v="64"/>
    <x v="3"/>
    <d v="1899-12-30T18:20:00"/>
    <n v="35218.596430517646"/>
    <d v="1899-12-30T01:45:06"/>
    <n v="25576.81871600918"/>
    <n v="7347.7404112604745"/>
    <m/>
    <x v="5"/>
    <x v="1"/>
    <s v="N"/>
    <x v="2"/>
    <s v="-"/>
    <n v="6305.7125856441317"/>
    <s v="Y"/>
    <m/>
    <m/>
  </r>
  <r>
    <x v="0"/>
    <x v="42"/>
    <x v="64"/>
    <x v="3"/>
    <d v="1899-12-30T05:05:00"/>
    <n v="2113.75517076196"/>
    <d v="1899-12-30T00:22:16"/>
    <n v="650.50922898870294"/>
    <n v="188.27732811318307"/>
    <m/>
    <x v="5"/>
    <x v="1"/>
    <s v="N"/>
    <x v="2"/>
    <s v="-"/>
    <n v="1336.0677286968403"/>
    <s v="Y"/>
    <m/>
    <m/>
  </r>
  <r>
    <x v="0"/>
    <x v="42"/>
    <x v="64"/>
    <x v="3"/>
    <d v="1899-12-31T17:25:00"/>
    <n v="124242.58661518103"/>
    <d v="1899-12-30T03:50:02"/>
    <n v="74326.672474965351"/>
    <n v="21238.614784046742"/>
    <m/>
    <x v="5"/>
    <x v="1"/>
    <s v="N"/>
    <x v="2"/>
    <s v="-"/>
    <n v="13802.215696306883"/>
    <s v="Y"/>
    <m/>
    <m/>
  </r>
  <r>
    <x v="0"/>
    <x v="42"/>
    <x v="64"/>
    <x v="3"/>
    <d v="1899-12-30T00:30:00"/>
    <n v="857.91777726110195"/>
    <d v="1899-12-30T00:02:28"/>
    <n v="58.522827887187589"/>
    <n v="17.876565678831067"/>
    <m/>
    <x v="5"/>
    <x v="1"/>
    <s v="N"/>
    <x v="2"/>
    <s v="-"/>
    <n v="148.07417974322402"/>
    <s v="Y"/>
    <m/>
    <m/>
  </r>
  <r>
    <x v="0"/>
    <x v="42"/>
    <x v="64"/>
    <x v="3"/>
    <d v="1900-01-03T23:45:00"/>
    <n v="281963.48541331291"/>
    <d v="1899-12-30T11:19:19"/>
    <n v="221887.73587789916"/>
    <n v="64703.248707458319"/>
    <m/>
    <x v="5"/>
    <x v="1"/>
    <s v="N"/>
    <x v="2"/>
    <s v="-"/>
    <n v="40758.871106188693"/>
    <s v="Y"/>
    <m/>
    <m/>
  </r>
  <r>
    <x v="0"/>
    <x v="42"/>
    <x v="64"/>
    <x v="3"/>
    <d v="1899-12-30T05:15:00"/>
    <n v="3048.53209870503"/>
    <d v="1899-12-30T00:24:24"/>
    <n v="2055.8582105884684"/>
    <n v="634.31605077986978"/>
    <m/>
    <x v="5"/>
    <x v="1"/>
    <s v="N"/>
    <x v="2"/>
    <s v="-"/>
    <n v="1463.8685676572752"/>
    <s v="Y"/>
    <m/>
    <m/>
  </r>
  <r>
    <x v="0"/>
    <x v="42"/>
    <x v="64"/>
    <x v="3"/>
    <d v="1899-12-30T11:48:59"/>
    <n v="9645.282829023181"/>
    <d v="1899-12-30T00:57:27"/>
    <n v="4169.3941215698178"/>
    <n v="1218.3553220628705"/>
    <m/>
    <x v="5"/>
    <x v="1"/>
    <s v="N"/>
    <x v="2"/>
    <s v="-"/>
    <n v="3446.7301463829813"/>
    <s v="Y"/>
    <m/>
    <m/>
  </r>
  <r>
    <x v="0"/>
    <x v="42"/>
    <x v="64"/>
    <x v="3"/>
    <d v="1899-12-30T07:00:00"/>
    <n v="23528.880500123181"/>
    <d v="1899-12-30T00:40:08"/>
    <n v="1864.0789669573414"/>
    <n v="535.51493277465261"/>
    <m/>
    <x v="5"/>
    <x v="1"/>
    <s v="N"/>
    <x v="2"/>
    <s v="-"/>
    <n v="2407.6357145186689"/>
    <s v="Y"/>
    <m/>
    <m/>
  </r>
  <r>
    <x v="0"/>
    <x v="42"/>
    <x v="64"/>
    <x v="3"/>
    <d v="1900-01-03T15:30:00"/>
    <n v="64805.036787847726"/>
    <d v="1899-12-30T10:39:10"/>
    <n v="45796.960793529412"/>
    <n v="13156.608070451746"/>
    <m/>
    <x v="5"/>
    <x v="1"/>
    <s v="N"/>
    <x v="2"/>
    <s v="-"/>
    <n v="38350.197452690227"/>
    <s v="Y"/>
    <m/>
    <m/>
  </r>
  <r>
    <x v="0"/>
    <x v="42"/>
    <x v="64"/>
    <x v="3"/>
    <d v="1900-01-03T03:30:00"/>
    <n v="60526.753872072819"/>
    <d v="1899-12-30T09:37:10"/>
    <n v="25165.855793874816"/>
    <n v="7168.7409247289525"/>
    <m/>
    <x v="5"/>
    <x v="1"/>
    <s v="N"/>
    <x v="2"/>
    <s v="-"/>
    <n v="34630.375595794001"/>
    <s v="Y"/>
    <m/>
    <m/>
  </r>
  <r>
    <x v="0"/>
    <x v="42"/>
    <x v="64"/>
    <x v="3"/>
    <d v="1899-12-31T18:24:25"/>
    <n v="59972.247784878426"/>
    <d v="1899-12-30T03:40:41"/>
    <n v="43672.993597704932"/>
    <n v="13483.14256258292"/>
    <m/>
    <x v="5"/>
    <x v="1"/>
    <s v="N"/>
    <x v="2"/>
    <s v="-"/>
    <n v="13241.339398751694"/>
    <s v="Y"/>
    <m/>
    <m/>
  </r>
  <r>
    <x v="0"/>
    <x v="42"/>
    <x v="64"/>
    <x v="3"/>
    <d v="1899-12-31T02:24:54"/>
    <n v="37087.780009660688"/>
    <d v="1899-12-30T02:24:38"/>
    <n v="3541.767400969376"/>
    <n v="1081.9794798371993"/>
    <m/>
    <x v="5"/>
    <x v="1"/>
    <s v="N"/>
    <x v="2"/>
    <s v="-"/>
    <n v="8678.0520350482257"/>
    <s v="Y"/>
    <m/>
    <m/>
  </r>
  <r>
    <x v="0"/>
    <x v="42"/>
    <x v="64"/>
    <x v="3"/>
    <d v="1900-01-04T03:17:23"/>
    <n v="192005.8842249985"/>
    <d v="1899-12-30T11:45:17"/>
    <n v="59315.093857627915"/>
    <n v="18008.187830274994"/>
    <m/>
    <x v="5"/>
    <x v="1"/>
    <s v="N"/>
    <x v="2"/>
    <s v="-"/>
    <n v="42317.426120767865"/>
    <s v="Y"/>
    <m/>
    <m/>
  </r>
  <r>
    <x v="0"/>
    <x v="42"/>
    <x v="64"/>
    <x v="3"/>
    <d v="1899-12-31T02:18:33"/>
    <n v="17345.469449845277"/>
    <d v="1899-12-30T01:53:17"/>
    <n v="3536.6574402119682"/>
    <n v="1075.5893500435329"/>
    <m/>
    <x v="5"/>
    <x v="1"/>
    <s v="N"/>
    <x v="2"/>
    <s v="-"/>
    <n v="6796.5729855109512"/>
    <s v="Y"/>
    <m/>
    <m/>
  </r>
  <r>
    <x v="0"/>
    <x v="42"/>
    <x v="64"/>
    <x v="3"/>
    <d v="1899-12-31T03:44:00"/>
    <n v="2476.7069290719301"/>
    <d v="1899-12-30T02:50:30"/>
    <n v="283.36967399006465"/>
    <n v="87.265179895939056"/>
    <m/>
    <x v="5"/>
    <x v="1"/>
    <s v="N"/>
    <x v="2"/>
    <s v="-"/>
    <n v="10229.726131923149"/>
    <s v="Y"/>
    <m/>
    <m/>
  </r>
  <r>
    <x v="0"/>
    <x v="42"/>
    <x v="64"/>
    <x v="3"/>
    <d v="1900-01-01T23:03:36"/>
    <n v="10163.843240910284"/>
    <d v="1899-12-30T08:19:02"/>
    <n v="2954.1320002901189"/>
    <n v="855.07669994252262"/>
    <m/>
    <x v="5"/>
    <x v="1"/>
    <s v="N"/>
    <x v="2"/>
    <s v="-"/>
    <n v="29941.544168618679"/>
    <s v="Y"/>
    <m/>
    <m/>
  </r>
  <r>
    <x v="0"/>
    <x v="42"/>
    <x v="64"/>
    <x v="3"/>
    <d v="1900-01-01T12:50:32"/>
    <n v="3033.0236292168411"/>
    <d v="1899-12-30T05:40:41"/>
    <n v="642.11638710258899"/>
    <n v="189.46739030952014"/>
    <m/>
    <x v="5"/>
    <x v="1"/>
    <s v="N"/>
    <x v="2"/>
    <s v="-"/>
    <n v="20441.319020177998"/>
    <s v="Y"/>
    <m/>
    <m/>
  </r>
  <r>
    <x v="0"/>
    <x v="42"/>
    <x v="64"/>
    <x v="3"/>
    <d v="1899-12-30T00:37:56"/>
    <n v="1299.80537417035"/>
    <d v="1899-12-30T00:03:07"/>
    <n v="112.11345006782044"/>
    <n v="34.246524407213755"/>
    <m/>
    <x v="5"/>
    <x v="1"/>
    <s v="N"/>
    <x v="2"/>
    <s v="-"/>
    <n v="187.2315739419877"/>
    <s v="Y"/>
    <m/>
    <m/>
  </r>
  <r>
    <x v="0"/>
    <x v="42"/>
    <x v="64"/>
    <x v="3"/>
    <d v="1899-12-30T12:17:08"/>
    <n v="279747.00108533009"/>
    <d v="1899-12-30T01:03:48"/>
    <n v="15695.01921726002"/>
    <n v="4582.8238098753072"/>
    <m/>
    <x v="5"/>
    <x v="1"/>
    <s v="N"/>
    <x v="2"/>
    <s v="-"/>
    <n v="3828.3334184424175"/>
    <s v="Y"/>
    <m/>
    <m/>
  </r>
  <r>
    <x v="0"/>
    <x v="42"/>
    <x v="64"/>
    <x v="3"/>
    <d v="1899-12-30T21:14:45"/>
    <n v="215157.64766768581"/>
    <d v="1899-12-30T01:35:43"/>
    <n v="70877.57642696242"/>
    <n v="21556.24997420099"/>
    <m/>
    <x v="5"/>
    <x v="1"/>
    <s v="N"/>
    <x v="2"/>
    <s v="-"/>
    <n v="5742.5887573335212"/>
    <s v="Y"/>
    <m/>
    <m/>
  </r>
  <r>
    <x v="0"/>
    <x v="42"/>
    <x v="64"/>
    <x v="3"/>
    <d v="1899-12-30T01:34:53"/>
    <n v="8526.9412908199702"/>
    <d v="1899-12-30T00:06:09"/>
    <n v="1448.6870007637228"/>
    <n v="394.37466349257988"/>
    <m/>
    <x v="5"/>
    <x v="1"/>
    <s v="N"/>
    <x v="2"/>
    <s v="-"/>
    <n v="368.79157361558384"/>
    <s v="Y"/>
    <m/>
    <m/>
  </r>
  <r>
    <x v="0"/>
    <x v="42"/>
    <x v="64"/>
    <x v="3"/>
    <d v="1899-12-30T01:31:46"/>
    <n v="3349.9949200852097"/>
    <d v="1899-12-30T00:05:57"/>
    <n v="550.45327766774494"/>
    <n v="149.84936431000014"/>
    <m/>
    <x v="5"/>
    <x v="1"/>
    <s v="N"/>
    <x v="2"/>
    <s v="-"/>
    <n v="356.67774535875714"/>
    <s v="Y"/>
    <m/>
    <m/>
  </r>
  <r>
    <x v="0"/>
    <x v="42"/>
    <x v="64"/>
    <x v="3"/>
    <d v="1899-12-30T07:00:00"/>
    <n v="14338.777845573788"/>
    <d v="1899-12-30T00:40:08"/>
    <n v="2271.9835050093461"/>
    <n v="652.69825770103398"/>
    <m/>
    <x v="5"/>
    <x v="1"/>
    <s v="N"/>
    <x v="2"/>
    <s v="-"/>
    <n v="2407.6357145186689"/>
    <s v="Y"/>
    <m/>
    <m/>
  </r>
  <r>
    <x v="0"/>
    <x v="42"/>
    <x v="64"/>
    <x v="3"/>
    <d v="1899-12-30T01:00:00"/>
    <n v="2644.3436306413601"/>
    <d v="1899-12-30T00:05:44"/>
    <n v="418.99701460597379"/>
    <n v="120.36998543883738"/>
    <m/>
    <x v="5"/>
    <x v="1"/>
    <s v="N"/>
    <x v="2"/>
    <s v="-"/>
    <n v="343.94795921695271"/>
    <s v="Y"/>
    <m/>
    <m/>
  </r>
  <r>
    <x v="0"/>
    <x v="42"/>
    <x v="64"/>
    <x v="3"/>
    <d v="1899-12-30T07:45:00"/>
    <n v="3089.0575510315598"/>
    <d v="1899-12-30T00:44:26"/>
    <n v="1896.6654986583865"/>
    <n v="544.87643228329648"/>
    <m/>
    <x v="5"/>
    <x v="1"/>
    <s v="N"/>
    <x v="2"/>
    <s v="-"/>
    <n v="2665.5966839313833"/>
    <s v="Y"/>
    <m/>
    <m/>
  </r>
  <r>
    <x v="0"/>
    <x v="42"/>
    <x v="64"/>
    <x v="3"/>
    <d v="1899-12-30T03:00:00"/>
    <n v="1253.8011076694499"/>
    <d v="1899-12-30T00:17:12"/>
    <n v="595.99544658545165"/>
    <n v="171.21831594568445"/>
    <m/>
    <x v="5"/>
    <x v="1"/>
    <s v="N"/>
    <x v="2"/>
    <s v="-"/>
    <n v="1031.8438776508581"/>
    <s v="Y"/>
    <m/>
    <m/>
  </r>
  <r>
    <x v="0"/>
    <x v="42"/>
    <x v="64"/>
    <x v="3"/>
    <d v="1899-12-30T06:00:00"/>
    <n v="3089.0575510315598"/>
    <d v="1899-12-30T00:25:33"/>
    <n v="1090.7986848693693"/>
    <n v="311.2511755707722"/>
    <m/>
    <x v="5"/>
    <x v="1"/>
    <s v="N"/>
    <x v="2"/>
    <s v="-"/>
    <n v="1533.0216948013383"/>
    <s v="Y"/>
    <m/>
    <m/>
  </r>
  <r>
    <x v="0"/>
    <x v="42"/>
    <x v="64"/>
    <x v="3"/>
    <d v="1900-01-04T02:35:00"/>
    <n v="1140875.8720314377"/>
    <d v="1899-12-30T11:52:17"/>
    <n v="379092.44197027676"/>
    <n v="110469.07639606232"/>
    <m/>
    <x v="5"/>
    <x v="1"/>
    <s v="N"/>
    <x v="2"/>
    <s v="-"/>
    <n v="42736.610856610096"/>
    <s v="Y"/>
    <m/>
    <m/>
  </r>
  <r>
    <x v="0"/>
    <x v="42"/>
    <x v="64"/>
    <x v="3"/>
    <d v="1899-12-30T13:00:00"/>
    <n v="21272.926900344086"/>
    <d v="1899-12-30T01:02:09"/>
    <n v="7551.7590902215952"/>
    <n v="2322.240941402013"/>
    <m/>
    <x v="5"/>
    <x v="1"/>
    <s v="N"/>
    <x v="2"/>
    <s v="-"/>
    <n v="3728.7149137950555"/>
    <s v="Y"/>
    <m/>
    <m/>
  </r>
  <r>
    <x v="0"/>
    <x v="42"/>
    <x v="64"/>
    <x v="3"/>
    <d v="1900-01-03T17:09:00"/>
    <n v="325156.35934423434"/>
    <d v="1899-12-30T10:50:18"/>
    <n v="262751.40014431498"/>
    <n v="78056.948412912461"/>
    <m/>
    <x v="5"/>
    <x v="1"/>
    <s v="N"/>
    <x v="2"/>
    <s v="-"/>
    <n v="39018.466481293362"/>
    <s v="Y"/>
    <m/>
    <m/>
  </r>
  <r>
    <x v="0"/>
    <x v="42"/>
    <x v="64"/>
    <x v="3"/>
    <d v="1899-12-30T02:00:00"/>
    <n v="1145.5941177493501"/>
    <d v="1899-12-30T00:07:10"/>
    <n v="226.78501936062551"/>
    <n v="58.421943273152728"/>
    <m/>
    <x v="5"/>
    <x v="1"/>
    <s v="N"/>
    <x v="2"/>
    <s v="-"/>
    <n v="429.71774422799621"/>
    <s v="Y"/>
    <m/>
    <m/>
  </r>
  <r>
    <x v="0"/>
    <x v="42"/>
    <x v="64"/>
    <x v="3"/>
    <d v="1899-12-30T18:06:00"/>
    <n v="35742.018886075748"/>
    <d v="1899-12-30T01:44:37"/>
    <n v="23594.305977154778"/>
    <n v="7225.5206579594496"/>
    <m/>
    <x v="5"/>
    <x v="1"/>
    <s v="N"/>
    <x v="2"/>
    <s v="-"/>
    <n v="6277.0333642049536"/>
    <s v="Y"/>
    <m/>
    <m/>
  </r>
  <r>
    <x v="0"/>
    <x v="42"/>
    <x v="64"/>
    <x v="3"/>
    <d v="1899-12-30T14:00:00"/>
    <n v="3685.224451073188"/>
    <d v="1899-12-30T01:03:03"/>
    <n v="2265.3375437331424"/>
    <n v="713.70125088616419"/>
    <m/>
    <x v="5"/>
    <x v="1"/>
    <s v="N"/>
    <x v="2"/>
    <s v="-"/>
    <n v="3782.9895665721674"/>
    <s v="Y"/>
    <m/>
    <m/>
  </r>
  <r>
    <x v="0"/>
    <x v="42"/>
    <x v="64"/>
    <x v="3"/>
    <d v="1900-01-04T10:10:00"/>
    <n v="500551.3045317583"/>
    <d v="1899-12-30T12:07:45"/>
    <n v="425702.44376665889"/>
    <n v="125680.18420240618"/>
    <m/>
    <x v="5"/>
    <x v="1"/>
    <s v="N"/>
    <x v="2"/>
    <s v="-"/>
    <n v="43664.698063635456"/>
    <s v="Y"/>
    <m/>
    <m/>
  </r>
  <r>
    <x v="0"/>
    <x v="42"/>
    <x v="64"/>
    <x v="3"/>
    <d v="1899-12-30T19:21:00"/>
    <n v="31455.53005241877"/>
    <d v="1899-12-30T01:32:19"/>
    <n v="10586.677724033552"/>
    <n v="2998.8153216400406"/>
    <m/>
    <x v="5"/>
    <x v="1"/>
    <s v="N"/>
    <x v="2"/>
    <s v="-"/>
    <n v="5538.8882230631189"/>
    <s v="Y"/>
    <m/>
    <m/>
  </r>
  <r>
    <x v="0"/>
    <x v="42"/>
    <x v="64"/>
    <x v="3"/>
    <d v="1899-12-31T16:49:00"/>
    <n v="30814.583945876762"/>
    <d v="1899-12-30T03:47:23"/>
    <n v="33356.537978620931"/>
    <n v="10364.980414843913"/>
    <m/>
    <x v="5"/>
    <x v="1"/>
    <s v="N"/>
    <x v="2"/>
    <s v="-"/>
    <n v="13643.268300455038"/>
    <s v="Y"/>
    <m/>
    <m/>
  </r>
  <r>
    <x v="0"/>
    <x v="42"/>
    <x v="64"/>
    <x v="3"/>
    <d v="1899-12-30T09:00:00"/>
    <n v="8930.11318293767"/>
    <d v="1899-12-30T00:51:36"/>
    <n v="4244.9370653504902"/>
    <n v="1219.4908195838364"/>
    <m/>
    <x v="5"/>
    <x v="1"/>
    <s v="N"/>
    <x v="2"/>
    <s v="-"/>
    <n v="3095.531632952574"/>
    <s v="Y"/>
    <m/>
    <m/>
  </r>
  <r>
    <x v="0"/>
    <x v="42"/>
    <x v="64"/>
    <x v="3"/>
    <d v="1899-12-31T06:30:00"/>
    <n v="562037.57159191801"/>
    <d v="1899-12-30T02:54:50"/>
    <n v="452696.33182764356"/>
    <n v="130051.16736106614"/>
    <m/>
    <x v="5"/>
    <x v="1"/>
    <s v="N"/>
    <x v="2"/>
    <s v="-"/>
    <n v="10490.412756117057"/>
    <s v="Y"/>
    <m/>
    <m/>
  </r>
  <r>
    <x v="0"/>
    <x v="42"/>
    <x v="64"/>
    <x v="3"/>
    <d v="1899-12-30T01:00:00"/>
    <n v="124471.39163117101"/>
    <d v="1899-12-30T00:05:44"/>
    <n v="19722.528075771395"/>
    <n v="5665.9124875392781"/>
    <m/>
    <x v="5"/>
    <x v="1"/>
    <s v="N"/>
    <x v="2"/>
    <s v="-"/>
    <n v="343.9479592169526"/>
    <s v="Y"/>
    <m/>
    <m/>
  </r>
  <r>
    <x v="0"/>
    <x v="42"/>
    <x v="64"/>
    <x v="3"/>
    <d v="1900-01-03T03:41:00"/>
    <n v="9797981.2411719896"/>
    <d v="1899-12-30T09:04:20"/>
    <n v="6409544.5409674766"/>
    <n v="1888369.7160956184"/>
    <m/>
    <x v="5"/>
    <x v="1"/>
    <s v="N"/>
    <x v="2"/>
    <s v="-"/>
    <n v="32660.144460907319"/>
    <s v="Y"/>
    <m/>
    <m/>
  </r>
  <r>
    <x v="0"/>
    <x v="42"/>
    <x v="64"/>
    <x v="3"/>
    <d v="1899-12-31T00:58:00"/>
    <n v="4320338.2614271892"/>
    <d v="1899-12-30T02:13:34"/>
    <n v="1119142.1725530757"/>
    <n v="323963.55629488523"/>
    <m/>
    <x v="5"/>
    <x v="1"/>
    <s v="N"/>
    <x v="2"/>
    <s v="-"/>
    <n v="8013.8069162070951"/>
    <s v="Y"/>
    <m/>
    <m/>
  </r>
  <r>
    <x v="0"/>
    <x v="42"/>
    <x v="64"/>
    <x v="3"/>
    <d v="1899-12-31T18:20:00"/>
    <n v="6064276.7917579319"/>
    <d v="1899-12-30T03:41:27"/>
    <n v="1576049.7804453217"/>
    <n v="464213.64899105002"/>
    <m/>
    <x v="5"/>
    <x v="1"/>
    <s v="N"/>
    <x v="2"/>
    <s v="-"/>
    <n v="13286.701041083737"/>
    <s v="Y"/>
    <m/>
    <m/>
  </r>
  <r>
    <x v="0"/>
    <x v="42"/>
    <x v="64"/>
    <x v="3"/>
    <d v="1900-01-05T01:08:00"/>
    <n v="3646214"/>
    <d v="1899-12-30T13:27:52"/>
    <n v="3131584.7165845293"/>
    <n v="919610.15696907393"/>
    <m/>
    <x v="5"/>
    <x v="1"/>
    <s v="N"/>
    <x v="2"/>
    <s v="-"/>
    <n v="48472.459638832479"/>
    <s v="Y"/>
    <m/>
    <m/>
  </r>
  <r>
    <x v="0"/>
    <x v="42"/>
    <x v="64"/>
    <x v="3"/>
    <d v="1900-01-02T00:00:00"/>
    <n v="312734.71648505307"/>
    <d v="1899-12-30T06:30:28"/>
    <n v="35704.873540831111"/>
    <n v="10438.689089226333"/>
    <m/>
    <x v="5"/>
    <x v="1"/>
    <s v="N"/>
    <x v="2"/>
    <s v="-"/>
    <n v="23427.8885526677"/>
    <s v="Y"/>
    <m/>
    <m/>
  </r>
  <r>
    <x v="0"/>
    <x v="42"/>
    <x v="64"/>
    <x v="3"/>
    <d v="1900-01-04T23:55:00"/>
    <n v="109303.84015272681"/>
    <d v="1899-12-30T13:42:13"/>
    <n v="177435.78322139109"/>
    <n v="51041.756769285297"/>
    <m/>
    <x v="5"/>
    <x v="1"/>
    <s v="N"/>
    <x v="2"/>
    <s v="-"/>
    <n v="49332.545198249667"/>
    <s v="Y"/>
    <m/>
    <m/>
  </r>
  <r>
    <x v="0"/>
    <x v="42"/>
    <x v="64"/>
    <x v="3"/>
    <d v="1899-12-30T01:00:00"/>
    <n v="9622.8127920639799"/>
    <d v="1899-12-30T00:05:44"/>
    <n v="762.36873779696316"/>
    <n v="219.01424274810802"/>
    <m/>
    <x v="5"/>
    <x v="1"/>
    <s v="N"/>
    <x v="2"/>
    <s v="-"/>
    <n v="343.94795921695271"/>
    <s v="Y"/>
    <m/>
    <m/>
  </r>
  <r>
    <x v="0"/>
    <x v="42"/>
    <x v="64"/>
    <x v="3"/>
    <d v="1899-12-31T12:59:08"/>
    <n v="7569.8899213375644"/>
    <d v="1899-12-30T03:23:02"/>
    <n v="882.86941824144071"/>
    <n v="268.90710891769174"/>
    <m/>
    <x v="5"/>
    <x v="1"/>
    <s v="N"/>
    <x v="2"/>
    <s v="-"/>
    <n v="12181.766385832356"/>
    <s v="Y"/>
    <m/>
    <m/>
  </r>
  <r>
    <x v="0"/>
    <x v="42"/>
    <x v="64"/>
    <x v="3"/>
    <d v="1900-01-04T18:47:00"/>
    <n v="65592.011118889437"/>
    <d v="1899-12-30T13:00:41"/>
    <n v="24575.3341249802"/>
    <n v="7327.4229560024123"/>
    <m/>
    <x v="5"/>
    <x v="1"/>
    <s v="N"/>
    <x v="2"/>
    <s v="-"/>
    <n v="46840.50322628225"/>
    <s v="Y"/>
    <m/>
    <m/>
  </r>
  <r>
    <x v="0"/>
    <x v="42"/>
    <x v="64"/>
    <x v="3"/>
    <d v="1899-12-31T05:10:50"/>
    <n v="3635.2126555412847"/>
    <d v="1899-12-30T02:03:07"/>
    <n v="558.77672101034307"/>
    <n v="169.71804897929835"/>
    <m/>
    <x v="5"/>
    <x v="1"/>
    <s v="N"/>
    <x v="2"/>
    <s v="-"/>
    <n v="7386.8457698898674"/>
    <s v="Y"/>
    <m/>
    <m/>
  </r>
  <r>
    <x v="0"/>
    <x v="42"/>
    <x v="64"/>
    <x v="3"/>
    <d v="1899-12-31T03:44:00"/>
    <n v="5212.0619987818227"/>
    <d v="1899-12-30T02:50:30"/>
    <n v="596.32328078501098"/>
    <n v="183.639955931213"/>
    <m/>
    <x v="5"/>
    <x v="1"/>
    <s v="N"/>
    <x v="2"/>
    <s v="-"/>
    <n v="10229.726131923149"/>
    <s v="Y"/>
    <m/>
    <m/>
  </r>
  <r>
    <x v="0"/>
    <x v="42"/>
    <x v="64"/>
    <x v="3"/>
    <d v="1900-01-01T23:03:36"/>
    <n v="31413.702649216106"/>
    <d v="1899-12-30T08:19:02"/>
    <n v="9130.3630835469903"/>
    <n v="2642.7873296684488"/>
    <m/>
    <x v="5"/>
    <x v="1"/>
    <s v="N"/>
    <x v="2"/>
    <s v="-"/>
    <n v="29941.544168618679"/>
    <s v="Y"/>
    <m/>
    <m/>
  </r>
  <r>
    <x v="0"/>
    <x v="42"/>
    <x v="64"/>
    <x v="3"/>
    <d v="1900-01-01T12:50:32"/>
    <n v="6387.0249723060115"/>
    <d v="1899-12-30T05:40:41"/>
    <n v="1352.2181887663626"/>
    <n v="398.99457982716422"/>
    <m/>
    <x v="5"/>
    <x v="1"/>
    <s v="N"/>
    <x v="2"/>
    <s v="-"/>
    <n v="20441.319020177998"/>
    <s v="Y"/>
    <m/>
    <m/>
  </r>
  <r>
    <x v="0"/>
    <x v="42"/>
    <x v="64"/>
    <x v="3"/>
    <d v="1899-12-30T09:17:30"/>
    <n v="28.541177029729219"/>
    <d v="1899-12-30T00:53:16"/>
    <n v="4.1501007290992842"/>
    <n v="1.1922461185103324"/>
    <m/>
    <x v="5"/>
    <x v="1"/>
    <s v="N"/>
    <x v="2"/>
    <s v="-"/>
    <n v="3195.8497877241853"/>
    <s v="Y"/>
    <m/>
    <m/>
  </r>
  <r>
    <x v="0"/>
    <x v="42"/>
    <x v="64"/>
    <x v="3"/>
    <d v="1900-01-03T10:06:32"/>
    <n v="35659.005886713428"/>
    <d v="1899-12-30T09:47:12"/>
    <n v="3979.0281335968634"/>
    <n v="1173.5283108786507"/>
    <m/>
    <x v="5"/>
    <x v="1"/>
    <s v="N"/>
    <x v="2"/>
    <s v="-"/>
    <n v="35232.117123109543"/>
    <s v="Y"/>
    <m/>
    <m/>
  </r>
  <r>
    <x v="0"/>
    <x v="42"/>
    <x v="64"/>
    <x v="3"/>
    <d v="1899-12-30T06:44:23"/>
    <n v="199.7882392081047"/>
    <d v="1899-12-30T00:38:38"/>
    <n v="57.674298640072791"/>
    <n v="16.568744514872591"/>
    <m/>
    <x v="5"/>
    <x v="1"/>
    <s v="N"/>
    <x v="2"/>
    <s v="-"/>
    <n v="2318.1137040224785"/>
    <s v="Y"/>
    <m/>
    <m/>
  </r>
  <r>
    <x v="0"/>
    <x v="42"/>
    <x v="64"/>
    <x v="3"/>
    <d v="1900-01-02T11:35:20"/>
    <n v="18929.61425531669"/>
    <d v="1899-12-30T08:23:50"/>
    <n v="3183.2721686873006"/>
    <n v="920.98441921300059"/>
    <m/>
    <x v="5"/>
    <x v="1"/>
    <s v="N"/>
    <x v="2"/>
    <s v="-"/>
    <n v="30229.66514757297"/>
    <s v="Y"/>
    <m/>
    <m/>
  </r>
  <r>
    <x v="0"/>
    <x v="42"/>
    <x v="64"/>
    <x v="3"/>
    <d v="1899-12-30T17:24:10"/>
    <n v="218.81569056125815"/>
    <d v="1899-12-30T01:39:46"/>
    <n v="64.786124972735578"/>
    <n v="18.611838862242092"/>
    <m/>
    <x v="5"/>
    <x v="1"/>
    <s v="N"/>
    <x v="2"/>
    <s v="-"/>
    <n v="5985.6499013728007"/>
    <s v="Y"/>
    <m/>
    <m/>
  </r>
  <r>
    <x v="0"/>
    <x v="42"/>
    <x v="64"/>
    <x v="3"/>
    <d v="1899-12-31T06:40:00"/>
    <n v="7374.5885581450857"/>
    <d v="1899-12-30T02:41:24"/>
    <n v="839.01248714476333"/>
    <n v="246.02993625395391"/>
    <m/>
    <x v="5"/>
    <x v="1"/>
    <s v="N"/>
    <x v="2"/>
    <s v="-"/>
    <n v="9683.8526675484009"/>
    <s v="Y"/>
    <m/>
    <m/>
  </r>
  <r>
    <x v="0"/>
    <x v="42"/>
    <x v="64"/>
    <x v="3"/>
    <d v="1900-01-05T04:00:00"/>
    <n v="61692.641919979098"/>
    <d v="1899-12-30T13:42:53"/>
    <n v="17581.350383632955"/>
    <n v="5146.8119626371499"/>
    <m/>
    <x v="5"/>
    <x v="1"/>
    <s v="N"/>
    <x v="2"/>
    <s v="-"/>
    <n v="49372.620721319981"/>
    <s v="Y"/>
    <m/>
    <m/>
  </r>
  <r>
    <x v="0"/>
    <x v="42"/>
    <x v="64"/>
    <x v="3"/>
    <d v="1899-12-30T08:50:00"/>
    <n v="1172.151072297168"/>
    <d v="1899-12-30T00:39:38"/>
    <n v="213.97300250649002"/>
    <n v="59.901356839496358"/>
    <m/>
    <x v="5"/>
    <x v="1"/>
    <s v="N"/>
    <x v="2"/>
    <s v="-"/>
    <n v="2377.5318366371771"/>
    <s v="Y"/>
    <m/>
    <m/>
  </r>
  <r>
    <x v="0"/>
    <x v="42"/>
    <x v="64"/>
    <x v="3"/>
    <d v="1899-12-31T17:50:00"/>
    <n v="9725.3997602266427"/>
    <d v="1899-12-30T03:48:06"/>
    <n v="1375.6230429952302"/>
    <n v="396.26167002034049"/>
    <m/>
    <x v="5"/>
    <x v="1"/>
    <s v="N"/>
    <x v="2"/>
    <s v="-"/>
    <n v="13686.07588487021"/>
    <s v="Y"/>
    <m/>
    <m/>
  </r>
  <r>
    <x v="0"/>
    <x v="42"/>
    <x v="64"/>
    <x v="3"/>
    <d v="1900-01-03T09:10:00"/>
    <n v="57074.48184009378"/>
    <d v="1899-12-30T09:57:57"/>
    <n v="17099.53175585797"/>
    <n v="4915.1949436655259"/>
    <m/>
    <x v="5"/>
    <x v="1"/>
    <s v="N"/>
    <x v="2"/>
    <s v="-"/>
    <n v="35876.986398447087"/>
    <s v="Y"/>
    <m/>
    <m/>
  </r>
  <r>
    <x v="0"/>
    <x v="42"/>
    <x v="64"/>
    <x v="3"/>
    <d v="1899-12-31T01:36:00"/>
    <n v="4772.0937998913296"/>
    <d v="1899-12-30T02:10:56"/>
    <n v="908.96551365923631"/>
    <n v="259.65475246167227"/>
    <m/>
    <x v="5"/>
    <x v="1"/>
    <s v="N"/>
    <x v="2"/>
    <s v="-"/>
    <n v="7855.82381509065"/>
    <s v="Y"/>
    <m/>
    <m/>
  </r>
  <r>
    <x v="0"/>
    <x v="42"/>
    <x v="64"/>
    <x v="3"/>
    <d v="1900-01-01T01:12:43"/>
    <n v="827181.69784007664"/>
    <d v="1899-12-30T04:36:22"/>
    <n v="61542.570208903941"/>
    <n v="18013.319256162755"/>
    <m/>
    <x v="5"/>
    <x v="1"/>
    <s v="N"/>
    <x v="2"/>
    <s v="-"/>
    <n v="16581.533327687142"/>
    <s v="Y"/>
    <m/>
    <m/>
  </r>
  <r>
    <x v="0"/>
    <x v="42"/>
    <x v="64"/>
    <x v="3"/>
    <d v="1900-01-04T04:09:52"/>
    <n v="1636162.5060343333"/>
    <d v="1899-12-30T11:50:09"/>
    <n v="507924.38753395289"/>
    <n v="154348.05543922132"/>
    <m/>
    <x v="5"/>
    <x v="1"/>
    <s v="N"/>
    <x v="2"/>
    <s v="-"/>
    <n v="42608.947237999419"/>
    <s v="Y"/>
    <m/>
    <m/>
  </r>
  <r>
    <x v="0"/>
    <x v="42"/>
    <x v="64"/>
    <x v="3"/>
    <d v="1899-12-31T01:03:29"/>
    <n v="72467.904603300281"/>
    <d v="1899-12-30T01:45:31"/>
    <n v="12873.383541973166"/>
    <n v="3867.7305597681275"/>
    <m/>
    <x v="5"/>
    <x v="1"/>
    <s v="N"/>
    <x v="2"/>
    <s v="-"/>
    <n v="6331.4787681032567"/>
    <s v="Y"/>
    <m/>
    <m/>
  </r>
  <r>
    <x v="0"/>
    <x v="42"/>
    <x v="64"/>
    <x v="3"/>
    <d v="1899-12-31T03:44:00"/>
    <n v="76367.320725811165"/>
    <d v="1899-12-30T02:50:30"/>
    <n v="8736.5864107008347"/>
    <n v="2690.4592800049463"/>
    <m/>
    <x v="5"/>
    <x v="1"/>
    <s v="N"/>
    <x v="2"/>
    <s v="-"/>
    <n v="10229.726131923149"/>
    <s v="Y"/>
    <m/>
    <m/>
  </r>
  <r>
    <x v="0"/>
    <x v="42"/>
    <x v="64"/>
    <x v="3"/>
    <d v="1900-01-01T23:03:36"/>
    <n v="313475.02224717382"/>
    <d v="1899-12-30T08:19:02"/>
    <n v="91111.192535508992"/>
    <n v="26372.125491435017"/>
    <m/>
    <x v="5"/>
    <x v="1"/>
    <s v="N"/>
    <x v="2"/>
    <s v="-"/>
    <n v="29941.544168618679"/>
    <s v="Y"/>
    <m/>
    <m/>
  </r>
  <r>
    <x v="0"/>
    <x v="42"/>
    <x v="64"/>
    <x v="3"/>
    <d v="1900-01-01T12:50:32"/>
    <n v="93630.758014264749"/>
    <d v="1899-12-30T05:40:41"/>
    <n v="19823.071382058086"/>
    <n v="5849.1257796154632"/>
    <m/>
    <x v="5"/>
    <x v="1"/>
    <s v="N"/>
    <x v="2"/>
    <s v="-"/>
    <n v="20441.319020177998"/>
    <s v="Y"/>
    <m/>
    <m/>
  </r>
  <r>
    <x v="0"/>
    <x v="42"/>
    <x v="64"/>
    <x v="3"/>
    <d v="1900-01-01T20:30:00"/>
    <n v="28319.449479869087"/>
    <d v="1899-12-30T06:10:51"/>
    <n v="3367.1966289057109"/>
    <n v="985.84246303297994"/>
    <m/>
    <x v="5"/>
    <x v="1"/>
    <s v="N"/>
    <x v="2"/>
    <s v="-"/>
    <n v="22250.596664249795"/>
    <s v="Y"/>
    <m/>
    <m/>
  </r>
  <r>
    <x v="0"/>
    <x v="42"/>
    <x v="64"/>
    <x v="3"/>
    <d v="1900-01-04T21:50:00"/>
    <n v="9944.926258319656"/>
    <d v="1899-12-30T13:30:16"/>
    <n v="15909.368421875302"/>
    <n v="4576.6304472387992"/>
    <m/>
    <x v="5"/>
    <x v="1"/>
    <s v="N"/>
    <x v="2"/>
    <s v="-"/>
    <n v="48615.986949881029"/>
    <s v="Y"/>
    <m/>
    <m/>
  </r>
  <r>
    <x v="0"/>
    <x v="42"/>
    <x v="64"/>
    <x v="3"/>
    <d v="1899-12-30T05:00:00"/>
    <n v="4049.8175167649156"/>
    <d v="1899-12-30T00:22:46"/>
    <n v="402.120841920185"/>
    <n v="115.03978909944344"/>
    <m/>
    <x v="5"/>
    <x v="1"/>
    <s v="N"/>
    <x v="2"/>
    <s v="-"/>
    <n v="1365.9624224178451"/>
    <s v="Y"/>
    <m/>
    <m/>
  </r>
  <r>
    <x v="0"/>
    <x v="42"/>
    <x v="64"/>
    <x v="3"/>
    <d v="1900-01-01T17:30:00"/>
    <n v="6923.2562694401468"/>
    <d v="1899-12-30T06:15:29"/>
    <n v="10264.710503935325"/>
    <n v="2948.8588482056462"/>
    <m/>
    <x v="5"/>
    <x v="1"/>
    <s v="N"/>
    <x v="2"/>
    <s v="-"/>
    <n v="22528.591328710409"/>
    <s v="Y"/>
    <m/>
    <m/>
  </r>
  <r>
    <x v="0"/>
    <x v="42"/>
    <x v="64"/>
    <x v="3"/>
    <d v="1899-12-30T00:30:00"/>
    <n v="968.87482113038902"/>
    <d v="1899-12-30T00:02:52"/>
    <n v="76.759248094028578"/>
    <n v="22.051492619972944"/>
    <m/>
    <x v="5"/>
    <x v="1"/>
    <s v="N"/>
    <x v="2"/>
    <s v="-"/>
    <n v="171.97397960847636"/>
    <s v="Y"/>
    <m/>
    <m/>
  </r>
  <r>
    <x v="0"/>
    <x v="42"/>
    <x v="64"/>
    <x v="3"/>
    <d v="1899-12-30T12:00:00"/>
    <n v="989.03660992002096"/>
    <d v="1899-12-30T01:08:47"/>
    <n v="1880.5576495759374"/>
    <n v="540.24894928958406"/>
    <m/>
    <x v="5"/>
    <x v="1"/>
    <s v="N"/>
    <x v="2"/>
    <s v="-"/>
    <n v="4127.3755106034323"/>
    <s v="Y"/>
    <m/>
    <m/>
  </r>
  <r>
    <x v="0"/>
    <x v="42"/>
    <x v="64"/>
    <x v="3"/>
    <d v="1899-12-31T23:52:50"/>
    <n v="9988.9075003865437"/>
    <d v="1899-12-30T04:19:01"/>
    <n v="1442.8882593995183"/>
    <n v="431.52011552198252"/>
    <m/>
    <x v="5"/>
    <x v="1"/>
    <s v="N"/>
    <x v="2"/>
    <s v="-"/>
    <n v="15540.526655518359"/>
    <s v="Y"/>
    <m/>
    <m/>
  </r>
  <r>
    <x v="0"/>
    <x v="42"/>
    <x v="64"/>
    <x v="3"/>
    <d v="1900-01-04T18:15:12"/>
    <n v="37592.325689708603"/>
    <d v="1899-12-30T12:49:34"/>
    <n v="15405.771757112685"/>
    <n v="4612.0650432231778"/>
    <m/>
    <x v="5"/>
    <x v="1"/>
    <s v="N"/>
    <x v="2"/>
    <s v="-"/>
    <n v="46173.976769112327"/>
    <s v="Y"/>
    <m/>
    <m/>
  </r>
  <r>
    <x v="0"/>
    <x v="42"/>
    <x v="64"/>
    <x v="3"/>
    <d v="1899-12-30T12:09:46"/>
    <n v="749.67459942049084"/>
    <d v="1899-12-30T00:53:30"/>
    <n v="143.35108826153768"/>
    <n v="42.908193042795268"/>
    <m/>
    <x v="5"/>
    <x v="1"/>
    <s v="N"/>
    <x v="2"/>
    <s v="-"/>
    <n v="3210.3193329743244"/>
    <s v="Y"/>
    <m/>
    <m/>
  </r>
  <r>
    <x v="0"/>
    <x v="42"/>
    <x v="64"/>
    <x v="3"/>
    <d v="1899-12-31T03:44:00"/>
    <n v="12158.810236195683"/>
    <d v="1899-12-30T02:50:30"/>
    <n v="1391.0130626644052"/>
    <n v="428.36719054223477"/>
    <m/>
    <x v="5"/>
    <x v="1"/>
    <s v="N"/>
    <x v="2"/>
    <s v="-"/>
    <n v="10229.726131923149"/>
    <s v="Y"/>
    <m/>
    <m/>
  </r>
  <r>
    <x v="0"/>
    <x v="42"/>
    <x v="64"/>
    <x v="3"/>
    <d v="1900-01-01T23:03:36"/>
    <n v="73302.836329164827"/>
    <d v="1899-12-30T08:19:02"/>
    <n v="21305.395108101624"/>
    <n v="6166.8448497931113"/>
    <m/>
    <x v="5"/>
    <x v="1"/>
    <s v="N"/>
    <x v="2"/>
    <s v="-"/>
    <n v="29941.544168618679"/>
    <s v="Y"/>
    <m/>
    <m/>
  </r>
  <r>
    <x v="0"/>
    <x v="42"/>
    <x v="64"/>
    <x v="3"/>
    <d v="1900-01-01T12:50:32"/>
    <n v="14905.962413558582"/>
    <d v="1899-12-30T05:40:41"/>
    <n v="3155.8117765982824"/>
    <n v="931.17471190953245"/>
    <m/>
    <x v="5"/>
    <x v="1"/>
    <s v="N"/>
    <x v="2"/>
    <s v="-"/>
    <n v="20441.319020177998"/>
    <s v="Y"/>
    <m/>
    <m/>
  </r>
  <r>
    <x v="0"/>
    <x v="42"/>
    <x v="64"/>
    <x v="3"/>
    <d v="1899-12-30T23:15:35"/>
    <n v="13480.203806593212"/>
    <d v="1899-12-30T02:13:20"/>
    <n v="766.53893793214922"/>
    <n v="220.21226304909135"/>
    <m/>
    <x v="5"/>
    <x v="1"/>
    <s v="N"/>
    <x v="2"/>
    <s v="-"/>
    <n v="8000.1339902865366"/>
    <s v="Y"/>
    <m/>
    <m/>
  </r>
  <r>
    <x v="0"/>
    <x v="42"/>
    <x v="64"/>
    <x v="3"/>
    <d v="1900-01-04T00:59:26"/>
    <n v="20014.175227894906"/>
    <d v="1899-12-30T11:28:35"/>
    <n v="15728.415361997588"/>
    <n v="4635.9684010872597"/>
    <m/>
    <x v="5"/>
    <x v="1"/>
    <s v="N"/>
    <x v="2"/>
    <s v="-"/>
    <n v="41315.035271651614"/>
    <s v="Y"/>
    <m/>
    <m/>
  </r>
  <r>
    <x v="0"/>
    <x v="42"/>
    <x v="64"/>
    <x v="3"/>
    <d v="1899-12-30T23:20:10"/>
    <n v="34978.325465864931"/>
    <d v="1899-12-30T02:13:46"/>
    <n v="2262.0213871852334"/>
    <n v="649.83632805564946"/>
    <m/>
    <x v="5"/>
    <x v="1"/>
    <s v="N"/>
    <x v="2"/>
    <s v="-"/>
    <n v="8026.4077927267199"/>
    <s v="Y"/>
    <m/>
    <m/>
  </r>
  <r>
    <x v="0"/>
    <x v="42"/>
    <x v="64"/>
    <x v="3"/>
    <d v="1900-01-04T00:58:25"/>
    <n v="24310.441568191713"/>
    <d v="1899-12-30T11:28:22"/>
    <n v="15622.18350577504"/>
    <n v="4604.6009418904659"/>
    <m/>
    <x v="5"/>
    <x v="1"/>
    <s v="N"/>
    <x v="2"/>
    <s v="-"/>
    <n v="41302.462206419346"/>
    <s v="Y"/>
    <m/>
    <m/>
  </r>
  <r>
    <x v="0"/>
    <x v="42"/>
    <x v="64"/>
    <x v="3"/>
    <d v="1900-01-01T15:53:27"/>
    <n v="25197.355153504774"/>
    <d v="1899-12-30T06:06:15"/>
    <n v="1846.3064743929419"/>
    <n v="530.40922892327694"/>
    <m/>
    <x v="5"/>
    <x v="1"/>
    <s v="N"/>
    <x v="2"/>
    <s v="-"/>
    <n v="21975.121737670448"/>
    <s v="Y"/>
    <m/>
    <m/>
  </r>
  <r>
    <x v="0"/>
    <x v="42"/>
    <x v="64"/>
    <x v="3"/>
    <d v="1900-01-04T04:35:24"/>
    <n v="27722.433367236164"/>
    <d v="1899-12-30T11:31:02"/>
    <n v="16567.75023068623"/>
    <n v="4760.1205945348274"/>
    <m/>
    <x v="5"/>
    <x v="1"/>
    <s v="N"/>
    <x v="2"/>
    <s v="-"/>
    <n v="41462.262086604736"/>
    <s v="Y"/>
    <m/>
    <m/>
  </r>
  <r>
    <x v="0"/>
    <x v="42"/>
    <x v="64"/>
    <x v="3"/>
    <d v="1900-01-01T15:47:31"/>
    <n v="77359.882926843726"/>
    <d v="1899-12-30T06:05:41"/>
    <n v="4824.8447770018338"/>
    <n v="1386.0874309534543"/>
    <m/>
    <x v="5"/>
    <x v="1"/>
    <s v="N"/>
    <x v="2"/>
    <s v="-"/>
    <n v="21941.109106147884"/>
    <s v="Y"/>
    <m/>
    <m/>
  </r>
  <r>
    <x v="0"/>
    <x v="42"/>
    <x v="64"/>
    <x v="3"/>
    <d v="1900-01-04T04:38:38"/>
    <n v="41026.358057010322"/>
    <d v="1899-12-30T11:31:27"/>
    <n v="16117.324929670078"/>
    <n v="4786.6144836745834"/>
    <m/>
    <x v="5"/>
    <x v="1"/>
    <s v="N"/>
    <x v="2"/>
    <s v="-"/>
    <n v="41487.288321866603"/>
    <s v="Y"/>
    <m/>
    <m/>
  </r>
  <r>
    <x v="0"/>
    <x v="42"/>
    <x v="64"/>
    <x v="3"/>
    <d v="1900-01-01T20:00:00"/>
    <n v="77402.26601998604"/>
    <d v="1899-12-30T06:08:09"/>
    <n v="8758.4762577806396"/>
    <n v="2557.7848505014499"/>
    <m/>
    <x v="5"/>
    <x v="1"/>
    <s v="N"/>
    <x v="2"/>
    <s v="-"/>
    <n v="22088.929172927037"/>
    <s v="Y"/>
    <m/>
    <m/>
  </r>
  <r>
    <x v="0"/>
    <x v="42"/>
    <x v="64"/>
    <x v="3"/>
    <d v="1900-01-05T01:50:00"/>
    <n v="56564.570794087311"/>
    <d v="1899-12-30T13:53:12"/>
    <n v="93049.780120786134"/>
    <n v="26766.534830983564"/>
    <m/>
    <x v="5"/>
    <x v="1"/>
    <s v="N"/>
    <x v="2"/>
    <s v="-"/>
    <n v="49991.778786748837"/>
    <s v="Y"/>
    <m/>
    <m/>
  </r>
  <r>
    <x v="0"/>
    <x v="42"/>
    <x v="64"/>
    <x v="3"/>
    <d v="1899-12-30T05:00:00"/>
    <n v="6189.8590590138001"/>
    <d v="1899-12-30T00:22:46"/>
    <n v="632.30865500919685"/>
    <n v="180.80879271159523"/>
    <m/>
    <x v="5"/>
    <x v="1"/>
    <s v="N"/>
    <x v="2"/>
    <s v="-"/>
    <n v="1365.9624224178451"/>
    <s v="Y"/>
    <m/>
    <m/>
  </r>
  <r>
    <x v="0"/>
    <x v="42"/>
    <x v="64"/>
    <x v="3"/>
    <d v="1900-01-02T01:30:00"/>
    <n v="28282.285397043648"/>
    <d v="1899-12-30T07:01:20"/>
    <n v="47054.031332370148"/>
    <n v="13517.740864197653"/>
    <m/>
    <x v="5"/>
    <x v="1"/>
    <s v="N"/>
    <x v="2"/>
    <s v="-"/>
    <n v="25280.175002446027"/>
    <s v="Y"/>
    <m/>
    <m/>
  </r>
  <r>
    <x v="0"/>
    <x v="42"/>
    <x v="64"/>
    <x v="3"/>
    <d v="1899-12-30T12:10:00"/>
    <n v="4040.3264852919501"/>
    <d v="1899-12-30T01:09:45"/>
    <n v="7788.9893135215889"/>
    <n v="2237.6305738921283"/>
    <m/>
    <x v="5"/>
    <x v="1"/>
    <s v="N"/>
    <x v="2"/>
    <s v="-"/>
    <n v="4184.7001704729246"/>
    <s v="Y"/>
    <m/>
    <m/>
  </r>
  <r>
    <x v="0"/>
    <x v="42"/>
    <x v="64"/>
    <x v="3"/>
    <d v="1900-01-05T01:07:00"/>
    <n v="45830"/>
    <d v="1899-12-30T13:27:47"/>
    <n v="38826.724191570276"/>
    <n v="11430.994303904097"/>
    <m/>
    <x v="5"/>
    <x v="1"/>
    <s v="N"/>
    <x v="2"/>
    <s v="-"/>
    <n v="48466.727172845545"/>
    <s v="Y"/>
    <m/>
    <m/>
  </r>
  <r>
    <x v="0"/>
    <x v="42"/>
    <x v="64"/>
    <x v="3"/>
    <d v="1899-12-30T11:10:00"/>
    <n v="5721.5939269171422"/>
    <d v="1899-12-30T01:04:01"/>
    <n v="917.41066993260017"/>
    <n v="263.5548825689574"/>
    <m/>
    <x v="5"/>
    <x v="1"/>
    <s v="N"/>
    <x v="2"/>
    <s v="-"/>
    <n v="3840.7522112559723"/>
    <s v="Y"/>
    <m/>
    <m/>
  </r>
  <r>
    <x v="0"/>
    <x v="42"/>
    <x v="64"/>
    <x v="3"/>
    <d v="1900-01-04T10:20:00"/>
    <n v="206013.21027269925"/>
    <d v="1899-12-30T12:05:07"/>
    <n v="63725.926263294125"/>
    <n v="18457.343435344144"/>
    <m/>
    <x v="5"/>
    <x v="1"/>
    <s v="N"/>
    <x v="2"/>
    <s v="-"/>
    <n v="43506.924111339438"/>
    <s v="Y"/>
    <m/>
    <m/>
  </r>
  <r>
    <x v="0"/>
    <x v="42"/>
    <x v="64"/>
    <x v="3"/>
    <d v="1900-01-02T08:50:00"/>
    <n v="41419.450800987965"/>
    <d v="1899-12-30T07:04:20"/>
    <n v="7161.5187562449319"/>
    <n v="2091.7379562203919"/>
    <m/>
    <x v="5"/>
    <x v="1"/>
    <s v="N"/>
    <x v="2"/>
    <s v="-"/>
    <n v="25460.187930866967"/>
    <s v="Y"/>
    <m/>
    <m/>
  </r>
  <r>
    <x v="0"/>
    <x v="42"/>
    <x v="64"/>
    <x v="3"/>
    <d v="1899-12-30T03:00:00"/>
    <n v="2909.6388727902877"/>
    <d v="1899-12-30T00:17:12"/>
    <n v="461.03312260704132"/>
    <n v="132.44617102395958"/>
    <m/>
    <x v="5"/>
    <x v="1"/>
    <s v="N"/>
    <x v="2"/>
    <s v="-"/>
    <n v="1031.8438776508581"/>
    <s v="Y"/>
    <m/>
    <m/>
  </r>
  <r>
    <x v="0"/>
    <x v="42"/>
    <x v="64"/>
    <x v="3"/>
    <d v="1900-01-02T04:00:00"/>
    <n v="176902.96885380149"/>
    <d v="1899-12-30T07:15:40"/>
    <n v="56060.653362739278"/>
    <n v="16105.174485098642"/>
    <m/>
    <x v="5"/>
    <x v="1"/>
    <s v="N"/>
    <x v="2"/>
    <s v="-"/>
    <n v="26140.044900488385"/>
    <s v="Y"/>
    <m/>
    <m/>
  </r>
  <r>
    <x v="0"/>
    <x v="42"/>
    <x v="64"/>
    <x v="3"/>
    <d v="1900-01-03T20:40:00"/>
    <n v="72150.837740609961"/>
    <d v="1899-12-30T10:51:19"/>
    <n v="14474.543987960029"/>
    <n v="4199.0813769925708"/>
    <m/>
    <x v="5"/>
    <x v="1"/>
    <s v="N"/>
    <x v="2"/>
    <s v="-"/>
    <n v="39079.128158244028"/>
    <s v="Y"/>
    <m/>
    <m/>
  </r>
  <r>
    <x v="0"/>
    <x v="42"/>
    <x v="64"/>
    <x v="3"/>
    <d v="1899-12-30T02:00:00"/>
    <n v="1194.3814889404459"/>
    <d v="1899-12-30T00:12:32"/>
    <n v="206.85152250657373"/>
    <n v="61.509463194668328"/>
    <m/>
    <x v="5"/>
    <x v="1"/>
    <s v="N"/>
    <x v="2"/>
    <s v="-"/>
    <n v="751.87449452513556"/>
    <s v="Y"/>
    <m/>
    <m/>
  </r>
  <r>
    <x v="0"/>
    <x v="42"/>
    <x v="64"/>
    <x v="3"/>
    <d v="1900-01-06T21:39:00"/>
    <n v="39291.637084795424"/>
    <d v="1899-12-30T18:02:11"/>
    <n v="45204.227769445162"/>
    <n v="13009.756057034203"/>
    <m/>
    <x v="5"/>
    <x v="1"/>
    <s v="N"/>
    <x v="2"/>
    <s v="-"/>
    <n v="64930.982967179414"/>
    <s v="Y"/>
    <m/>
    <m/>
  </r>
  <r>
    <x v="0"/>
    <x v="42"/>
    <x v="64"/>
    <x v="3"/>
    <d v="1899-12-30T15:10:00"/>
    <n v="3022.4336219073402"/>
    <d v="1899-12-30T01:26:57"/>
    <n v="3631.6999149685662"/>
    <n v="1043.3192854466718"/>
    <m/>
    <x v="5"/>
    <x v="1"/>
    <s v="N"/>
    <x v="2"/>
    <s v="-"/>
    <n v="5216.544048123782"/>
    <s v="Y"/>
    <m/>
    <m/>
  </r>
  <r>
    <x v="0"/>
    <x v="42"/>
    <x v="64"/>
    <x v="3"/>
    <d v="1899-12-30T23:05:00"/>
    <n v="424.71339549837597"/>
    <d v="1899-12-30T02:12:19"/>
    <n v="388.35377262149319"/>
    <n v="111.56675662600351"/>
    <m/>
    <x v="5"/>
    <x v="1"/>
    <s v="N"/>
    <x v="2"/>
    <s v="-"/>
    <n v="7939.4653919246593"/>
    <s v="Y"/>
    <m/>
    <m/>
  </r>
  <r>
    <x v="0"/>
    <x v="42"/>
    <x v="64"/>
    <x v="3"/>
    <d v="1899-12-30T23:10:00"/>
    <n v="739.53189436576531"/>
    <d v="1899-12-30T02:12:48"/>
    <n v="388.10326779391198"/>
    <n v="111.49479128640156"/>
    <m/>
    <x v="5"/>
    <x v="1"/>
    <s v="N"/>
    <x v="2"/>
    <s v="-"/>
    <n v="7968.1277218594023"/>
    <s v="Y"/>
    <m/>
    <m/>
  </r>
  <r>
    <x v="0"/>
    <x v="42"/>
    <x v="64"/>
    <x v="3"/>
    <d v="1900-01-02T01:37:38"/>
    <n v="5864.3404192810904"/>
    <d v="1899-12-30T06:43:05"/>
    <n v="1029.907516657875"/>
    <n v="294.08853619389356"/>
    <m/>
    <x v="5"/>
    <x v="1"/>
    <s v="N"/>
    <x v="2"/>
    <s v="-"/>
    <n v="24184.7796752867"/>
    <s v="Y"/>
    <m/>
    <m/>
  </r>
  <r>
    <x v="0"/>
    <x v="42"/>
    <x v="64"/>
    <x v="3"/>
    <d v="1900-01-05T04:12:35"/>
    <n v="0"/>
    <d v="1899-12-30T13:58:36"/>
    <n v="0"/>
    <n v="0"/>
    <m/>
    <x v="5"/>
    <x v="1"/>
    <s v="N"/>
    <x v="2"/>
    <s v="-"/>
    <n v="50315.796641640707"/>
    <s v="Y"/>
    <m/>
    <m/>
  </r>
  <r>
    <x v="0"/>
    <x v="42"/>
    <x v="64"/>
    <x v="3"/>
    <d v="1899-12-30T11:19:49"/>
    <n v="0"/>
    <d v="1899-12-30T01:00:25"/>
    <n v="0"/>
    <n v="0"/>
    <m/>
    <x v="5"/>
    <x v="1"/>
    <s v="N"/>
    <x v="2"/>
    <s v="-"/>
    <n v="3624.613723812914"/>
    <s v="Y"/>
    <m/>
    <m/>
  </r>
  <r>
    <x v="0"/>
    <x v="42"/>
    <x v="64"/>
    <x v="3"/>
    <d v="1900-01-02T15:36:46"/>
    <n v="0"/>
    <d v="1899-12-30T08:22:14"/>
    <n v="0"/>
    <n v="0"/>
    <m/>
    <x v="5"/>
    <x v="1"/>
    <s v="N"/>
    <x v="2"/>
    <s v="-"/>
    <n v="30134.236117995046"/>
    <s v="Y"/>
    <m/>
    <m/>
  </r>
  <r>
    <x v="0"/>
    <x v="42"/>
    <x v="64"/>
    <x v="3"/>
    <d v="1899-12-30T11:19:49"/>
    <n v="286.06538630639398"/>
    <d v="1899-12-30T01:00:25"/>
    <n v="24.539611781262899"/>
    <n v="7.0497703081801957"/>
    <m/>
    <x v="5"/>
    <x v="1"/>
    <s v="N"/>
    <x v="2"/>
    <s v="-"/>
    <n v="3624.613723812914"/>
    <s v="Y"/>
    <m/>
    <m/>
  </r>
  <r>
    <x v="0"/>
    <x v="42"/>
    <x v="64"/>
    <x v="3"/>
    <d v="1900-01-02T15:36:46"/>
    <n v="6614.2285851189481"/>
    <d v="1899-12-30T08:22:14"/>
    <n v="3813.8264247159523"/>
    <n v="1095.6408165366611"/>
    <m/>
    <x v="5"/>
    <x v="1"/>
    <s v="N"/>
    <x v="2"/>
    <s v="-"/>
    <n v="30134.236117995046"/>
    <s v="Y"/>
    <m/>
    <m/>
  </r>
  <r>
    <x v="0"/>
    <x v="42"/>
    <x v="64"/>
    <x v="3"/>
    <d v="1899-12-30T12:11:58"/>
    <n v="0"/>
    <d v="1899-12-30T01:09:56"/>
    <n v="0"/>
    <n v="0"/>
    <m/>
    <x v="5"/>
    <x v="1"/>
    <s v="N"/>
    <x v="2"/>
    <s v="-"/>
    <n v="4195.9740202472576"/>
    <s v="Y"/>
    <m/>
    <m/>
  </r>
  <r>
    <x v="0"/>
    <x v="42"/>
    <x v="64"/>
    <x v="3"/>
    <d v="1899-12-30T12:11:58"/>
    <n v="2910.2605774523399"/>
    <d v="1899-12-30T01:09:56"/>
    <n v="1460.122075534583"/>
    <n v="419.46569270022906"/>
    <m/>
    <x v="5"/>
    <x v="1"/>
    <s v="N"/>
    <x v="2"/>
    <s v="-"/>
    <n v="4195.9740202472576"/>
    <s v="Y"/>
    <m/>
    <m/>
  </r>
  <r>
    <x v="0"/>
    <x v="42"/>
    <x v="64"/>
    <x v="3"/>
    <d v="1900-01-02T01:37:38"/>
    <n v="10441.386600183399"/>
    <d v="1899-12-30T06:43:05"/>
    <n v="1370.1938404652897"/>
    <n v="405.81152794064775"/>
    <m/>
    <x v="5"/>
    <x v="1"/>
    <s v="N"/>
    <x v="2"/>
    <s v="-"/>
    <n v="24184.7796752867"/>
    <s v="Y"/>
    <m/>
    <m/>
  </r>
  <r>
    <x v="0"/>
    <x v="42"/>
    <x v="64"/>
    <x v="3"/>
    <d v="1900-01-05T04:12:35"/>
    <n v="10053.6274493808"/>
    <d v="1899-12-30T13:58:36"/>
    <n v="8040.8530099539166"/>
    <n v="2307.5777127029692"/>
    <m/>
    <x v="5"/>
    <x v="1"/>
    <s v="N"/>
    <x v="2"/>
    <s v="-"/>
    <n v="50315.796641640707"/>
    <s v="Y"/>
    <m/>
    <m/>
  </r>
  <r>
    <x v="0"/>
    <x v="42"/>
    <x v="64"/>
    <x v="3"/>
    <d v="1899-12-30T13:00:00"/>
    <n v="28675.49069610424"/>
    <d v="1899-12-30T01:12:21"/>
    <n v="14336.730928242772"/>
    <n v="4157.8280541840995"/>
    <m/>
    <x v="5"/>
    <x v="1"/>
    <s v="N"/>
    <x v="2"/>
    <s v="-"/>
    <n v="4341.0917676368708"/>
    <s v="Y"/>
    <m/>
    <m/>
  </r>
  <r>
    <x v="0"/>
    <x v="42"/>
    <x v="64"/>
    <x v="3"/>
    <d v="1899-12-30T02:00:00"/>
    <n v="989.80705012253304"/>
    <d v="1899-12-30T00:09:18"/>
    <n v="254.28668587052698"/>
    <n v="78.457806825658508"/>
    <m/>
    <x v="5"/>
    <x v="1"/>
    <s v="N"/>
    <x v="2"/>
    <s v="-"/>
    <n v="557.66421625039061"/>
    <s v="Y"/>
    <m/>
    <m/>
  </r>
  <r>
    <x v="0"/>
    <x v="42"/>
    <x v="64"/>
    <x v="3"/>
    <d v="1899-12-30T18:20:00"/>
    <n v="28675.49069610424"/>
    <d v="1899-12-30T01:45:06"/>
    <n v="20825.015800213358"/>
    <n v="5982.6365373809549"/>
    <m/>
    <x v="5"/>
    <x v="1"/>
    <s v="N"/>
    <x v="2"/>
    <s v="-"/>
    <n v="6305.7125856441317"/>
    <s v="Y"/>
    <m/>
    <m/>
  </r>
  <r>
    <x v="0"/>
    <x v="42"/>
    <x v="64"/>
    <x v="3"/>
    <d v="1899-12-30T05:05:00"/>
    <n v="1979.6141002450661"/>
    <d v="1899-12-30T00:22:16"/>
    <n v="609.22724630467792"/>
    <n v="176.32905581726783"/>
    <m/>
    <x v="5"/>
    <x v="1"/>
    <s v="N"/>
    <x v="2"/>
    <s v="-"/>
    <n v="1336.0677286968403"/>
    <s v="Y"/>
    <m/>
    <m/>
  </r>
  <r>
    <x v="0"/>
    <x v="42"/>
    <x v="64"/>
    <x v="3"/>
    <d v="1899-12-31T17:25:00"/>
    <n v="75644.911387335043"/>
    <d v="1899-12-30T03:50:02"/>
    <n v="47282.811182100369"/>
    <n v="13511.502691471716"/>
    <m/>
    <x v="5"/>
    <x v="1"/>
    <s v="N"/>
    <x v="2"/>
    <s v="-"/>
    <n v="13802.215696306883"/>
    <s v="Y"/>
    <m/>
    <m/>
  </r>
  <r>
    <x v="0"/>
    <x v="42"/>
    <x v="64"/>
    <x v="3"/>
    <d v="1899-12-30T00:30:00"/>
    <n v="803.42006191556209"/>
    <d v="1899-12-30T00:02:28"/>
    <n v="54.805268349496224"/>
    <n v="16.740988338504796"/>
    <m/>
    <x v="5"/>
    <x v="1"/>
    <s v="N"/>
    <x v="2"/>
    <s v="-"/>
    <n v="148.07417974322402"/>
    <s v="Y"/>
    <m/>
    <m/>
  </r>
  <r>
    <x v="0"/>
    <x v="42"/>
    <x v="64"/>
    <x v="3"/>
    <d v="1900-01-03T23:45:00"/>
    <n v="197277.04529931769"/>
    <d v="1899-12-30T11:19:19"/>
    <n v="159962.89759404495"/>
    <n v="46607.28468848671"/>
    <m/>
    <x v="5"/>
    <x v="1"/>
    <s v="N"/>
    <x v="2"/>
    <s v="-"/>
    <n v="40758.871106188693"/>
    <s v="Y"/>
    <m/>
    <m/>
  </r>
  <r>
    <x v="0"/>
    <x v="42"/>
    <x v="64"/>
    <x v="3"/>
    <d v="1899-12-30T05:15:00"/>
    <n v="989.80705012253304"/>
    <d v="1899-12-30T00:24:24"/>
    <n v="667.50255041013338"/>
    <n v="205.95174291735358"/>
    <m/>
    <x v="5"/>
    <x v="1"/>
    <s v="N"/>
    <x v="2"/>
    <s v="-"/>
    <n v="1463.8685676572752"/>
    <s v="Y"/>
    <m/>
    <m/>
  </r>
  <r>
    <x v="0"/>
    <x v="42"/>
    <x v="64"/>
    <x v="3"/>
    <d v="1899-12-31T14:49:20"/>
    <n v="128394.5436451538"/>
    <d v="1899-12-30T03:38:59"/>
    <n v="5626.216874228915"/>
    <n v="1677.698501182027"/>
    <m/>
    <x v="5"/>
    <x v="1"/>
    <s v="N"/>
    <x v="2"/>
    <s v="-"/>
    <n v="13139.347622602065"/>
    <s v="Y"/>
    <m/>
    <m/>
  </r>
  <r>
    <x v="0"/>
    <x v="42"/>
    <x v="64"/>
    <x v="3"/>
    <d v="1900-01-04T10:04:59"/>
    <n v="187078.09203105498"/>
    <d v="1899-12-30T12:02:49"/>
    <n v="64470.801068789129"/>
    <n v="19304.791070877905"/>
    <m/>
    <x v="5"/>
    <x v="1"/>
    <s v="N"/>
    <x v="2"/>
    <s v="-"/>
    <n v="43368.714977544645"/>
    <s v="Y"/>
    <m/>
    <m/>
  </r>
  <r>
    <x v="0"/>
    <x v="42"/>
    <x v="64"/>
    <x v="3"/>
    <d v="1899-12-31T08:16:41"/>
    <n v="12471.354145498561"/>
    <d v="1899-12-30T02:19:00"/>
    <n v="2765.6209976476807"/>
    <n v="829.41484138028818"/>
    <m/>
    <x v="5"/>
    <x v="1"/>
    <s v="N"/>
    <x v="2"/>
    <s v="-"/>
    <n v="8340.316651795556"/>
    <s v="Y"/>
    <m/>
    <m/>
  </r>
  <r>
    <x v="0"/>
    <x v="42"/>
    <x v="64"/>
    <x v="3"/>
    <d v="1899-12-31T03:44:00"/>
    <n v="23201.752381750724"/>
    <d v="1899-12-30T02:50:30"/>
    <n v="2654.3661645900702"/>
    <n v="817.42030859421607"/>
    <m/>
    <x v="5"/>
    <x v="1"/>
    <s v="N"/>
    <x v="2"/>
    <s v="-"/>
    <n v="10229.726131923149"/>
    <s v="Y"/>
    <m/>
    <m/>
  </r>
  <r>
    <x v="0"/>
    <x v="42"/>
    <x v="64"/>
    <x v="3"/>
    <d v="1900-01-01T23:03:36"/>
    <n v="128802.79068511992"/>
    <d v="1899-12-30T08:19:02"/>
    <n v="37436.389328595578"/>
    <n v="10835.960726182577"/>
    <m/>
    <x v="5"/>
    <x v="1"/>
    <s v="N"/>
    <x v="2"/>
    <s v="-"/>
    <n v="29941.544168618679"/>
    <s v="Y"/>
    <m/>
    <m/>
  </r>
  <r>
    <x v="0"/>
    <x v="42"/>
    <x v="64"/>
    <x v="3"/>
    <d v="1900-01-01T12:50:32"/>
    <n v="28445.101943716229"/>
    <d v="1899-12-30T05:40:41"/>
    <n v="6022.2669882748105"/>
    <n v="1776.969673239224"/>
    <m/>
    <x v="5"/>
    <x v="1"/>
    <s v="N"/>
    <x v="2"/>
    <s v="-"/>
    <n v="20441.319020177998"/>
    <s v="Y"/>
    <m/>
    <m/>
  </r>
  <r>
    <x v="0"/>
    <x v="42"/>
    <x v="64"/>
    <x v="3"/>
    <d v="1899-12-30T18:37:00"/>
    <n v="88143.121475315042"/>
    <d v="1899-12-30T01:46:43"/>
    <n v="37153.369862820946"/>
    <n v="10673.466477075312"/>
    <m/>
    <x v="5"/>
    <x v="1"/>
    <s v="N"/>
    <x v="2"/>
    <s v="-"/>
    <n v="6403.1645074222688"/>
    <s v="Y"/>
    <m/>
    <m/>
  </r>
  <r>
    <x v="0"/>
    <x v="42"/>
    <x v="64"/>
    <x v="3"/>
    <d v="1899-12-30T04:41:00"/>
    <n v="317.667109852556"/>
    <d v="1899-12-30T00:26:51"/>
    <n v="136.74191059033399"/>
    <n v="39.283386785263829"/>
    <m/>
    <x v="5"/>
    <x v="1"/>
    <s v="N"/>
    <x v="2"/>
    <s v="-"/>
    <n v="1610.8229423327284"/>
    <s v="Y"/>
    <m/>
    <m/>
  </r>
  <r>
    <x v="0"/>
    <x v="42"/>
    <x v="64"/>
    <x v="3"/>
    <d v="1899-12-30T01:45:00"/>
    <n v="18107.025261595678"/>
    <d v="1899-12-30T00:10:02"/>
    <n v="1286.8839929176233"/>
    <n v="369.69764005272873"/>
    <m/>
    <x v="5"/>
    <x v="1"/>
    <s v="N"/>
    <x v="2"/>
    <s v="-"/>
    <n v="601.90892862966723"/>
    <s v="Y"/>
    <m/>
    <m/>
  </r>
  <r>
    <x v="0"/>
    <x v="42"/>
    <x v="64"/>
    <x v="3"/>
    <d v="1899-12-30T14:12:26"/>
    <n v="10029.839952792403"/>
    <d v="1899-12-30T01:21:27"/>
    <n v="810.30032620048166"/>
    <n v="232.78408930326196"/>
    <m/>
    <x v="5"/>
    <x v="1"/>
    <s v="N"/>
    <x v="2"/>
    <s v="-"/>
    <n v="4886.5450894750738"/>
    <s v="Y"/>
    <m/>
    <m/>
  </r>
  <r>
    <x v="0"/>
    <x v="42"/>
    <x v="64"/>
    <x v="3"/>
    <d v="1900-01-03T20:57:22"/>
    <n v="33983.996280187552"/>
    <d v="1899-12-30T11:01:45"/>
    <n v="24502.847421028389"/>
    <n v="7045.184582438711"/>
    <m/>
    <x v="5"/>
    <x v="1"/>
    <s v="N"/>
    <x v="2"/>
    <s v="-"/>
    <n v="39705.031233648268"/>
    <s v="Y"/>
    <m/>
    <m/>
  </r>
  <r>
    <x v="0"/>
    <x v="42"/>
    <x v="64"/>
    <x v="3"/>
    <d v="1899-12-30T00:13:19"/>
    <n v="337.64152240216998"/>
    <d v="1899-12-30T00:01:16"/>
    <n v="11.873893961512028"/>
    <n v="3.4111470808296414"/>
    <m/>
    <x v="5"/>
    <x v="1"/>
    <s v="N"/>
    <x v="2"/>
    <s v="-"/>
    <n v="76.337338726206994"/>
    <s v="Y"/>
    <m/>
    <m/>
  </r>
  <r>
    <x v="0"/>
    <x v="42"/>
    <x v="64"/>
    <x v="3"/>
    <d v="1900-01-04T15:38:16"/>
    <n v="68251.741570551734"/>
    <d v="1899-12-30T12:57:32"/>
    <n v="7656.6011024954742"/>
    <n v="2199.5979233529038"/>
    <m/>
    <x v="5"/>
    <x v="1"/>
    <s v="N"/>
    <x v="2"/>
    <s v="-"/>
    <n v="46652.33685938923"/>
    <s v="Y"/>
    <m/>
    <m/>
  </r>
  <r>
    <x v="0"/>
    <x v="42"/>
    <x v="64"/>
    <x v="3"/>
    <d v="1900-01-04T02:06:03"/>
    <n v="98472.84281886564"/>
    <d v="1899-12-30T11:29:54"/>
    <n v="34102.5623665288"/>
    <n v="9803.0172192383052"/>
    <m/>
    <x v="5"/>
    <x v="1"/>
    <s v="N"/>
    <x v="2"/>
    <s v="-"/>
    <n v="41393.922181194226"/>
    <s v="Y"/>
    <m/>
    <m/>
  </r>
  <r>
    <x v="0"/>
    <x v="42"/>
    <x v="64"/>
    <x v="3"/>
    <d v="1899-12-31T23:58:43"/>
    <n v="13177.875464830668"/>
    <d v="1899-12-30T04:35:02"/>
    <n v="3818.1077101254732"/>
    <n v="1096.8707495539361"/>
    <m/>
    <x v="5"/>
    <x v="1"/>
    <s v="N"/>
    <x v="2"/>
    <s v="-"/>
    <n v="16502.145377730478"/>
    <s v="Y"/>
    <m/>
    <m/>
  </r>
  <r>
    <x v="0"/>
    <x v="42"/>
    <x v="64"/>
    <x v="3"/>
    <d v="1899-12-30T17:03:26"/>
    <n v="2613.9086088743402"/>
    <d v="1899-12-30T01:37:47"/>
    <n v="3532.3338958189493"/>
    <n v="1014.7732914151809"/>
    <m/>
    <x v="5"/>
    <x v="1"/>
    <s v="N"/>
    <x v="2"/>
    <s v="-"/>
    <n v="5866.7967732433881"/>
    <s v="Y"/>
    <m/>
    <m/>
  </r>
  <r>
    <x v="0"/>
    <x v="42"/>
    <x v="64"/>
    <x v="3"/>
    <d v="1899-12-30T06:31:39"/>
    <n v="3326.7123643853515"/>
    <d v="1899-12-30T00:37:25"/>
    <n v="361.1947205922811"/>
    <n v="103.76447025323971"/>
    <m/>
    <x v="5"/>
    <x v="1"/>
    <s v="N"/>
    <x v="2"/>
    <s v="-"/>
    <n v="2245.1203037886589"/>
    <s v="Y"/>
    <m/>
    <m/>
  </r>
  <r>
    <x v="0"/>
    <x v="42"/>
    <x v="64"/>
    <x v="3"/>
    <d v="1899-12-30T10:00:04"/>
    <n v="9155.048860702429"/>
    <d v="1899-12-30T00:57:20"/>
    <n v="3345.4286280934498"/>
    <n v="961.0789127673587"/>
    <m/>
    <x v="5"/>
    <x v="1"/>
    <s v="N"/>
    <x v="2"/>
    <s v="-"/>
    <n v="3439.8617565686568"/>
    <s v="Y"/>
    <m/>
    <m/>
  </r>
  <r>
    <x v="0"/>
    <x v="42"/>
    <x v="64"/>
    <x v="3"/>
    <d v="1899-12-30T01:58:45"/>
    <n v="415.927046361973"/>
    <d v="1899-12-30T00:11:21"/>
    <n v="130.43452704195198"/>
    <n v="37.471393765242247"/>
    <m/>
    <x v="5"/>
    <x v="1"/>
    <s v="N"/>
    <x v="2"/>
    <s v="-"/>
    <n v="680.730335950219"/>
    <s v="Y"/>
    <m/>
    <m/>
  </r>
  <r>
    <x v="0"/>
    <x v="42"/>
    <x v="64"/>
    <x v="3"/>
    <d v="1899-12-30T06:02:32"/>
    <n v="8385.7031483344745"/>
    <d v="1899-12-30T00:34:38"/>
    <n v="617.26572876999478"/>
    <n v="177.32886916583368"/>
    <m/>
    <x v="5"/>
    <x v="1"/>
    <s v="N"/>
    <x v="2"/>
    <s v="-"/>
    <n v="2078.2100024686542"/>
    <s v="Y"/>
    <m/>
    <m/>
  </r>
  <r>
    <x v="0"/>
    <x v="42"/>
    <x v="64"/>
    <x v="3"/>
    <d v="1899-12-30T00:12:11"/>
    <n v="530.82090886413005"/>
    <d v="1899-12-30T00:01:10"/>
    <n v="17.078744255857835"/>
    <n v="4.9064029712108743"/>
    <m/>
    <x v="5"/>
    <x v="1"/>
    <s v="N"/>
    <x v="2"/>
    <s v="-"/>
    <n v="69.84054394099789"/>
    <s v="Y"/>
    <m/>
    <m/>
  </r>
  <r>
    <x v="0"/>
    <x v="42"/>
    <x v="64"/>
    <x v="3"/>
    <d v="1900-01-02T18:24:12"/>
    <n v="30823.969104492244"/>
    <d v="1899-12-30T08:38:14"/>
    <n v="30746.117785607534"/>
    <n v="8832.7831014135172"/>
    <m/>
    <x v="5"/>
    <x v="1"/>
    <s v="N"/>
    <x v="2"/>
    <s v="-"/>
    <n v="31094.042006409909"/>
    <s v="Y"/>
    <m/>
    <m/>
  </r>
  <r>
    <x v="0"/>
    <x v="42"/>
    <x v="64"/>
    <x v="3"/>
    <d v="1900-01-02T01:37:38"/>
    <n v="138335.50459315159"/>
    <d v="1899-12-30T06:43:05"/>
    <n v="17605.535094491919"/>
    <n v="5134.3639441130681"/>
    <m/>
    <x v="5"/>
    <x v="1"/>
    <s v="N"/>
    <x v="2"/>
    <s v="-"/>
    <n v="24184.7796752867"/>
    <s v="Y"/>
    <m/>
    <m/>
  </r>
  <r>
    <x v="0"/>
    <x v="42"/>
    <x v="64"/>
    <x v="3"/>
    <d v="1900-01-05T04:12:35"/>
    <n v="101877.3661287982"/>
    <d v="1899-12-30T13:58:36"/>
    <n v="94458.784744402568"/>
    <n v="27154.227274850484"/>
    <m/>
    <x v="5"/>
    <x v="1"/>
    <s v="N"/>
    <x v="2"/>
    <s v="-"/>
    <n v="50315.796641640707"/>
    <s v="Y"/>
    <m/>
    <m/>
  </r>
  <r>
    <x v="0"/>
    <x v="42"/>
    <x v="64"/>
    <x v="3"/>
    <d v="1899-12-30T11:19:49"/>
    <n v="17030.985737335595"/>
    <d v="1899-12-30T01:00:25"/>
    <n v="2270.3943061498385"/>
    <n v="655.86792408122744"/>
    <m/>
    <x v="5"/>
    <x v="1"/>
    <s v="N"/>
    <x v="2"/>
    <s v="-"/>
    <n v="3624.613723812914"/>
    <s v="Y"/>
    <m/>
    <m/>
  </r>
  <r>
    <x v="0"/>
    <x v="42"/>
    <x v="64"/>
    <x v="3"/>
    <d v="1900-01-02T15:36:46"/>
    <n v="44930.954338093179"/>
    <d v="1899-12-30T08:22:14"/>
    <n v="44553.117198957589"/>
    <n v="12799.275129768146"/>
    <m/>
    <x v="5"/>
    <x v="1"/>
    <s v="N"/>
    <x v="2"/>
    <s v="-"/>
    <n v="30134.236117995046"/>
    <s v="Y"/>
    <m/>
    <m/>
  </r>
  <r>
    <x v="0"/>
    <x v="42"/>
    <x v="64"/>
    <x v="3"/>
    <d v="1899-12-30T11:19:49"/>
    <n v="14336.436098737915"/>
    <d v="1899-12-30T01:00:25"/>
    <n v="1911.1593422336427"/>
    <n v="552.09244682796873"/>
    <m/>
    <x v="5"/>
    <x v="1"/>
    <s v="N"/>
    <x v="2"/>
    <s v="-"/>
    <n v="3624.613723812914"/>
    <s v="Y"/>
    <m/>
    <m/>
  </r>
  <r>
    <x v="0"/>
    <x v="42"/>
    <x v="64"/>
    <x v="3"/>
    <d v="1900-01-02T15:36:46"/>
    <n v="37826.04238227108"/>
    <d v="1899-12-30T08:22:14"/>
    <n v="37507.952462991969"/>
    <n v="10775.331409119251"/>
    <m/>
    <x v="5"/>
    <x v="1"/>
    <s v="N"/>
    <x v="2"/>
    <s v="-"/>
    <n v="30134.236117995046"/>
    <s v="Y"/>
    <m/>
    <m/>
  </r>
  <r>
    <x v="0"/>
    <x v="42"/>
    <x v="64"/>
    <x v="3"/>
    <d v="1899-12-30T12:11:58"/>
    <n v="8866.6833957626986"/>
    <d v="1899-12-30T01:09:56"/>
    <n v="8569.6739191728157"/>
    <n v="2461.906622023243"/>
    <m/>
    <x v="5"/>
    <x v="1"/>
    <s v="N"/>
    <x v="2"/>
    <s v="-"/>
    <n v="4195.9740202472576"/>
    <s v="Y"/>
    <m/>
    <m/>
  </r>
  <r>
    <x v="0"/>
    <x v="42"/>
    <x v="64"/>
    <x v="3"/>
    <d v="1899-12-30T12:11:58"/>
    <n v="5403.7203403244393"/>
    <d v="1899-12-30T01:09:56"/>
    <n v="5222.7105897468073"/>
    <n v="1500.3868183411207"/>
    <m/>
    <x v="5"/>
    <x v="1"/>
    <s v="N"/>
    <x v="2"/>
    <s v="-"/>
    <n v="4195.9740202472576"/>
    <s v="Y"/>
    <m/>
    <m/>
  </r>
  <r>
    <x v="0"/>
    <x v="42"/>
    <x v="64"/>
    <x v="3"/>
    <d v="1900-01-02T01:37:38"/>
    <n v="944098.8906325188"/>
    <d v="1899-12-30T06:43:05"/>
    <n v="120152.03174259851"/>
    <n v="35040.360337837978"/>
    <m/>
    <x v="5"/>
    <x v="1"/>
    <s v="N"/>
    <x v="2"/>
    <s v="-"/>
    <n v="24184.7796752867"/>
    <s v="Y"/>
    <m/>
    <m/>
  </r>
  <r>
    <x v="0"/>
    <x v="42"/>
    <x v="64"/>
    <x v="3"/>
    <d v="1900-01-05T04:12:35"/>
    <n v="695277.3987618325"/>
    <d v="1899-12-30T13:58:36"/>
    <n v="644648.17498582113"/>
    <n v="185318.1057034494"/>
    <m/>
    <x v="5"/>
    <x v="1"/>
    <s v="N"/>
    <x v="2"/>
    <s v="-"/>
    <n v="50315.796641640707"/>
    <s v="Y"/>
    <m/>
    <m/>
  </r>
  <r>
    <x v="0"/>
    <x v="42"/>
    <x v="64"/>
    <x v="3"/>
    <d v="1899-12-30T23:15:35"/>
    <n v="11175.528924612943"/>
    <d v="1899-12-30T02:13:20"/>
    <n v="677.65638844904197"/>
    <n v="194.67797327113306"/>
    <m/>
    <x v="5"/>
    <x v="1"/>
    <s v="N"/>
    <x v="2"/>
    <s v="-"/>
    <n v="8000.1339902865366"/>
    <s v="Y"/>
    <m/>
    <m/>
  </r>
  <r>
    <x v="0"/>
    <x v="42"/>
    <x v="64"/>
    <x v="3"/>
    <d v="1900-01-04T00:59:26"/>
    <n v="18038.063310948335"/>
    <d v="1899-12-30T11:28:35"/>
    <n v="10140.737680536142"/>
    <n v="2963.4338863042221"/>
    <m/>
    <x v="5"/>
    <x v="1"/>
    <s v="N"/>
    <x v="2"/>
    <s v="-"/>
    <n v="41315.035271651614"/>
    <s v="Y"/>
    <m/>
    <m/>
  </r>
  <r>
    <x v="0"/>
    <x v="42"/>
    <x v="64"/>
    <x v="3"/>
    <d v="1899-12-30T23:20:10"/>
    <n v="90393.129109874397"/>
    <d v="1899-12-30T02:13:46"/>
    <n v="5497.7445603401593"/>
    <n v="1579.3989207701563"/>
    <m/>
    <x v="5"/>
    <x v="1"/>
    <s v="N"/>
    <x v="2"/>
    <s v="-"/>
    <n v="8026.4077927267199"/>
    <s v="Y"/>
    <m/>
    <m/>
  </r>
  <r>
    <x v="0"/>
    <x v="42"/>
    <x v="64"/>
    <x v="3"/>
    <d v="1900-01-04T00:58:25"/>
    <n v="145871.74805394775"/>
    <d v="1899-12-30T11:28:22"/>
    <n v="81980.443357171956"/>
    <n v="23957.347744444167"/>
    <m/>
    <x v="5"/>
    <x v="1"/>
    <s v="N"/>
    <x v="2"/>
    <s v="-"/>
    <n v="41302.462206419346"/>
    <s v="Y"/>
    <m/>
    <m/>
  </r>
  <r>
    <x v="0"/>
    <x v="42"/>
    <x v="64"/>
    <x v="3"/>
    <d v="1900-01-01T15:53:27"/>
    <n v="20022.557934006629"/>
    <d v="1899-12-30T06:06:15"/>
    <n v="1311.3205623112738"/>
    <n v="376.71780821515569"/>
    <m/>
    <x v="5"/>
    <x v="1"/>
    <s v="N"/>
    <x v="2"/>
    <s v="-"/>
    <n v="21975.121737670448"/>
    <s v="Y"/>
    <m/>
    <m/>
  </r>
  <r>
    <x v="0"/>
    <x v="42"/>
    <x v="64"/>
    <x v="3"/>
    <d v="1900-01-04T04:35:24"/>
    <n v="16109.71927918839"/>
    <d v="1899-12-30T11:31:02"/>
    <n v="7604.3998507605374"/>
    <n v="2238.363170695593"/>
    <m/>
    <x v="5"/>
    <x v="1"/>
    <s v="N"/>
    <x v="2"/>
    <s v="-"/>
    <n v="41462.262086604736"/>
    <s v="Y"/>
    <m/>
    <m/>
  </r>
  <r>
    <x v="0"/>
    <x v="42"/>
    <x v="64"/>
    <x v="3"/>
    <d v="1900-01-01T15:47:31"/>
    <n v="125790.77516074434"/>
    <d v="1899-12-30T06:05:41"/>
    <n v="8282.2026783620422"/>
    <n v="2379.3215250792518"/>
    <m/>
    <x v="5"/>
    <x v="1"/>
    <s v="N"/>
    <x v="2"/>
    <s v="-"/>
    <n v="21941.109106147884"/>
    <s v="Y"/>
    <m/>
    <m/>
  </r>
  <r>
    <x v="0"/>
    <x v="42"/>
    <x v="64"/>
    <x v="3"/>
    <d v="1900-01-04T04:38:38"/>
    <n v="101918.46969865708"/>
    <d v="1899-12-30T11:31:27"/>
    <n v="48138.021818237859"/>
    <n v="14170.247131452232"/>
    <m/>
    <x v="5"/>
    <x v="1"/>
    <s v="N"/>
    <x v="2"/>
    <s v="-"/>
    <n v="41487.288321866603"/>
    <s v="Y"/>
    <m/>
    <m/>
  </r>
  <r>
    <x v="0"/>
    <x v="42"/>
    <x v="64"/>
    <x v="3"/>
    <d v="1899-12-30T10:30:00"/>
    <n v="83.8489884673278"/>
    <d v="1899-12-30T01:00:11"/>
    <n v="139.50191348191427"/>
    <n v="40.076283861590468"/>
    <m/>
    <x v="5"/>
    <x v="1"/>
    <s v="N"/>
    <x v="2"/>
    <s v="-"/>
    <n v="3611.4535717780027"/>
    <s v="Y"/>
    <m/>
    <m/>
  </r>
  <r>
    <x v="0"/>
    <x v="42"/>
    <x v="64"/>
    <x v="3"/>
    <d v="1899-12-30T00:30:00"/>
    <n v="76.28613852713741"/>
    <d v="1899-12-30T00:02:52"/>
    <n v="6.0437803786748816"/>
    <n v="1.736264772341541"/>
    <m/>
    <x v="5"/>
    <x v="1"/>
    <s v="N"/>
    <x v="2"/>
    <s v="-"/>
    <n v="171.97397960847636"/>
    <s v="Y"/>
    <m/>
    <m/>
  </r>
  <r>
    <x v="0"/>
    <x v="42"/>
    <x v="64"/>
    <x v="3"/>
    <d v="1900-01-02T00:30:00"/>
    <n v="22165.894924191951"/>
    <d v="1899-12-30T07:12:51"/>
    <n v="12104.018080045022"/>
    <n v="3543.3813144572982"/>
    <m/>
    <x v="5"/>
    <x v="1"/>
    <s v="N"/>
    <x v="2"/>
    <s v="-"/>
    <n v="25971.185525849236"/>
    <s v="Y"/>
    <m/>
    <m/>
  </r>
  <r>
    <x v="0"/>
    <x v="42"/>
    <x v="64"/>
    <x v="3"/>
    <d v="1899-12-30T02:00:00"/>
    <n v="3734.20648090338"/>
    <d v="1899-12-30T00:11:28"/>
    <n v="591.68609907227199"/>
    <n v="169.98032121223721"/>
    <m/>
    <x v="5"/>
    <x v="1"/>
    <s v="N"/>
    <x v="2"/>
    <s v="-"/>
    <n v="687.89591843390542"/>
    <s v="Y"/>
    <m/>
    <m/>
  </r>
  <r>
    <x v="0"/>
    <x v="42"/>
    <x v="64"/>
    <x v="3"/>
    <d v="1900-01-01T04:00:00"/>
    <n v="385582.76967770391"/>
    <d v="1899-12-30T04:58:05"/>
    <n v="103963.53844024127"/>
    <n v="29866.77511292091"/>
    <m/>
    <x v="5"/>
    <x v="1"/>
    <s v="N"/>
    <x v="2"/>
    <s v="-"/>
    <n v="17885.293879281533"/>
    <s v="Y"/>
    <m/>
    <m/>
  </r>
  <r>
    <x v="0"/>
    <x v="42"/>
    <x v="64"/>
    <x v="3"/>
    <d v="1899-12-30T04:00:00"/>
    <n v="2959.2445357277002"/>
    <d v="1899-12-30T00:22:56"/>
    <n v="937.78630855038682"/>
    <n v="269.40842146836076"/>
    <m/>
    <x v="5"/>
    <x v="1"/>
    <s v="N"/>
    <x v="2"/>
    <s v="-"/>
    <n v="1375.7918368678104"/>
    <s v="Y"/>
    <m/>
    <m/>
  </r>
  <r>
    <x v="0"/>
    <x v="42"/>
    <x v="64"/>
    <x v="3"/>
    <d v="1899-12-30T13:00:00"/>
    <n v="81699.563914098806"/>
    <d v="1899-12-30T01:12:21"/>
    <n v="40846.891765668515"/>
    <n v="11846.100297171046"/>
    <m/>
    <x v="5"/>
    <x v="1"/>
    <s v="N"/>
    <x v="2"/>
    <s v="-"/>
    <n v="4341.0917676368708"/>
    <s v="Y"/>
    <m/>
    <m/>
  </r>
  <r>
    <x v="0"/>
    <x v="42"/>
    <x v="64"/>
    <x v="3"/>
    <d v="1899-12-30T02:00:00"/>
    <n v="2916.8925760626298"/>
    <d v="1899-12-30T00:09:18"/>
    <n v="749.36518800860119"/>
    <n v="231.20970317961326"/>
    <m/>
    <x v="5"/>
    <x v="1"/>
    <s v="N"/>
    <x v="2"/>
    <s v="-"/>
    <n v="557.66421625039061"/>
    <s v="Y"/>
    <m/>
    <m/>
  </r>
  <r>
    <x v="0"/>
    <x v="42"/>
    <x v="64"/>
    <x v="3"/>
    <d v="1899-12-30T18:20:00"/>
    <n v="131358.78321678878"/>
    <d v="1899-12-30T01:45:06"/>
    <n v="95396.754147194515"/>
    <n v="27405.69862629861"/>
    <m/>
    <x v="5"/>
    <x v="1"/>
    <s v="N"/>
    <x v="2"/>
    <s v="-"/>
    <n v="6305.7125856441317"/>
    <s v="Y"/>
    <m/>
    <m/>
  </r>
  <r>
    <x v="0"/>
    <x v="42"/>
    <x v="64"/>
    <x v="3"/>
    <d v="1899-12-30T05:05:00"/>
    <n v="9379.7753153866815"/>
    <d v="1899-12-30T00:22:16"/>
    <n v="2886.6306244445368"/>
    <n v="835.47946285869705"/>
    <m/>
    <x v="5"/>
    <x v="1"/>
    <s v="N"/>
    <x v="2"/>
    <s v="-"/>
    <n v="1336.0677286968403"/>
    <s v="Y"/>
    <m/>
    <m/>
  </r>
  <r>
    <x v="0"/>
    <x v="42"/>
    <x v="64"/>
    <x v="3"/>
    <d v="1899-12-31T17:25:00"/>
    <n v="346520.16272159398"/>
    <d v="1899-12-30T03:50:02"/>
    <n v="216596.739230726"/>
    <n v="61894.528584164967"/>
    <m/>
    <x v="5"/>
    <x v="1"/>
    <s v="N"/>
    <x v="2"/>
    <s v="-"/>
    <n v="13802.215696306883"/>
    <s v="Y"/>
    <m/>
    <m/>
  </r>
  <r>
    <x v="0"/>
    <x v="42"/>
    <x v="64"/>
    <x v="3"/>
    <d v="1899-12-30T00:30:00"/>
    <n v="3807.0728959793"/>
    <d v="1899-12-30T00:02:28"/>
    <n v="259.69932987828258"/>
    <n v="79.328567926805945"/>
    <m/>
    <x v="5"/>
    <x v="1"/>
    <s v="N"/>
    <x v="2"/>
    <s v="-"/>
    <n v="148.07417974322402"/>
    <s v="Y"/>
    <m/>
    <m/>
  </r>
  <r>
    <x v="0"/>
    <x v="42"/>
    <x v="64"/>
    <x v="3"/>
    <d v="1900-01-03T23:45:00"/>
    <n v="903705.35448855849"/>
    <d v="1899-12-30T11:19:19"/>
    <n v="732772.45386105869"/>
    <n v="213502.85470455908"/>
    <m/>
    <x v="5"/>
    <x v="1"/>
    <s v="N"/>
    <x v="2"/>
    <s v="-"/>
    <n v="40758.871106188693"/>
    <s v="Y"/>
    <m/>
    <m/>
  </r>
  <r>
    <x v="0"/>
    <x v="42"/>
    <x v="64"/>
    <x v="3"/>
    <d v="1899-12-30T05:15:00"/>
    <n v="4689.8876576933408"/>
    <d v="1899-12-30T00:24:24"/>
    <n v="3162.7497220390305"/>
    <n v="975.83719682432763"/>
    <m/>
    <x v="5"/>
    <x v="1"/>
    <s v="N"/>
    <x v="2"/>
    <s v="-"/>
    <n v="1463.8685676572752"/>
    <s v="Y"/>
    <m/>
    <m/>
  </r>
  <r>
    <x v="0"/>
    <x v="42"/>
    <x v="64"/>
    <x v="3"/>
    <d v="1899-12-31T15:32:01"/>
    <n v="539201.02425610973"/>
    <d v="1899-12-30T03:35:57"/>
    <n v="59921.028360795834"/>
    <n v="18024.262900734982"/>
    <m/>
    <x v="5"/>
    <x v="1"/>
    <s v="N"/>
    <x v="2"/>
    <s v="-"/>
    <n v="12957.161826815882"/>
    <s v="Y"/>
    <m/>
    <m/>
  </r>
  <r>
    <x v="0"/>
    <x v="42"/>
    <x v="64"/>
    <x v="3"/>
    <d v="1900-01-04T16:04:52"/>
    <n v="2814694.9819218316"/>
    <d v="1899-12-30T12:47:45"/>
    <n v="935310.16503575235"/>
    <n v="280612.49473095278"/>
    <m/>
    <x v="5"/>
    <x v="1"/>
    <s v="N"/>
    <x v="2"/>
    <s v="-"/>
    <n v="46064.984827178494"/>
    <s v="Y"/>
    <m/>
    <m/>
  </r>
  <r>
    <x v="0"/>
    <x v="42"/>
    <x v="64"/>
    <x v="3"/>
    <d v="1899-12-30T22:12:17"/>
    <n v="192549.6659512645"/>
    <d v="1899-12-30T01:30:48"/>
    <n v="31418.510903315902"/>
    <n v="8894.2773120272414"/>
    <m/>
    <x v="5"/>
    <x v="1"/>
    <s v="N"/>
    <x v="2"/>
    <s v="-"/>
    <n v="5447.8490340184217"/>
    <s v="Y"/>
    <m/>
    <m/>
  </r>
  <r>
    <x v="0"/>
    <x v="42"/>
    <x v="64"/>
    <x v="3"/>
    <d v="1899-12-31T03:44:00"/>
    <n v="359625.99685849075"/>
    <d v="1899-12-30T02:50:30"/>
    <n v="41142.119948701707"/>
    <n v="12669.845301442458"/>
    <m/>
    <x v="5"/>
    <x v="1"/>
    <s v="N"/>
    <x v="2"/>
    <s v="-"/>
    <n v="10229.726131923149"/>
    <s v="Y"/>
    <m/>
    <m/>
  </r>
  <r>
    <x v="0"/>
    <x v="42"/>
    <x v="64"/>
    <x v="3"/>
    <d v="1900-01-01T23:03:36"/>
    <n v="2168083.2224403503"/>
    <d v="1899-12-30T08:19:02"/>
    <n v="630151.17242109752"/>
    <n v="182397.18897340971"/>
    <m/>
    <x v="5"/>
    <x v="1"/>
    <s v="N"/>
    <x v="2"/>
    <s v="-"/>
    <n v="29941.544168618679"/>
    <s v="Y"/>
    <m/>
    <m/>
  </r>
  <r>
    <x v="0"/>
    <x v="42"/>
    <x v="64"/>
    <x v="3"/>
    <d v="1900-01-01T12:50:32"/>
    <n v="440908.04699736158"/>
    <d v="1899-12-30T05:40:41"/>
    <n v="93346.923403558132"/>
    <n v="27543.5582842658"/>
    <m/>
    <x v="5"/>
    <x v="1"/>
    <s v="N"/>
    <x v="2"/>
    <s v="-"/>
    <n v="20441.319020177998"/>
    <s v="Y"/>
    <m/>
    <m/>
  </r>
  <r>
    <x v="0"/>
    <x v="42"/>
    <x v="64"/>
    <x v="3"/>
    <d v="1899-12-30T02:00:00"/>
    <n v="7446.3562621930005"/>
    <d v="1899-12-30T00:11:28"/>
    <n v="2359.7546153974235"/>
    <n v="677.91325186823292"/>
    <m/>
    <x v="5"/>
    <x v="1"/>
    <s v="N"/>
    <x v="2"/>
    <s v="-"/>
    <n v="687.89591843390542"/>
    <s v="Y"/>
    <m/>
    <m/>
  </r>
  <r>
    <x v="0"/>
    <x v="42"/>
    <x v="64"/>
    <x v="3"/>
    <d v="1899-12-30T06:00:00"/>
    <n v="8563.82759450292"/>
    <d v="1899-12-30T00:34:24"/>
    <n v="814.16457848786456"/>
    <n v="233.89421652457801"/>
    <m/>
    <x v="5"/>
    <x v="1"/>
    <s v="N"/>
    <x v="2"/>
    <s v="-"/>
    <n v="2063.6877553017162"/>
    <s v="Y"/>
    <m/>
    <m/>
  </r>
  <r>
    <x v="0"/>
    <x v="42"/>
    <x v="64"/>
    <x v="3"/>
    <d v="1900-01-04T05:05:00"/>
    <n v="302898.3405955956"/>
    <d v="1899-12-30T11:57:02"/>
    <n v="97805.409345666107"/>
    <n v="28097.660098720728"/>
    <m/>
    <x v="5"/>
    <x v="1"/>
    <s v="N"/>
    <x v="2"/>
    <s v="-"/>
    <n v="43022.157232053767"/>
    <s v="Y"/>
    <m/>
    <m/>
  </r>
  <r>
    <x v="0"/>
    <x v="42"/>
    <x v="64"/>
    <x v="3"/>
    <d v="1900-01-01T12:41:00"/>
    <n v="32598.406849100709"/>
    <d v="1899-12-30T08:14:16"/>
    <n v="15185.553529060124"/>
    <n v="4539.3562518073722"/>
    <m/>
    <x v="5"/>
    <x v="1"/>
    <s v="N"/>
    <x v="2"/>
    <s v="-"/>
    <n v="29656.315967525868"/>
    <s v="Y"/>
    <m/>
    <m/>
  </r>
  <r>
    <x v="0"/>
    <x v="42"/>
    <x v="64"/>
    <x v="3"/>
    <d v="1899-12-30T01:00:00"/>
    <n v="1712.7655189005839"/>
    <d v="1899-12-30T00:05:44"/>
    <n v="135.69409641464406"/>
    <n v="38.982369420762993"/>
    <m/>
    <x v="5"/>
    <x v="1"/>
    <s v="N"/>
    <x v="2"/>
    <s v="-"/>
    <n v="343.94795921695271"/>
    <s v="Y"/>
    <m/>
    <m/>
  </r>
  <r>
    <x v="0"/>
    <x v="42"/>
    <x v="64"/>
    <x v="3"/>
    <d v="1899-12-31T18:00:00"/>
    <n v="118551.62191040946"/>
    <d v="1899-12-30T07:43:18"/>
    <n v="72071.99539379726"/>
    <n v="21194.752437363637"/>
    <m/>
    <x v="5"/>
    <x v="1"/>
    <s v="N"/>
    <x v="2"/>
    <s v="-"/>
    <n v="27798.345866790882"/>
    <s v="Y"/>
    <m/>
    <m/>
  </r>
  <r>
    <x v="0"/>
    <x v="42"/>
    <x v="64"/>
    <x v="3"/>
    <d v="1899-12-30T13:29:00"/>
    <n v="20553.186226807011"/>
    <d v="1899-12-30T01:21:12"/>
    <n v="1922.1359800834957"/>
    <n v="572.38521426445857"/>
    <m/>
    <x v="5"/>
    <x v="1"/>
    <s v="N"/>
    <x v="2"/>
    <s v="-"/>
    <n v="4872.0966140414057"/>
    <s v="Y"/>
    <m/>
    <m/>
  </r>
  <r>
    <x v="0"/>
    <x v="42"/>
    <x v="64"/>
    <x v="3"/>
    <d v="1900-01-01T12:00:00"/>
    <n v="161527.01426332811"/>
    <d v="1899-12-30T05:54:16"/>
    <n v="51482.244032939641"/>
    <n v="15049.023965978486"/>
    <m/>
    <x v="5"/>
    <x v="1"/>
    <s v="N"/>
    <x v="2"/>
    <s v="-"/>
    <n v="21255.821180986604"/>
    <s v="Y"/>
    <m/>
    <m/>
  </r>
  <r>
    <x v="0"/>
    <x v="42"/>
    <x v="64"/>
    <x v="3"/>
    <d v="1900-01-02T06:55:00"/>
    <n v="39968.498945807703"/>
    <d v="1899-12-30T07:36:56"/>
    <n v="14013.476752919893"/>
    <n v="4018.5725088158806"/>
    <m/>
    <x v="5"/>
    <x v="1"/>
    <s v="N"/>
    <x v="2"/>
    <s v="-"/>
    <n v="27416.060416150922"/>
    <s v="Y"/>
    <m/>
    <m/>
  </r>
  <r>
    <x v="0"/>
    <x v="42"/>
    <x v="64"/>
    <x v="3"/>
    <d v="1900-01-01T16:42:00"/>
    <n v="141817.32047241583"/>
    <d v="1899-12-30T05:51:19"/>
    <n v="11256.679719329062"/>
    <n v="3278.2655774990444"/>
    <m/>
    <x v="5"/>
    <x v="1"/>
    <s v="N"/>
    <x v="2"/>
    <s v="-"/>
    <n v="21079.205777197058"/>
    <s v="Y"/>
    <m/>
    <m/>
  </r>
  <r>
    <x v="0"/>
    <x v="42"/>
    <x v="64"/>
    <x v="3"/>
    <d v="1900-01-02T17:45:00"/>
    <n v="248058.75703306071"/>
    <d v="1899-12-30T08:12:50"/>
    <n v="76841.232488810492"/>
    <n v="22966.821244953193"/>
    <m/>
    <x v="5"/>
    <x v="1"/>
    <s v="N"/>
    <x v="2"/>
    <s v="-"/>
    <n v="29569.789550339221"/>
    <s v="Y"/>
    <m/>
    <m/>
  </r>
  <r>
    <x v="0"/>
    <x v="42"/>
    <x v="64"/>
    <x v="3"/>
    <d v="1900-01-03T20:20:00"/>
    <n v="62138.495561563192"/>
    <d v="1899-12-30T10:43:05"/>
    <n v="19446.952755623399"/>
    <n v="5795.2804876517894"/>
    <m/>
    <x v="5"/>
    <x v="1"/>
    <s v="N"/>
    <x v="2"/>
    <s v="-"/>
    <n v="38584.953795807029"/>
    <s v="Y"/>
    <m/>
    <m/>
  </r>
  <r>
    <x v="0"/>
    <x v="42"/>
    <x v="64"/>
    <x v="3"/>
    <d v="1899-12-30T11:48:59"/>
    <n v="2134.4342486666278"/>
    <d v="1899-12-30T00:57:27"/>
    <n v="847.28666850310822"/>
    <n v="245.08472284756513"/>
    <m/>
    <x v="5"/>
    <x v="1"/>
    <s v="N"/>
    <x v="2"/>
    <s v="-"/>
    <n v="3446.7301463829813"/>
    <s v="Y"/>
    <m/>
    <m/>
  </r>
  <r>
    <x v="0"/>
    <x v="42"/>
    <x v="64"/>
    <x v="3"/>
    <d v="1899-12-30T07:00:00"/>
    <n v="4070.5656433055588"/>
    <d v="1899-12-30T00:40:08"/>
    <n v="322.49115291589629"/>
    <n v="92.645661012991084"/>
    <m/>
    <x v="5"/>
    <x v="1"/>
    <s v="N"/>
    <x v="2"/>
    <s v="-"/>
    <n v="2407.6357145186689"/>
    <s v="Y"/>
    <m/>
    <m/>
  </r>
  <r>
    <x v="0"/>
    <x v="42"/>
    <x v="64"/>
    <x v="3"/>
    <d v="1900-01-03T15:30:00"/>
    <n v="13340.214054166425"/>
    <d v="1899-12-30T10:39:10"/>
    <n v="9427.3730916315762"/>
    <n v="2708.3075110530908"/>
    <m/>
    <x v="5"/>
    <x v="1"/>
    <s v="N"/>
    <x v="2"/>
    <s v="-"/>
    <n v="38350.197452690227"/>
    <s v="Y"/>
    <m/>
    <m/>
  </r>
  <r>
    <x v="0"/>
    <x v="42"/>
    <x v="64"/>
    <x v="3"/>
    <d v="1900-01-03T03:30:00"/>
    <n v="10469.703220509002"/>
    <d v="1899-12-30T09:37:10"/>
    <n v="4353.0761235291066"/>
    <n v="1240.014450126223"/>
    <m/>
    <x v="5"/>
    <x v="1"/>
    <s v="N"/>
    <x v="2"/>
    <s v="-"/>
    <n v="34630.375595794001"/>
    <s v="Y"/>
    <m/>
    <m/>
  </r>
  <r>
    <x v="0"/>
    <x v="42"/>
    <x v="64"/>
    <x v="3"/>
    <d v="1900-01-01T14:50:10"/>
    <n v="21848.540516233075"/>
    <d v="1899-12-30T06:00:12"/>
    <n v="3714.9590328418562"/>
    <n v="1067.2380687713764"/>
    <m/>
    <x v="5"/>
    <x v="1"/>
    <s v="N"/>
    <x v="2"/>
    <s v="-"/>
    <n v="21612.352181796352"/>
    <s v="Y"/>
    <m/>
    <m/>
  </r>
  <r>
    <x v="0"/>
    <x v="42"/>
    <x v="64"/>
    <x v="3"/>
    <d v="1900-01-02T05:08:51"/>
    <n v="16732.535340540289"/>
    <d v="1899-12-30T07:19:56"/>
    <n v="13276.960230319024"/>
    <n v="3839.3754653571559"/>
    <m/>
    <x v="5"/>
    <x v="1"/>
    <s v="N"/>
    <x v="2"/>
    <s v="-"/>
    <n v="26396.093066804802"/>
    <s v="Y"/>
    <m/>
    <m/>
  </r>
  <r>
    <x v="0"/>
    <x v="42"/>
    <x v="64"/>
    <x v="3"/>
    <d v="1899-12-30T05:00:00"/>
    <n v="981.9925846568766"/>
    <d v="1899-12-30T00:22:46"/>
    <n v="97.507561711198676"/>
    <n v="27.895210439027284"/>
    <m/>
    <x v="5"/>
    <x v="1"/>
    <s v="N"/>
    <x v="2"/>
    <s v="-"/>
    <n v="1365.9624224178451"/>
    <s v="Y"/>
    <m/>
    <m/>
  </r>
  <r>
    <x v="0"/>
    <x v="42"/>
    <x v="64"/>
    <x v="3"/>
    <d v="1900-01-01T13:30:00"/>
    <n v="2810.3167192104474"/>
    <d v="1899-12-30T05:52:33"/>
    <n v="3631.5411634589213"/>
    <n v="1043.2736791147929"/>
    <m/>
    <x v="5"/>
    <x v="1"/>
    <s v="N"/>
    <x v="2"/>
    <s v="-"/>
    <n v="21152.79949184259"/>
    <s v="Y"/>
    <m/>
    <m/>
  </r>
  <r>
    <x v="0"/>
    <x v="42"/>
    <x v="64"/>
    <x v="3"/>
    <d v="1899-12-30T12:10:00"/>
    <n v="372.111606826941"/>
    <d v="1899-12-30T01:09:45"/>
    <n v="717.36116859946083"/>
    <n v="206.08441208085247"/>
    <m/>
    <x v="5"/>
    <x v="1"/>
    <s v="N"/>
    <x v="2"/>
    <s v="-"/>
    <n v="4184.7001704729246"/>
    <s v="Y"/>
    <m/>
    <m/>
  </r>
  <r>
    <x v="0"/>
    <x v="42"/>
    <x v="64"/>
    <x v="3"/>
    <d v="1899-12-30T15:30:03"/>
    <n v="27568.894948434096"/>
    <d v="1899-12-30T01:22:36"/>
    <n v="3186.5583426522362"/>
    <n v="963.95209497315079"/>
    <m/>
    <x v="5"/>
    <x v="1"/>
    <s v="N"/>
    <x v="2"/>
    <s v="-"/>
    <n v="4956.1044909615548"/>
    <s v="Y"/>
    <m/>
    <m/>
  </r>
  <r>
    <x v="0"/>
    <x v="42"/>
    <x v="64"/>
    <x v="3"/>
    <d v="1900-01-04T19:43:55"/>
    <n v="440240.02870140597"/>
    <d v="1899-12-30T13:27:47"/>
    <n v="181238.87518788112"/>
    <n v="53916.29480891399"/>
    <m/>
    <x v="5"/>
    <x v="1"/>
    <s v="N"/>
    <x v="2"/>
    <s v="-"/>
    <n v="48467.019939018224"/>
    <s v="Y"/>
    <m/>
    <m/>
  </r>
  <r>
    <x v="0"/>
    <x v="42"/>
    <x v="64"/>
    <x v="3"/>
    <d v="1900-01-01T01:16:05"/>
    <n v="80453.864011926707"/>
    <d v="1899-12-30T03:58:13"/>
    <n v="10378.394577201809"/>
    <n v="3121.1862869092988"/>
    <m/>
    <x v="5"/>
    <x v="1"/>
    <s v="N"/>
    <x v="2"/>
    <s v="-"/>
    <n v="14293.309462661373"/>
    <s v="Y"/>
    <m/>
    <m/>
  </r>
  <r>
    <x v="0"/>
    <x v="42"/>
    <x v="64"/>
    <x v="3"/>
    <d v="1899-12-30T01:50:45"/>
    <n v="844.80781251585597"/>
    <d v="1899-12-30T00:10:35"/>
    <n v="123.54476303768102"/>
    <n v="35.492093760799456"/>
    <m/>
    <x v="5"/>
    <x v="1"/>
    <s v="N"/>
    <x v="2"/>
    <s v="-"/>
    <n v="634.870608054625"/>
    <s v="Y"/>
    <m/>
    <m/>
  </r>
  <r>
    <x v="0"/>
    <x v="42"/>
    <x v="64"/>
    <x v="3"/>
    <d v="1900-01-01T18:44:15"/>
    <n v="54103.495583875439"/>
    <d v="1899-12-30T07:48:23"/>
    <n v="20496.061275620195"/>
    <n v="6122.6603572630956"/>
    <m/>
    <x v="5"/>
    <x v="1"/>
    <s v="N"/>
    <x v="2"/>
    <s v="-"/>
    <n v="28103.330440293565"/>
    <s v="Y"/>
    <m/>
    <m/>
  </r>
  <r>
    <x v="0"/>
    <x v="42"/>
    <x v="64"/>
    <x v="3"/>
    <d v="1900-01-03T01:16:09"/>
    <n v="81890.037293203641"/>
    <d v="1899-12-30T09:15:19"/>
    <n v="17889.390958206786"/>
    <n v="5303.6281071202811"/>
    <m/>
    <x v="5"/>
    <x v="1"/>
    <s v="N"/>
    <x v="2"/>
    <s v="-"/>
    <n v="33319.422534978752"/>
    <s v="Y"/>
    <m/>
    <m/>
  </r>
  <r>
    <x v="0"/>
    <x v="42"/>
    <x v="64"/>
    <x v="3"/>
    <d v="1899-12-31T12:26:54"/>
    <n v="37171.543750697652"/>
    <d v="1899-12-30T03:20:53"/>
    <n v="4150.0418177427646"/>
    <n v="1262.0103357231092"/>
    <m/>
    <x v="5"/>
    <x v="1"/>
    <s v="N"/>
    <x v="2"/>
    <s v="-"/>
    <n v="12052.844768701487"/>
    <s v="Y"/>
    <m/>
    <m/>
  </r>
  <r>
    <x v="0"/>
    <x v="42"/>
    <x v="64"/>
    <x v="3"/>
    <d v="1900-01-04T19:09:59"/>
    <n v="197530.24403703617"/>
    <d v="1899-12-30T13:02:49"/>
    <n v="67258.002899177707"/>
    <n v="20001.967639945768"/>
    <m/>
    <x v="5"/>
    <x v="1"/>
    <s v="N"/>
    <x v="2"/>
    <s v="-"/>
    <n v="46969.301885292894"/>
    <s v="Y"/>
    <m/>
    <m/>
  </r>
  <r>
    <x v="0"/>
    <x v="42"/>
    <x v="64"/>
    <x v="3"/>
    <d v="1899-12-30T22:12:17"/>
    <n v="7321.6677084707499"/>
    <d v="1899-12-30T01:30:48"/>
    <n v="1201.5398867018384"/>
    <n v="334.42007901666614"/>
    <m/>
    <x v="5"/>
    <x v="1"/>
    <s v="N"/>
    <x v="2"/>
    <s v="-"/>
    <n v="5447.8490340184217"/>
    <s v="Y"/>
    <m/>
    <m/>
  </r>
  <r>
    <x v="0"/>
    <x v="42"/>
    <x v="64"/>
    <x v="3"/>
    <d v="1899-12-31T01:34:40"/>
    <n v="31257.889063086688"/>
    <d v="1899-12-30T02:34:16"/>
    <n v="4506.4609337657157"/>
    <n v="1371.1308313103134"/>
    <m/>
    <x v="5"/>
    <x v="1"/>
    <s v="N"/>
    <x v="2"/>
    <s v="-"/>
    <n v="9256.1886846091656"/>
    <s v="Y"/>
    <m/>
    <m/>
  </r>
  <r>
    <x v="0"/>
    <x v="42"/>
    <x v="64"/>
    <x v="3"/>
    <d v="1900-01-02T01:12:56"/>
    <n v="132448.19582311047"/>
    <d v="1899-12-30T08:35:15"/>
    <n v="36991.845136554148"/>
    <n v="10537.207001489242"/>
    <m/>
    <x v="5"/>
    <x v="1"/>
    <s v="N"/>
    <x v="2"/>
    <s v="-"/>
    <n v="30915.081615932664"/>
    <s v="Y"/>
    <m/>
    <m/>
  </r>
  <r>
    <x v="0"/>
    <x v="42"/>
    <x v="64"/>
    <x v="3"/>
    <d v="1900-01-01T12:50:32"/>
    <n v="35059.524219408027"/>
    <d v="1899-12-30T05:40:41"/>
    <n v="7565.8349822477094"/>
    <n v="2225.0607797830739"/>
    <m/>
    <x v="5"/>
    <x v="1"/>
    <s v="N"/>
    <x v="2"/>
    <s v="-"/>
    <n v="20441.319020177998"/>
    <s v="Y"/>
    <m/>
    <m/>
  </r>
  <r>
    <x v="0"/>
    <x v="42"/>
    <x v="64"/>
    <x v="3"/>
    <d v="1899-12-30T03:06:58"/>
    <n v="19113.694929476002"/>
    <d v="1899-12-30T00:15:01"/>
    <n v="7933.4840744470757"/>
    <n v="2601.9593687772581"/>
    <m/>
    <x v="5"/>
    <x v="1"/>
    <s v="N"/>
    <x v="2"/>
    <s v="-"/>
    <n v="900.98799292711999"/>
    <s v="Y"/>
    <m/>
    <m/>
  </r>
  <r>
    <x v="0"/>
    <x v="42"/>
    <x v="64"/>
    <x v="3"/>
    <d v="1900-01-01T15:00:00"/>
    <n v="17194.571486618039"/>
    <d v="1899-12-30T06:01:09"/>
    <n v="2118.2313018795512"/>
    <n v="608.52813283910132"/>
    <m/>
    <x v="5"/>
    <x v="1"/>
    <s v="N"/>
    <x v="2"/>
    <s v="-"/>
    <n v="21668.721430667989"/>
    <s v="Y"/>
    <m/>
    <m/>
  </r>
  <r>
    <x v="0"/>
    <x v="42"/>
    <x v="64"/>
    <x v="3"/>
    <d v="1900-01-05T07:50:00"/>
    <n v="10693.418450560133"/>
    <d v="1899-12-30T14:27:35"/>
    <n v="12821.924349266425"/>
    <n v="3688.1404098511589"/>
    <m/>
    <x v="5"/>
    <x v="1"/>
    <s v="N"/>
    <x v="2"/>
    <s v="-"/>
    <n v="52055.466542050548"/>
    <s v="Y"/>
    <m/>
    <m/>
  </r>
  <r>
    <x v="0"/>
    <x v="42"/>
    <x v="64"/>
    <x v="3"/>
    <d v="1899-12-30T14:00:00"/>
    <n v="5304.753981529796"/>
    <d v="1899-12-30T01:20:15"/>
    <n v="743.19620927536937"/>
    <n v="213.50633481912146"/>
    <m/>
    <x v="5"/>
    <x v="1"/>
    <s v="N"/>
    <x v="2"/>
    <s v="-"/>
    <n v="4815.2714290373378"/>
    <s v="Y"/>
    <m/>
    <m/>
  </r>
  <r>
    <x v="0"/>
    <x v="42"/>
    <x v="64"/>
    <x v="3"/>
    <d v="1900-01-01T21:30:00"/>
    <n v="5352.0187677083459"/>
    <d v="1899-12-30T06:38:24"/>
    <n v="8419.715752959979"/>
    <n v="2418.826452823354"/>
    <m/>
    <x v="5"/>
    <x v="1"/>
    <s v="N"/>
    <x v="2"/>
    <s v="-"/>
    <n v="23904.383165578212"/>
    <s v="Y"/>
    <m/>
    <m/>
  </r>
  <r>
    <x v="0"/>
    <x v="42"/>
    <x v="64"/>
    <x v="3"/>
    <d v="1899-12-30T00:30:00"/>
    <n v="614.34785975284206"/>
    <d v="1899-12-30T00:02:52"/>
    <n v="48.671798207931509"/>
    <n v="13.982494951855964"/>
    <m/>
    <x v="5"/>
    <x v="1"/>
    <s v="N"/>
    <x v="2"/>
    <s v="-"/>
    <n v="171.97397960847636"/>
    <s v="Y"/>
    <m/>
    <m/>
  </r>
  <r>
    <x v="0"/>
    <x v="42"/>
    <x v="64"/>
    <x v="3"/>
    <d v="1899-12-30T12:00:00"/>
    <n v="764.57410967262092"/>
    <d v="1899-12-30T01:08:47"/>
    <n v="1453.763871014673"/>
    <n v="417.63909976806116"/>
    <m/>
    <x v="5"/>
    <x v="1"/>
    <s v="N"/>
    <x v="2"/>
    <s v="-"/>
    <n v="4127.3755106034323"/>
    <s v="Y"/>
    <m/>
    <m/>
  </r>
  <r>
    <x v="0"/>
    <x v="42"/>
    <x v="64"/>
    <x v="3"/>
    <d v="1899-12-30T14:12:26"/>
    <n v="2801.9459115109266"/>
    <d v="1899-12-30T01:21:27"/>
    <n v="183.51468189797239"/>
    <n v="52.720326918426849"/>
    <m/>
    <x v="5"/>
    <x v="1"/>
    <s v="N"/>
    <x v="2"/>
    <s v="-"/>
    <n v="4886.5450894750738"/>
    <s v="Y"/>
    <m/>
    <m/>
  </r>
  <r>
    <x v="0"/>
    <x v="42"/>
    <x v="64"/>
    <x v="3"/>
    <d v="1900-01-03T20:57:22"/>
    <n v="7246.7045143349023"/>
    <d v="1899-12-30T11:01:45"/>
    <n v="6812.1387900705895"/>
    <n v="1955.9595639710765"/>
    <m/>
    <x v="5"/>
    <x v="1"/>
    <s v="N"/>
    <x v="2"/>
    <s v="-"/>
    <n v="39705.031233648268"/>
    <s v="Y"/>
    <m/>
    <m/>
  </r>
  <r>
    <x v="0"/>
    <x v="42"/>
    <x v="64"/>
    <x v="3"/>
    <d v="1899-12-30T00:13:19"/>
    <n v="0"/>
    <d v="1899-12-30T00:01:16"/>
    <n v="0"/>
    <n v="0"/>
    <m/>
    <x v="5"/>
    <x v="1"/>
    <s v="N"/>
    <x v="2"/>
    <s v="-"/>
    <n v="76.337338726206994"/>
    <s v="Y"/>
    <m/>
    <m/>
  </r>
  <r>
    <x v="0"/>
    <x v="42"/>
    <x v="64"/>
    <x v="3"/>
    <d v="1900-01-04T15:38:16"/>
    <n v="57700.373594832941"/>
    <d v="1899-12-30T12:57:32"/>
    <n v="6065.4532414881551"/>
    <n v="1742.4909794273005"/>
    <m/>
    <x v="5"/>
    <x v="1"/>
    <s v="N"/>
    <x v="2"/>
    <s v="-"/>
    <n v="46652.33685938923"/>
    <s v="Y"/>
    <m/>
    <m/>
  </r>
  <r>
    <x v="0"/>
    <x v="42"/>
    <x v="64"/>
    <x v="3"/>
    <d v="1900-01-04T02:06:03"/>
    <n v="39103.090184758294"/>
    <d v="1899-12-30T11:29:54"/>
    <n v="13287.066909297662"/>
    <n v="3781.4600966141516"/>
    <m/>
    <x v="5"/>
    <x v="1"/>
    <s v="N"/>
    <x v="2"/>
    <s v="-"/>
    <n v="41393.922181194226"/>
    <s v="Y"/>
    <m/>
    <m/>
  </r>
  <r>
    <x v="0"/>
    <x v="42"/>
    <x v="64"/>
    <x v="3"/>
    <d v="1899-12-31T23:58:43"/>
    <n v="13024.120442952777"/>
    <d v="1899-12-30T04:35:02"/>
    <n v="4023.6593618393867"/>
    <n v="1155.9218846724059"/>
    <m/>
    <x v="5"/>
    <x v="1"/>
    <s v="N"/>
    <x v="2"/>
    <s v="-"/>
    <n v="16502.145377730478"/>
    <s v="Y"/>
    <m/>
    <m/>
  </r>
  <r>
    <x v="0"/>
    <x v="42"/>
    <x v="64"/>
    <x v="3"/>
    <d v="1899-12-30T17:03:26"/>
    <n v="1455.7096325092068"/>
    <d v="1899-12-30T01:37:47"/>
    <n v="2045.0620557563605"/>
    <n v="587.50798046712953"/>
    <m/>
    <x v="5"/>
    <x v="1"/>
    <s v="N"/>
    <x v="2"/>
    <s v="-"/>
    <n v="5866.7967732433881"/>
    <s v="Y"/>
    <m/>
    <m/>
  </r>
  <r>
    <x v="0"/>
    <x v="42"/>
    <x v="64"/>
    <x v="3"/>
    <d v="1899-12-30T06:31:39"/>
    <n v="0"/>
    <d v="1899-12-30T00:37:25"/>
    <n v="0"/>
    <n v="0"/>
    <m/>
    <x v="5"/>
    <x v="1"/>
    <s v="N"/>
    <x v="2"/>
    <s v="-"/>
    <n v="2245.1203037886589"/>
    <s v="Y"/>
    <m/>
    <m/>
  </r>
  <r>
    <x v="0"/>
    <x v="42"/>
    <x v="64"/>
    <x v="3"/>
    <d v="1899-12-30T10:00:04"/>
    <n v="250.20009308752049"/>
    <d v="1899-12-30T00:57:20"/>
    <n v="104.67190425959488"/>
    <n v="30.070275329840463"/>
    <m/>
    <x v="5"/>
    <x v="1"/>
    <s v="N"/>
    <x v="2"/>
    <s v="-"/>
    <n v="3439.8617565686568"/>
    <s v="Y"/>
    <m/>
    <m/>
  </r>
  <r>
    <x v="0"/>
    <x v="42"/>
    <x v="64"/>
    <x v="3"/>
    <d v="1899-12-30T01:58:45"/>
    <n v="0"/>
    <d v="1899-12-30T00:11:21"/>
    <n v="0"/>
    <n v="0"/>
    <m/>
    <x v="5"/>
    <x v="1"/>
    <s v="N"/>
    <x v="2"/>
    <s v="-"/>
    <n v="680.730335950219"/>
    <s v="Y"/>
    <m/>
    <m/>
  </r>
  <r>
    <x v="0"/>
    <x v="42"/>
    <x v="64"/>
    <x v="3"/>
    <d v="1899-12-30T06:02:32"/>
    <n v="9982.8123178956994"/>
    <d v="1899-12-30T00:34:38"/>
    <n v="737.51491952818947"/>
    <n v="211.87420680793505"/>
    <m/>
    <x v="5"/>
    <x v="1"/>
    <s v="N"/>
    <x v="2"/>
    <s v="-"/>
    <n v="2078.2100024686542"/>
    <s v="Y"/>
    <m/>
    <m/>
  </r>
  <r>
    <x v="0"/>
    <x v="42"/>
    <x v="64"/>
    <x v="3"/>
    <d v="1899-12-30T00:12:11"/>
    <n v="858.88794272445398"/>
    <d v="1899-12-30T00:01:10"/>
    <n v="27.634042429902596"/>
    <n v="7.9387422080600354"/>
    <m/>
    <x v="5"/>
    <x v="1"/>
    <s v="N"/>
    <x v="2"/>
    <s v="-"/>
    <n v="69.84054394099789"/>
    <s v="Y"/>
    <m/>
    <m/>
  </r>
  <r>
    <x v="0"/>
    <x v="42"/>
    <x v="64"/>
    <x v="3"/>
    <d v="1900-01-02T18:24:12"/>
    <n v="4640.0744536231023"/>
    <d v="1899-12-30T08:38:14"/>
    <n v="5629.6845908631112"/>
    <n v="1617.3028174549154"/>
    <m/>
    <x v="5"/>
    <x v="1"/>
    <s v="N"/>
    <x v="2"/>
    <s v="-"/>
    <n v="31094.042006409909"/>
    <s v="Y"/>
    <m/>
    <m/>
  </r>
  <r>
    <x v="0"/>
    <x v="42"/>
    <x v="64"/>
    <x v="3"/>
    <d v="1899-12-31T01:03:22"/>
    <n v="63226.698798584614"/>
    <d v="1899-12-30T02:23:38"/>
    <n v="9150.3687792197161"/>
    <n v="2628.7293663666269"/>
    <m/>
    <x v="5"/>
    <x v="1"/>
    <s v="N"/>
    <x v="2"/>
    <s v="-"/>
    <n v="8617.9982825798779"/>
    <s v="Y"/>
    <m/>
    <m/>
  </r>
  <r>
    <x v="0"/>
    <x v="42"/>
    <x v="64"/>
    <x v="3"/>
    <d v="1900-01-01T21:10:37"/>
    <n v="195362.18961451016"/>
    <d v="1899-12-30T06:30:43"/>
    <n v="80801.162720615641"/>
    <n v="24870.062553160369"/>
    <m/>
    <x v="5"/>
    <x v="1"/>
    <s v="N"/>
    <x v="2"/>
    <s v="-"/>
    <n v="23443.025958480754"/>
    <s v="Y"/>
    <m/>
    <m/>
  </r>
  <r>
    <x v="0"/>
    <x v="42"/>
    <x v="64"/>
    <x v="3"/>
    <d v="1900-01-02T09:15:50"/>
    <n v="137421.81955797481"/>
    <d v="1899-12-30T07:46:26"/>
    <n v="43678.096191358454"/>
    <n v="13142.712889973576"/>
    <m/>
    <x v="5"/>
    <x v="1"/>
    <s v="N"/>
    <x v="2"/>
    <s v="-"/>
    <n v="27985.564038808061"/>
    <s v="Y"/>
    <m/>
    <m/>
  </r>
  <r>
    <x v="0"/>
    <x v="42"/>
    <x v="64"/>
    <x v="3"/>
    <d v="1899-12-31T12:01:03"/>
    <n v="73359.036572357305"/>
    <d v="1899-12-30T03:16:25"/>
    <n v="1314.2922994010075"/>
    <n v="399.29070731126478"/>
    <m/>
    <x v="5"/>
    <x v="1"/>
    <s v="N"/>
    <x v="2"/>
    <s v="-"/>
    <n v="11785.454444204795"/>
    <s v="Y"/>
    <m/>
    <m/>
  </r>
  <r>
    <x v="0"/>
    <x v="42"/>
    <x v="64"/>
    <x v="3"/>
    <d v="1900-01-03T21:32:44"/>
    <n v="114679.73432747681"/>
    <d v="1899-12-30T11:04:19"/>
    <n v="40123.543938000163"/>
    <n v="12213.390288719333"/>
    <m/>
    <x v="5"/>
    <x v="1"/>
    <s v="N"/>
    <x v="2"/>
    <s v="-"/>
    <n v="39859.424940550824"/>
    <s v="Y"/>
    <m/>
    <m/>
  </r>
  <r>
    <x v="0"/>
    <x v="42"/>
    <x v="64"/>
    <x v="3"/>
    <d v="1899-12-31T17:29:10"/>
    <n v="9238.0571148275249"/>
    <d v="1899-12-30T03:13:31"/>
    <n v="1164.5036917983086"/>
    <n v="342.67067643277204"/>
    <m/>
    <x v="5"/>
    <x v="1"/>
    <s v="N"/>
    <x v="2"/>
    <s v="-"/>
    <n v="11611.293248637989"/>
    <s v="Y"/>
    <m/>
    <m/>
  </r>
  <r>
    <x v="0"/>
    <x v="42"/>
    <x v="64"/>
    <x v="3"/>
    <d v="1899-12-31T01:55:29"/>
    <n v="22709.93966752067"/>
    <d v="1899-12-30T02:21:33"/>
    <n v="417.7127374436572"/>
    <n v="126.11110323513685"/>
    <m/>
    <x v="5"/>
    <x v="1"/>
    <s v="N"/>
    <x v="2"/>
    <s v="-"/>
    <n v="8492.86287382099"/>
    <s v="Y"/>
    <m/>
    <m/>
  </r>
  <r>
    <x v="0"/>
    <x v="42"/>
    <x v="64"/>
    <x v="3"/>
    <d v="1900-01-01T14:03:20"/>
    <n v="51133.896467913924"/>
    <d v="1899-12-30T07:43:52"/>
    <n v="13822.140125955942"/>
    <n v="3890.8441674142018"/>
    <m/>
    <x v="5"/>
    <x v="1"/>
    <s v="N"/>
    <x v="2"/>
    <s v="-"/>
    <n v="27832.160643319276"/>
    <s v="Y"/>
    <m/>
    <m/>
  </r>
  <r>
    <x v="0"/>
    <x v="42"/>
    <x v="64"/>
    <x v="3"/>
    <d v="1900-01-01T22:54:38"/>
    <n v="7847.2352318571848"/>
    <d v="1899-12-30T06:41:22"/>
    <n v="1542.9463077106011"/>
    <n v="446.66379112763741"/>
    <m/>
    <x v="5"/>
    <x v="1"/>
    <s v="N"/>
    <x v="2"/>
    <s v="-"/>
    <n v="24082.021279242424"/>
    <s v="Y"/>
    <m/>
    <m/>
  </r>
  <r>
    <x v="0"/>
    <x v="42"/>
    <x v="64"/>
    <x v="3"/>
    <d v="1899-12-30T09:23:37"/>
    <n v="1540.8124781926354"/>
    <d v="1899-12-30T00:55:51"/>
    <n v="38.811727934780336"/>
    <n v="11.787150957740764"/>
    <m/>
    <x v="5"/>
    <x v="1"/>
    <s v="N"/>
    <x v="2"/>
    <s v="-"/>
    <n v="3351.2243666603949"/>
    <s v="Y"/>
    <m/>
    <m/>
  </r>
  <r>
    <x v="0"/>
    <x v="42"/>
    <x v="64"/>
    <x v="3"/>
    <d v="1900-01-01T09:34:46"/>
    <n v="4530.2730361278473"/>
    <d v="1899-12-30T05:55:12"/>
    <n v="1302.0140778222249"/>
    <n v="396.3769892960492"/>
    <m/>
    <x v="5"/>
    <x v="1"/>
    <s v="N"/>
    <x v="2"/>
    <s v="-"/>
    <n v="21312.048741991595"/>
    <s v="Y"/>
    <m/>
    <m/>
  </r>
  <r>
    <x v="0"/>
    <x v="42"/>
    <x v="64"/>
    <x v="3"/>
    <d v="1899-12-30T00:37:48"/>
    <n v="0"/>
    <d v="1899-12-30T00:05:00"/>
    <n v="0"/>
    <n v="0"/>
    <m/>
    <x v="5"/>
    <x v="1"/>
    <s v="N"/>
    <x v="2"/>
    <s v="-"/>
    <n v="300.00620266736195"/>
    <s v="Y"/>
    <m/>
    <m/>
  </r>
  <r>
    <x v="0"/>
    <x v="42"/>
    <x v="64"/>
    <x v="3"/>
    <d v="1899-12-31T15:32:01"/>
    <n v="27353.675739176535"/>
    <d v="1899-12-30T03:35:57"/>
    <n v="3039.8008752405517"/>
    <n v="914.37318096791728"/>
    <m/>
    <x v="5"/>
    <x v="1"/>
    <s v="N"/>
    <x v="2"/>
    <s v="-"/>
    <n v="12957.161826815882"/>
    <s v="Y"/>
    <m/>
    <m/>
  </r>
  <r>
    <x v="0"/>
    <x v="42"/>
    <x v="64"/>
    <x v="3"/>
    <d v="1900-01-04T16:04:52"/>
    <n v="110071.0630640742"/>
    <d v="1899-12-30T12:47:45"/>
    <n v="36576.082978766994"/>
    <n v="10973.585241337074"/>
    <m/>
    <x v="5"/>
    <x v="1"/>
    <s v="N"/>
    <x v="2"/>
    <s v="-"/>
    <n v="46064.984827178494"/>
    <s v="Y"/>
    <m/>
    <m/>
  </r>
  <r>
    <x v="0"/>
    <x v="42"/>
    <x v="64"/>
    <x v="3"/>
    <d v="1899-12-30T22:12:17"/>
    <n v="9767.8239328787786"/>
    <d v="1899-12-30T01:30:48"/>
    <n v="1593.8279887878125"/>
    <n v="451.19779724977468"/>
    <m/>
    <x v="5"/>
    <x v="1"/>
    <s v="N"/>
    <x v="2"/>
    <s v="-"/>
    <n v="5447.8490340184217"/>
    <s v="Y"/>
    <m/>
    <m/>
  </r>
  <r>
    <x v="0"/>
    <x v="42"/>
    <x v="64"/>
    <x v="3"/>
    <d v="1899-12-31T03:44:00"/>
    <n v="14206.020335032201"/>
    <d v="1899-12-30T02:50:30"/>
    <n v="1625.227256865116"/>
    <n v="500.49359953296869"/>
    <m/>
    <x v="5"/>
    <x v="1"/>
    <s v="N"/>
    <x v="2"/>
    <s v="-"/>
    <n v="10229.726131923149"/>
    <s v="Y"/>
    <m/>
    <m/>
  </r>
  <r>
    <x v="0"/>
    <x v="42"/>
    <x v="64"/>
    <x v="3"/>
    <d v="1900-01-01T23:03:36"/>
    <n v="66026.295768784068"/>
    <d v="1899-12-30T08:19:02"/>
    <n v="19190.475156161283"/>
    <n v="5554.6790616961989"/>
    <m/>
    <x v="5"/>
    <x v="1"/>
    <s v="N"/>
    <x v="2"/>
    <s v="-"/>
    <n v="29941.544168618679"/>
    <s v="Y"/>
    <m/>
    <m/>
  </r>
  <r>
    <x v="0"/>
    <x v="42"/>
    <x v="64"/>
    <x v="3"/>
    <d v="1900-01-01T12:50:32"/>
    <n v="17415.103034815384"/>
    <d v="1899-12-30T05:40:41"/>
    <n v="3687.0404507455601"/>
    <n v="1087.9224651940449"/>
    <m/>
    <x v="5"/>
    <x v="1"/>
    <s v="N"/>
    <x v="2"/>
    <s v="-"/>
    <n v="20441.319020177998"/>
    <s v="Y"/>
    <m/>
    <m/>
  </r>
  <r>
    <x v="0"/>
    <x v="42"/>
    <x v="64"/>
    <x v="3"/>
    <d v="1899-12-30T01:24:03"/>
    <n v="3151.2801366544236"/>
    <d v="1899-12-30T00:07:18"/>
    <n v="47.099739657050613"/>
    <n v="14.407427198765884"/>
    <m/>
    <x v="5"/>
    <x v="1"/>
    <s v="N"/>
    <x v="2"/>
    <s v="-"/>
    <n v="437.63982055638166"/>
    <s v="Y"/>
    <m/>
    <m/>
  </r>
  <r>
    <x v="0"/>
    <x v="42"/>
    <x v="64"/>
    <x v="3"/>
    <d v="1899-12-30T22:14:21"/>
    <n v="3790.1401245833185"/>
    <d v="1899-12-30T02:04:36"/>
    <n v="1386.5150349110754"/>
    <n v="417.17794097679615"/>
    <m/>
    <x v="5"/>
    <x v="1"/>
    <s v="N"/>
    <x v="2"/>
    <s v="-"/>
    <n v="7476.0093048188128"/>
    <s v="Y"/>
    <m/>
    <m/>
  </r>
  <r>
    <x v="0"/>
    <x v="42"/>
    <x v="64"/>
    <x v="3"/>
    <d v="1899-12-30T01:44:44"/>
    <n v="57.802563128772597"/>
    <d v="1899-12-30T00:09:43"/>
    <n v="8.4531524402618263"/>
    <n v="2.6949887823642182"/>
    <m/>
    <x v="5"/>
    <x v="1"/>
    <s v="N"/>
    <x v="2"/>
    <s v="-"/>
    <n v="582.71960464440212"/>
    <s v="Y"/>
    <m/>
    <m/>
  </r>
  <r>
    <x v="0"/>
    <x v="42"/>
    <x v="64"/>
    <x v="3"/>
    <d v="1899-12-30T03:48:02"/>
    <n v="14439.8895054512"/>
    <d v="1899-12-30T00:18:36"/>
    <n v="458.4104125554307"/>
    <n v="136.35955180418503"/>
    <m/>
    <x v="5"/>
    <x v="1"/>
    <s v="N"/>
    <x v="2"/>
    <s v="-"/>
    <n v="1115.6012163384828"/>
    <s v="Y"/>
    <m/>
    <m/>
  </r>
  <r>
    <x v="0"/>
    <x v="42"/>
    <x v="64"/>
    <x v="3"/>
    <d v="1899-12-31T05:57:19"/>
    <n v="20924.430941923456"/>
    <d v="1899-12-30T02:41:59"/>
    <n v="7944.1035712802068"/>
    <n v="2375.9590050480806"/>
    <m/>
    <x v="5"/>
    <x v="1"/>
    <s v="N"/>
    <x v="2"/>
    <s v="-"/>
    <n v="9719.0764830046701"/>
    <s v="Y"/>
    <m/>
    <m/>
  </r>
  <r>
    <x v="0"/>
    <x v="42"/>
    <x v="64"/>
    <x v="3"/>
    <d v="1899-12-30T22:53:20"/>
    <n v="3456.5932751006026"/>
    <d v="1899-12-30T01:57:38"/>
    <n v="916.95907380651568"/>
    <n v="275.15389224504605"/>
    <m/>
    <x v="5"/>
    <x v="1"/>
    <s v="N"/>
    <x v="2"/>
    <s v="-"/>
    <n v="7057.9532632619148"/>
    <s v="Y"/>
    <m/>
    <m/>
  </r>
  <r>
    <x v="0"/>
    <x v="42"/>
    <x v="64"/>
    <x v="3"/>
    <d v="1899-12-30T02:06:49"/>
    <n v="26859.00140392052"/>
    <d v="1899-12-30T00:09:47"/>
    <n v="525.53976988258569"/>
    <n v="152.27905981597556"/>
    <m/>
    <x v="5"/>
    <x v="1"/>
    <s v="N"/>
    <x v="2"/>
    <s v="-"/>
    <n v="586.96498010373011"/>
    <s v="Y"/>
    <m/>
    <m/>
  </r>
  <r>
    <x v="0"/>
    <x v="42"/>
    <x v="64"/>
    <x v="3"/>
    <d v="1899-12-30T23:15:50"/>
    <n v="35224.384019338009"/>
    <d v="1899-12-30T01:54:07"/>
    <n v="11037.446165088211"/>
    <n v="3329.1501627376506"/>
    <m/>
    <x v="5"/>
    <x v="1"/>
    <s v="N"/>
    <x v="2"/>
    <s v="-"/>
    <n v="6847.1249538395641"/>
    <s v="Y"/>
    <m/>
    <m/>
  </r>
  <r>
    <x v="0"/>
    <x v="42"/>
    <x v="64"/>
    <x v="3"/>
    <d v="1899-12-30T08:31:36"/>
    <n v="1306.3379267102619"/>
    <d v="1899-12-30T00:39:10"/>
    <n v="486.13465932930382"/>
    <n v="147.16646549059149"/>
    <m/>
    <x v="5"/>
    <x v="1"/>
    <s v="N"/>
    <x v="2"/>
    <s v="-"/>
    <n v="2350.1639049388914"/>
    <s v="Y"/>
    <m/>
    <m/>
  </r>
  <r>
    <x v="0"/>
    <x v="42"/>
    <x v="64"/>
    <x v="3"/>
    <d v="1899-12-30T15:30:00"/>
    <n v="100167.64843834657"/>
    <d v="1899-12-30T01:28:51"/>
    <n v="7935.7964618215183"/>
    <n v="2279.8055147322139"/>
    <m/>
    <x v="5"/>
    <x v="1"/>
    <s v="N"/>
    <x v="2"/>
    <s v="-"/>
    <n v="5331.1933678627638"/>
    <s v="Y"/>
    <m/>
    <m/>
  </r>
  <r>
    <x v="0"/>
    <x v="42"/>
    <x v="64"/>
    <x v="3"/>
    <d v="1900-01-04T23:00:00"/>
    <n v="124997.43521467182"/>
    <d v="1899-12-30T13:30:54"/>
    <n v="103766.03599428521"/>
    <n v="29803.697414251561"/>
    <m/>
    <x v="5"/>
    <x v="1"/>
    <s v="N"/>
    <x v="2"/>
    <s v="-"/>
    <n v="48653.89210752384"/>
    <s v="Y"/>
    <m/>
    <m/>
  </r>
  <r>
    <x v="0"/>
    <x v="42"/>
    <x v="64"/>
    <x v="3"/>
    <d v="1899-12-31T17:00:00"/>
    <n v="40722.473635978"/>
    <d v="1899-12-30T03:55:02"/>
    <n v="13227.599885438907"/>
    <n v="3800.0414086443175"/>
    <m/>
    <x v="5"/>
    <x v="1"/>
    <s v="N"/>
    <x v="2"/>
    <s v="-"/>
    <n v="14101.866327895061"/>
    <s v="Y"/>
    <m/>
    <m/>
  </r>
  <r>
    <x v="0"/>
    <x v="42"/>
    <x v="64"/>
    <x v="3"/>
    <d v="1899-12-30T02:00:00"/>
    <n v="18789.803384126797"/>
    <d v="1899-12-30T00:11:28"/>
    <n v="1488.6248957501909"/>
    <n v="427.65401847516307"/>
    <m/>
    <x v="5"/>
    <x v="1"/>
    <s v="N"/>
    <x v="2"/>
    <s v="-"/>
    <n v="687.89591843390542"/>
    <s v="Y"/>
    <m/>
    <m/>
  </r>
  <r>
    <x v="0"/>
    <x v="42"/>
    <x v="64"/>
    <x v="3"/>
    <d v="1899-12-30T04:00:00"/>
    <n v="4057.4671394267998"/>
    <d v="1899-12-30T00:22:56"/>
    <n v="1285.8136881925054"/>
    <n v="369.39016157511071"/>
    <m/>
    <x v="5"/>
    <x v="1"/>
    <s v="N"/>
    <x v="2"/>
    <s v="-"/>
    <n v="1375.7918368678104"/>
    <s v="Y"/>
    <m/>
    <m/>
  </r>
  <r>
    <x v="0"/>
    <x v="42"/>
    <x v="64"/>
    <x v="3"/>
    <d v="1899-12-30T14:00:00"/>
    <n v="92434.339547588461"/>
    <d v="1899-12-30T01:20:15"/>
    <n v="7323.1239443946515"/>
    <n v="2103.7961890552774"/>
    <m/>
    <x v="5"/>
    <x v="1"/>
    <s v="N"/>
    <x v="2"/>
    <s v="-"/>
    <n v="4815.2714290373351"/>
    <s v="Y"/>
    <m/>
    <m/>
  </r>
  <r>
    <x v="0"/>
    <x v="42"/>
    <x v="64"/>
    <x v="3"/>
    <d v="1900-01-04T21:00:00"/>
    <n v="119936.60323253338"/>
    <d v="1899-12-30T13:19:26"/>
    <n v="101932.38042352955"/>
    <n v="29276.945266183451"/>
    <m/>
    <x v="5"/>
    <x v="1"/>
    <s v="N"/>
    <x v="2"/>
    <s v="-"/>
    <n v="47965.996189089936"/>
    <s v="Y"/>
    <m/>
    <m/>
  </r>
  <r>
    <x v="0"/>
    <x v="42"/>
    <x v="64"/>
    <x v="3"/>
    <d v="1899-12-31T09:55:00"/>
    <n v="74717.284833793907"/>
    <d v="1899-12-30T03:14:26"/>
    <n v="24853.561101000938"/>
    <n v="7139.9620606940834"/>
    <m/>
    <x v="5"/>
    <x v="1"/>
    <s v="N"/>
    <x v="2"/>
    <s v="-"/>
    <n v="11665.568283441644"/>
    <s v="Y"/>
    <m/>
    <m/>
  </r>
  <r>
    <x v="0"/>
    <x v="42"/>
    <x v="64"/>
    <x v="3"/>
    <d v="1900-01-05T01:07:00"/>
    <n v="690794"/>
    <d v="1899-12-30T13:27:47"/>
    <n v="585239.67433398392"/>
    <n v="172300.36563112237"/>
    <m/>
    <x v="5"/>
    <x v="1"/>
    <s v="N"/>
    <x v="2"/>
    <s v="-"/>
    <n v="48466.727172845545"/>
    <s v="Y"/>
    <m/>
    <m/>
  </r>
  <r>
    <x v="0"/>
    <x v="42"/>
    <x v="64"/>
    <x v="3"/>
    <d v="1899-12-30T00:14:00"/>
    <n v="100425.097206762"/>
    <d v="1899-12-30T00:01:09"/>
    <n v="3196.8972510036747"/>
    <n v="976.53421304600772"/>
    <m/>
    <x v="5"/>
    <x v="1"/>
    <s v="N"/>
    <x v="2"/>
    <s v="-"/>
    <n v="69.101283880171209"/>
    <s v="Y"/>
    <m/>
    <m/>
  </r>
  <r>
    <x v="0"/>
    <x v="42"/>
    <x v="64"/>
    <x v="3"/>
    <d v="1900-01-02T20:12:00"/>
    <n v="2191622.0682643703"/>
    <d v="1899-12-30T08:36:28"/>
    <n v="1691091.6639073766"/>
    <n v="503272.78831698926"/>
    <m/>
    <x v="5"/>
    <x v="1"/>
    <s v="N"/>
    <x v="2"/>
    <s v="-"/>
    <n v="30987.7195729497"/>
    <s v="Y"/>
    <m/>
    <m/>
  </r>
  <r>
    <x v="0"/>
    <x v="42"/>
    <x v="64"/>
    <x v="3"/>
    <d v="1899-12-30T00:53:00"/>
    <n v="15527.30015929921"/>
    <d v="1899-12-30T00:04:22"/>
    <n v="936.03689406051478"/>
    <n v="285.92475139338262"/>
    <m/>
    <x v="5"/>
    <x v="1"/>
    <s v="N"/>
    <x v="2"/>
    <s v="-"/>
    <n v="261.59771754636245"/>
    <s v="Y"/>
    <m/>
    <m/>
  </r>
  <r>
    <x v="0"/>
    <x v="42"/>
    <x v="64"/>
    <x v="3"/>
    <d v="1900-01-01T10:34:00"/>
    <n v="1243098.5040136001"/>
    <d v="1899-12-30T05:23:42"/>
    <n v="769061.57790154917"/>
    <n v="220812.90001603178"/>
    <m/>
    <x v="5"/>
    <x v="1"/>
    <s v="N"/>
    <x v="2"/>
    <s v="-"/>
    <n v="19422.313569471611"/>
    <s v="Y"/>
    <m/>
    <m/>
  </r>
  <r>
    <x v="0"/>
    <x v="42"/>
    <x v="64"/>
    <x v="3"/>
    <d v="1900-01-05T01:07:00"/>
    <n v="79104.325952857427"/>
    <d v="1899-12-30T13:27:47"/>
    <n v="65010.488448191703"/>
    <n v="19134.262301868876"/>
    <m/>
    <x v="5"/>
    <x v="1"/>
    <s v="N"/>
    <x v="2"/>
    <s v="-"/>
    <n v="48466.727172845545"/>
    <s v="Y"/>
    <m/>
    <m/>
  </r>
  <r>
    <x v="0"/>
    <x v="42"/>
    <x v="64"/>
    <x v="3"/>
    <d v="1899-12-30T00:33:00"/>
    <n v="1887.63256838539"/>
    <d v="1899-12-30T00:02:43"/>
    <n v="141.64126064993815"/>
    <n v="43.266181595359868"/>
    <m/>
    <x v="5"/>
    <x v="1"/>
    <s v="N"/>
    <x v="2"/>
    <s v="-"/>
    <n v="162.88159771754644"/>
    <s v="Y"/>
    <m/>
    <m/>
  </r>
  <r>
    <x v="0"/>
    <x v="42"/>
    <x v="64"/>
    <x v="3"/>
    <d v="1900-01-02T09:18:00"/>
    <n v="30332.315742201434"/>
    <d v="1899-12-30T07:34:00"/>
    <n v="17672.009973546501"/>
    <n v="5218.0931874560874"/>
    <m/>
    <x v="5"/>
    <x v="1"/>
    <s v="N"/>
    <x v="2"/>
    <s v="-"/>
    <n v="27239.613677123867"/>
    <s v="Y"/>
    <m/>
    <m/>
  </r>
  <r>
    <x v="0"/>
    <x v="42"/>
    <x v="64"/>
    <x v="3"/>
    <d v="1899-12-31T17:46:00"/>
    <n v="281848.50792294071"/>
    <d v="1899-12-30T03:51:43"/>
    <n v="31644.790384320117"/>
    <n v="9123.5069701496705"/>
    <m/>
    <x v="5"/>
    <x v="1"/>
    <s v="N"/>
    <x v="2"/>
    <s v="-"/>
    <n v="13903.308625513771"/>
    <s v="Y"/>
    <m/>
    <m/>
  </r>
  <r>
    <x v="0"/>
    <x v="42"/>
    <x v="64"/>
    <x v="3"/>
    <d v="1899-12-30T07:11:00"/>
    <n v="27700.108658906782"/>
    <d v="1899-12-30T00:32:15"/>
    <n v="9658.0103790211888"/>
    <n v="2723.6554507876344"/>
    <m/>
    <x v="5"/>
    <x v="1"/>
    <s v="N"/>
    <x v="2"/>
    <s v="-"/>
    <n v="1934.9472621961868"/>
    <s v="Y"/>
    <m/>
    <m/>
  </r>
  <r>
    <x v="0"/>
    <x v="42"/>
    <x v="64"/>
    <x v="3"/>
    <d v="1900-01-02T09:40:00"/>
    <n v="235169.02901953208"/>
    <d v="1899-12-30T07:26:49"/>
    <n v="61472.798368519347"/>
    <n v="17843.127134199589"/>
    <m/>
    <x v="5"/>
    <x v="1"/>
    <s v="N"/>
    <x v="2"/>
    <s v="-"/>
    <n v="26808.944494296407"/>
    <s v="Y"/>
    <m/>
    <m/>
  </r>
  <r>
    <x v="0"/>
    <x v="42"/>
    <x v="64"/>
    <x v="3"/>
    <d v="1900-01-01T20:30:00"/>
    <n v="32656.146398115216"/>
    <d v="1899-12-30T06:10:51"/>
    <n v="3713.87308043234"/>
    <n v="1083.8218455700369"/>
    <m/>
    <x v="5"/>
    <x v="1"/>
    <s v="N"/>
    <x v="2"/>
    <s v="-"/>
    <n v="22250.596664249795"/>
    <s v="Y"/>
    <m/>
    <m/>
  </r>
  <r>
    <x v="0"/>
    <x v="42"/>
    <x v="64"/>
    <x v="3"/>
    <d v="1900-01-05T00:50:00"/>
    <n v="17283.316468844401"/>
    <d v="1899-12-30T13:39:56"/>
    <n v="26113.560158407443"/>
    <n v="7500.0955495829094"/>
    <m/>
    <x v="5"/>
    <x v="1"/>
    <s v="N"/>
    <x v="2"/>
    <s v="-"/>
    <n v="49196.019022671549"/>
    <s v="Y"/>
    <m/>
    <m/>
  </r>
  <r>
    <x v="0"/>
    <x v="42"/>
    <x v="64"/>
    <x v="3"/>
    <d v="1899-12-30T05:00:00"/>
    <n v="2463.5155816451261"/>
    <d v="1899-12-30T00:22:46"/>
    <n v="251.65223593247816"/>
    <n v="71.960017414474962"/>
    <m/>
    <x v="5"/>
    <x v="1"/>
    <s v="N"/>
    <x v="2"/>
    <s v="-"/>
    <n v="1365.9624224178451"/>
    <s v="Y"/>
    <m/>
    <m/>
  </r>
  <r>
    <x v="0"/>
    <x v="42"/>
    <x v="64"/>
    <x v="3"/>
    <d v="1900-01-01T17:30:00"/>
    <n v="7607.4715202691086"/>
    <d v="1899-12-30T06:15:29"/>
    <n v="11279.156770085898"/>
    <n v="3240.2902379969532"/>
    <m/>
    <x v="5"/>
    <x v="1"/>
    <s v="N"/>
    <x v="2"/>
    <s v="-"/>
    <n v="22528.591328710409"/>
    <s v="Y"/>
    <m/>
    <m/>
  </r>
  <r>
    <x v="0"/>
    <x v="42"/>
    <x v="64"/>
    <x v="3"/>
    <d v="1900-01-04T13:15:00"/>
    <n v="24324.277029210109"/>
    <d v="1899-12-30T12:34:04"/>
    <n v="22043.247791575832"/>
    <n v="6331.6988369182282"/>
    <m/>
    <x v="5"/>
    <x v="1"/>
    <s v="N"/>
    <x v="2"/>
    <s v="-"/>
    <n v="45244.227433517568"/>
    <s v="Y"/>
    <m/>
    <m/>
  </r>
  <r>
    <x v="0"/>
    <x v="42"/>
    <x v="64"/>
    <x v="3"/>
    <d v="1899-12-31T23:00:00"/>
    <n v="8970.1744385242328"/>
    <d v="1899-12-30T04:29:26"/>
    <n v="2554.5830164000572"/>
    <n v="733.88379813528161"/>
    <m/>
    <x v="5"/>
    <x v="1"/>
    <s v="N"/>
    <x v="2"/>
    <s v="-"/>
    <n v="16165.554083196781"/>
    <s v="Y"/>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
  <r>
    <s v="US Open 2020"/>
    <x v="0"/>
    <x v="0"/>
    <d v="1899-12-30T00:14:22"/>
    <n v="1.57"/>
    <d v="1900-05-16T00:18:33"/>
    <n v="218915169.17835999"/>
    <n v="53929976.191685766"/>
    <n v="862.18324325184847"/>
    <x v="0"/>
    <x v="0"/>
    <s v="Event"/>
    <n v="11837913.400176108"/>
    <s v="N"/>
    <x v="0"/>
  </r>
  <r>
    <s v="US Open 2020"/>
    <x v="0"/>
    <x v="1"/>
    <d v="1899-12-30T00:04:36"/>
    <n v="2.19"/>
    <d v="1900-01-29T14:22:49"/>
    <n v="34917767.731471993"/>
    <n v="11454006.297514198"/>
    <n v="276.19664075391802"/>
    <x v="0"/>
    <x v="0"/>
    <s v="Event"/>
    <n v="2643768.5154562755"/>
    <s v="N"/>
    <x v="0"/>
  </r>
  <r>
    <s v="US Open 2020"/>
    <x v="0"/>
    <x v="2"/>
    <d v="1899-12-30T00:00:18"/>
    <n v="1.08"/>
    <d v="1900-01-01T08:38:48"/>
    <n v="2810335.2426090906"/>
    <n v="509292.36445341771"/>
    <n v="17.871953254953944"/>
    <x v="0"/>
    <x v="0"/>
    <s v="Event"/>
    <n v="203927.89779349466"/>
    <s v="N"/>
    <x v="0"/>
  </r>
  <r>
    <s v="US Open 2020"/>
    <x v="0"/>
    <x v="3"/>
    <d v="1899-12-30T00:00:15"/>
    <n v="0.82"/>
    <d v="1900-01-01T03:53:59"/>
    <n v="2992481.8276811522"/>
    <n v="440178.27938479272"/>
    <n v="14.739111507139219"/>
    <x v="0"/>
    <x v="0"/>
    <s v="Event"/>
    <n v="186838.84035551854"/>
    <s v="Y"/>
    <x v="0"/>
  </r>
  <r>
    <s v="US Open 2020"/>
    <x v="0"/>
    <x v="4"/>
    <d v="1899-12-30T00:00:24"/>
    <n v="1.93"/>
    <d v="1900-01-02T10:30:32"/>
    <n v="4094074.0701990412"/>
    <n v="1203006.1766627075"/>
    <n v="24.379478564930633"/>
    <x v="1"/>
    <x v="0"/>
    <s v="Event"/>
    <n v="297031.86698313471"/>
    <s v="Y"/>
    <x v="0"/>
  </r>
  <r>
    <s v="US Open 2020"/>
    <x v="0"/>
    <x v="5"/>
    <d v="1899-12-30T00:00:17"/>
    <n v="1.2"/>
    <d v="1899-12-31T20:46:40"/>
    <n v="2196635.4063314856"/>
    <n v="434558.2006341556"/>
    <n v="17.325628479328678"/>
    <x v="1"/>
    <x v="0"/>
    <s v="Event"/>
    <n v="161200.1644004781"/>
    <s v="N"/>
    <x v="0"/>
  </r>
  <r>
    <s v="US Open 2020"/>
    <x v="0"/>
    <x v="6"/>
    <d v="1899-12-30T00:02:32"/>
    <n v="1.5"/>
    <d v="1900-01-15T00:04:15"/>
    <n v="18307011.605729584"/>
    <n v="4332976.7348905001"/>
    <n v="151.99049252970727"/>
    <x v="1"/>
    <x v="0"/>
    <s v="Event"/>
    <n v="1382654.5129524779"/>
    <s v="N"/>
    <x v="0"/>
  </r>
  <r>
    <s v="US Open 2020"/>
    <x v="0"/>
    <x v="7"/>
    <d v="1899-12-30T00:00:57"/>
    <n v="1.24"/>
    <d v="1900-01-06T07:01:08"/>
    <n v="8594239.1801793892"/>
    <n v="1749447.5348272417"/>
    <n v="56.944038701631698"/>
    <x v="0"/>
    <x v="0"/>
    <s v="Event"/>
    <n v="630068.46775511641"/>
    <s v="N"/>
    <x v="0"/>
  </r>
  <r>
    <s v="US Open 2020"/>
    <x v="0"/>
    <x v="8"/>
    <d v="1899-12-30T00:00:04"/>
    <n v="1.58"/>
    <d v="1899-12-30T09:34:12"/>
    <n v="455387.61988211045"/>
    <n v="113002.08915992308"/>
    <n v="3.9370871778543348"/>
    <x v="0"/>
    <x v="0"/>
    <s v="Event"/>
    <n v="34452.377037147322"/>
    <s v="Y"/>
    <x v="0"/>
  </r>
  <r>
    <s v="US Open 2020"/>
    <x v="0"/>
    <x v="9"/>
    <d v="1899-12-30T00:00:19"/>
    <n v="0.86"/>
    <d v="1900-01-01T20:29:06"/>
    <n v="4156150.8267804841"/>
    <n v="636990.38316430687"/>
    <n v="19.142419889073555"/>
    <x v="0"/>
    <x v="0"/>
    <s v="Event"/>
    <n v="246545.98804522702"/>
    <s v="Y"/>
    <x v="0"/>
  </r>
  <r>
    <s v="US Open 2020"/>
    <x v="1"/>
    <x v="10"/>
    <d v="1899-12-30T00:01:22"/>
    <n v="1.2"/>
    <d v="1900-01-10T07:45:49"/>
    <n v="15978759.452830767"/>
    <n v="3161942.316844068"/>
    <n v="82.280978550521155"/>
    <x v="0"/>
    <x v="0"/>
    <s v="Event"/>
    <n v="978349.17619164172"/>
    <s v="N"/>
    <x v="0"/>
  </r>
  <r>
    <s v="US Open 2020"/>
    <x v="1"/>
    <x v="3"/>
    <d v="1899-12-30T00:00:11"/>
    <n v="0.9"/>
    <d v="1899-12-31T15:09:15"/>
    <n v="2174575.8333094725"/>
    <n v="344116.14706813445"/>
    <n v="11.100796708724504"/>
    <x v="0"/>
    <x v="0"/>
    <s v="Event"/>
    <n v="140955.13524109728"/>
    <s v="Y"/>
    <x v="0"/>
  </r>
  <r>
    <s v="US Open 2020"/>
    <x v="1"/>
    <x v="7"/>
    <d v="1899-12-30T00:01:35"/>
    <n v="1.4"/>
    <d v="1900-01-14T16:00:03"/>
    <n v="22024398.503474601"/>
    <n v="4917906.6794883776"/>
    <n v="95.059898435723369"/>
    <x v="0"/>
    <x v="0"/>
    <s v="Event"/>
    <n v="1353602.9416559127"/>
    <s v="N"/>
    <x v="0"/>
  </r>
  <r>
    <s v="US Open 2020"/>
    <x v="1"/>
    <x v="9"/>
    <d v="1899-12-30T00:00:06"/>
    <n v="0.65"/>
    <d v="1899-12-30T17:01:00"/>
    <n v="854783.64793437172"/>
    <n v="106342.41742210004"/>
    <n v="6.3873323903899415"/>
    <x v="0"/>
    <x v="0"/>
    <s v="Event"/>
    <n v="61260.273320026885"/>
    <s v="Y"/>
    <x v="0"/>
  </r>
  <r>
    <s v="US Open 2020"/>
    <x v="2"/>
    <x v="11"/>
    <d v="1899-12-30T00:02:08"/>
    <n v="1.46"/>
    <d v="1900-01-11T17:12:07"/>
    <n v="14503901.270454137"/>
    <n v="3372912.5644986127"/>
    <n v="128.46777085857576"/>
    <x v="0"/>
    <x v="0"/>
    <s v="Event"/>
    <n v="1098726.9622855284"/>
    <s v="N"/>
    <x v="0"/>
  </r>
  <r>
    <s v="US Open 2020"/>
    <x v="2"/>
    <x v="12"/>
    <d v="1899-12-30T00:01:30"/>
    <n v="2.58"/>
    <d v="1900-01-09T03:39:19"/>
    <n v="11609745.943843387"/>
    <n v="4412426.8075608034"/>
    <n v="90.172713926615515"/>
    <x v="0"/>
    <x v="0"/>
    <s v="Event"/>
    <n v="877159.33287708787"/>
    <s v="N"/>
    <x v="0"/>
  </r>
  <r>
    <s v="US Open 2020"/>
    <x v="3"/>
    <x v="13"/>
    <d v="1899-12-30T00:18:22"/>
    <n v="1.29"/>
    <d v="1900-07-02T20:22:14"/>
    <n v="261865793.14858881"/>
    <n v="54745055.931186892"/>
    <n v="1101.546611265054"/>
    <x v="2"/>
    <x v="1"/>
    <s v="-"/>
    <n v="15970933.879655357"/>
    <s v="N"/>
    <x v="0"/>
  </r>
  <r>
    <s v="US Open 2020"/>
    <x v="4"/>
    <x v="14"/>
    <d v="1899-12-30T00:11:05"/>
    <n v="1.74"/>
    <d v="1900-04-21T09:41:23"/>
    <n v="144194948.04247177"/>
    <n v="38753846.708821394"/>
    <n v="664.54814894863568"/>
    <x v="0"/>
    <x v="0"/>
    <s v="Event"/>
    <n v="9711683.3895501494"/>
    <s v="N"/>
    <x v="0"/>
  </r>
  <r>
    <s v="US Open 2020"/>
    <x v="4"/>
    <x v="15"/>
    <d v="1899-12-30T00:02:13"/>
    <n v="1.47"/>
    <d v="1900-01-20T13:41:09"/>
    <n v="31864031.261170916"/>
    <n v="7448293.8048719047"/>
    <n v="132.62552373095139"/>
    <x v="0"/>
    <x v="0"/>
    <s v="Event"/>
    <n v="1863669.4798067908"/>
    <s v="N"/>
    <x v="0"/>
  </r>
  <r>
    <s v="US Open 2020"/>
    <x v="4"/>
    <x v="3"/>
    <d v="1899-12-30T00:00:11"/>
    <n v="0.89"/>
    <d v="1899-12-31T15:05:14"/>
    <n v="2259083.1533966921"/>
    <n v="354163.61701014981"/>
    <n v="10.695320324376041"/>
    <x v="0"/>
    <x v="0"/>
    <s v="Event"/>
    <n v="140714.46136696494"/>
    <s v="Y"/>
    <x v="0"/>
  </r>
  <r>
    <s v="US Open 2020"/>
    <x v="4"/>
    <x v="16"/>
    <d v="1899-12-30T00:00:21"/>
    <n v="1.54"/>
    <d v="1900-01-02T09:48:41"/>
    <n v="4856074.1906662742"/>
    <n v="1180679.3220282216"/>
    <n v="20.959194632324557"/>
    <x v="1"/>
    <x v="0"/>
    <s v="Event"/>
    <n v="294521.07150079246"/>
    <s v="N"/>
    <x v="0"/>
  </r>
  <r>
    <s v="US Open 2020"/>
    <x v="4"/>
    <x v="8"/>
    <d v="1899-12-30T00:00:16"/>
    <n v="1.08"/>
    <d v="1899-12-31T19:05:08"/>
    <n v="2043527.2027651975"/>
    <n v="370299.56554898614"/>
    <n v="15.696893425372744"/>
    <x v="0"/>
    <x v="0"/>
    <s v="Event"/>
    <n v="155108.08497914218"/>
    <s v="Y"/>
    <x v="0"/>
  </r>
  <r>
    <s v="US Open 2020"/>
    <x v="4"/>
    <x v="9"/>
    <d v="1899-12-30T00:00:20"/>
    <n v="0.91"/>
    <d v="1900-01-02T00:11:39"/>
    <n v="4245217.4149124715"/>
    <n v="676663.43971223535"/>
    <n v="19.856583699464906"/>
    <x v="0"/>
    <x v="0"/>
    <s v="Event"/>
    <n v="259898.82514696784"/>
    <s v="Y"/>
    <x v="0"/>
  </r>
  <r>
    <s v="US Open 2020"/>
    <x v="5"/>
    <x v="10"/>
    <d v="1899-12-30T00:01:41"/>
    <n v="1.23"/>
    <d v="1900-01-13T15:35:46"/>
    <n v="21606607.298510261"/>
    <n v="4366975.1210307535"/>
    <n v="100.6963441047948"/>
    <x v="0"/>
    <x v="0"/>
    <s v="Event"/>
    <n v="1265746.4441924908"/>
    <s v="N"/>
    <x v="0"/>
  </r>
  <r>
    <s v="US Open 2020"/>
    <x v="5"/>
    <x v="3"/>
    <d v="1899-12-30T00:00:31"/>
    <n v="1.31"/>
    <d v="1900-01-03T17:48:42"/>
    <n v="6814295.5419811113"/>
    <n v="1450165.2091128945"/>
    <n v="31.212877151504266"/>
    <x v="0"/>
    <x v="0"/>
    <s v="Event"/>
    <n v="409722.3432822043"/>
    <s v="Y"/>
    <x v="0"/>
  </r>
  <r>
    <s v="US Open 2020"/>
    <x v="5"/>
    <x v="7"/>
    <d v="1899-12-30T00:03:22"/>
    <n v="1.32"/>
    <d v="1900-02-01T08:56:19"/>
    <n v="45956708.439857252"/>
    <n v="9793486.0967116747"/>
    <n v="201.9820172474428"/>
    <x v="0"/>
    <x v="0"/>
    <s v="Event"/>
    <n v="2883379.3629890396"/>
    <s v="N"/>
    <x v="0"/>
  </r>
  <r>
    <s v="US Open 2020"/>
    <x v="5"/>
    <x v="9"/>
    <d v="1899-12-30T00:00:03"/>
    <n v="0.71"/>
    <d v="1899-12-30T09:03:03"/>
    <n v="451515.02112662664"/>
    <n v="59896.071510599577"/>
    <n v="3.2218367137649553"/>
    <x v="0"/>
    <x v="0"/>
    <s v="Event"/>
    <n v="32582.653055237821"/>
    <s v="Y"/>
    <x v="0"/>
  </r>
  <r>
    <s v="US Open 2020"/>
    <x v="6"/>
    <x v="10"/>
    <d v="1899-12-30T00:01:32"/>
    <n v="1.23"/>
    <d v="1900-01-12T02:30:24"/>
    <n v="19069124.760140505"/>
    <n v="3827245.1526107262"/>
    <n v="92.308024839551905"/>
    <x v="0"/>
    <x v="0"/>
    <s v="Event"/>
    <n v="1132223.7710481563"/>
    <s v="N"/>
    <x v="0"/>
  </r>
  <r>
    <s v="US Open 2020"/>
    <x v="6"/>
    <x v="3"/>
    <d v="1899-12-30T00:00:30"/>
    <n v="1.1399999999999999"/>
    <d v="1900-01-03T12:20:42"/>
    <n v="6587104.5682003591"/>
    <n v="1245297.1634710357"/>
    <n v="29.637407966090361"/>
    <x v="0"/>
    <x v="0"/>
    <s v="Event"/>
    <n v="390042.45716127963"/>
    <s v="Y"/>
    <x v="0"/>
  </r>
  <r>
    <s v="US Open 2020"/>
    <x v="6"/>
    <x v="7"/>
    <d v="1899-12-30T00:01:51"/>
    <n v="1.1499999999999999"/>
    <d v="1900-01-17T11:55:08"/>
    <n v="23757334.598860551"/>
    <n v="4546059.7991578653"/>
    <n v="110.73590431447229"/>
    <x v="0"/>
    <x v="0"/>
    <s v="Event"/>
    <n v="1598108.0885345319"/>
    <s v="N"/>
    <x v="0"/>
  </r>
  <r>
    <s v="US Open 2020"/>
    <x v="6"/>
    <x v="9"/>
    <d v="1899-12-30T00:00:06"/>
    <n v="0.41"/>
    <d v="1899-12-30T14:11:03"/>
    <n v="674637.02019196027"/>
    <n v="63164.200588035354"/>
    <n v="5.5566859351579918"/>
    <x v="0"/>
    <x v="0"/>
    <s v="Event"/>
    <n v="51062.745562641489"/>
    <s v="Y"/>
    <x v="0"/>
  </r>
  <r>
    <s v="US Open 2020"/>
    <x v="7"/>
    <x v="0"/>
    <d v="1899-12-30T00:29:16"/>
    <n v="1.73"/>
    <d v="1900-01-28T14:00:50"/>
    <n v="36679801.420261428"/>
    <n v="9811806.4364315029"/>
    <n v="1756.2522675841972"/>
    <x v="0"/>
    <x v="0"/>
    <s v="Event"/>
    <n v="2556049.5502420408"/>
    <s v="N"/>
    <x v="0"/>
  </r>
  <r>
    <s v="US Open 2020"/>
    <x v="7"/>
    <x v="14"/>
    <d v="1899-12-30T00:24:04"/>
    <n v="1.69"/>
    <d v="1900-08-02T04:22:37"/>
    <n v="324669851.62547034"/>
    <n v="85329069.260371208"/>
    <n v="1443.5084540595842"/>
    <x v="0"/>
    <x v="0"/>
    <s v="Event"/>
    <n v="18591756.952364225"/>
    <s v="N"/>
    <x v="0"/>
  </r>
  <r>
    <s v="US Open 2020"/>
    <x v="7"/>
    <x v="17"/>
    <d v="1899-12-30T00:00:05"/>
    <n v="1.4"/>
    <d v="1899-12-30T14:54:43"/>
    <n v="870124.90435062721"/>
    <n v="194370.06851917176"/>
    <n v="4.696481818534413"/>
    <x v="0"/>
    <x v="0"/>
    <s v="Event"/>
    <n v="53682.651428214645"/>
    <s v="N"/>
    <x v="0"/>
  </r>
  <r>
    <s v="US Open 2020"/>
    <x v="7"/>
    <x v="18"/>
    <d v="1899-12-30T00:00:15"/>
    <n v="0.3"/>
    <d v="1899-12-31T10:28:41"/>
    <n v="1637552.2738481991"/>
    <n v="127408.11711448527"/>
    <n v="14.740673339399473"/>
    <x v="0"/>
    <x v="0"/>
    <s v="Event"/>
    <n v="124120.78525932682"/>
    <s v="N"/>
    <x v="0"/>
  </r>
  <r>
    <s v="US Open 2020"/>
    <x v="7"/>
    <x v="10"/>
    <d v="1899-12-30T00:00:04"/>
    <n v="1.71"/>
    <d v="1899-12-30T09:31:59"/>
    <n v="466820.64697454416"/>
    <n v="123801.09836308789"/>
    <n v="3.7721557019216969"/>
    <x v="0"/>
    <x v="0"/>
    <s v="Event"/>
    <n v="34319.466556790241"/>
    <s v="N"/>
    <x v="0"/>
  </r>
  <r>
    <s v="US Open 2020"/>
    <x v="7"/>
    <x v="3"/>
    <d v="1899-12-30T00:00:10"/>
    <n v="0.56000000000000005"/>
    <d v="1899-12-31T10:07:19"/>
    <n v="1990405.6930832262"/>
    <n v="225844.16233933295"/>
    <n v="9.851285073439433"/>
    <x v="0"/>
    <x v="0"/>
    <s v="Event"/>
    <n v="122839.06406466237"/>
    <s v="Y"/>
    <x v="0"/>
  </r>
  <r>
    <s v="US Open 2020"/>
    <x v="7"/>
    <x v="7"/>
    <d v="1899-12-30T00:00:28"/>
    <n v="0.84"/>
    <d v="1900-01-01T22:06:40"/>
    <n v="3334141.6997796153"/>
    <n v="496827.03766625567"/>
    <n v="28.477827794441634"/>
    <x v="0"/>
    <x v="0"/>
    <s v="Event"/>
    <n v="252400.2771548946"/>
    <s v="N"/>
    <x v="0"/>
  </r>
  <r>
    <s v="US Open 2020"/>
    <x v="7"/>
    <x v="19"/>
    <d v="1899-12-30T00:00:13"/>
    <n v="1.73"/>
    <d v="1899-12-31T11:44:16"/>
    <n v="1735314.7109402455"/>
    <n v="464048.71379165165"/>
    <n v="13.034715587482363"/>
    <x v="0"/>
    <x v="0"/>
    <s v="Event"/>
    <n v="128656.28170655243"/>
    <s v="N"/>
    <x v="0"/>
  </r>
  <r>
    <s v="US Open 2020"/>
    <x v="7"/>
    <x v="9"/>
    <d v="1899-12-30T00:00:29"/>
    <n v="0.94"/>
    <d v="1900-01-03T07:34:08"/>
    <n v="5802538.6551467124"/>
    <n v="943455.46656027727"/>
    <n v="28.948820748147032"/>
    <x v="0"/>
    <x v="0"/>
    <s v="Event"/>
    <n v="372848.13808571739"/>
    <s v="Y"/>
    <x v="0"/>
  </r>
  <r>
    <s v="US Open 2020"/>
    <x v="7"/>
    <x v="20"/>
    <d v="1899-12-30T00:00:12"/>
    <n v="0.88"/>
    <d v="1899-12-31T13:13:18"/>
    <n v="1941444.1597844763"/>
    <n v="301730.82270547957"/>
    <n v="11.743574898032421"/>
    <x v="0"/>
    <x v="0"/>
    <s v="Event"/>
    <n v="133997.50062225034"/>
    <s v="N"/>
    <x v="0"/>
  </r>
  <r>
    <s v="US Open 2020"/>
    <x v="8"/>
    <x v="3"/>
    <d v="1899-12-30T00:00:14"/>
    <n v="1.38"/>
    <d v="1900-01-01T00:47:39"/>
    <n v="2726903.8464196296"/>
    <n v="602976.42035690066"/>
    <n v="13.63859573120112"/>
    <x v="0"/>
    <x v="0"/>
    <s v="Event"/>
    <n v="175659.14234373922"/>
    <s v="Y"/>
    <x v="0"/>
  </r>
  <r>
    <s v="US Open 2020"/>
    <x v="8"/>
    <x v="21"/>
    <d v="1899-12-30T00:00:18"/>
    <n v="3.15"/>
    <d v="1899-12-31T19:12:25"/>
    <n v="2052135.5573143018"/>
    <n v="934017.18609826069"/>
    <n v="18.472607184288748"/>
    <x v="0"/>
    <x v="0"/>
    <s v="Event"/>
    <n v="155544.76086059242"/>
    <s v="N"/>
    <x v="0"/>
  </r>
  <r>
    <s v="US Open 2020"/>
    <x v="8"/>
    <x v="8"/>
    <d v="1899-12-30T00:00:15"/>
    <n v="2.2200000000000002"/>
    <d v="1899-12-31T21:34:57"/>
    <n v="2234229.6583776483"/>
    <n v="744331.90487969771"/>
    <n v="15.419322322649778"/>
    <x v="0"/>
    <x v="0"/>
    <s v="Event"/>
    <n v="164097.26811159021"/>
    <s v="Y"/>
    <x v="0"/>
  </r>
  <r>
    <s v="US Open 2020"/>
    <x v="8"/>
    <x v="9"/>
    <d v="1899-12-30T00:00:03"/>
    <n v="0.86"/>
    <d v="1899-12-30T09:39:18"/>
    <n v="502839.30286081729"/>
    <n v="76514.287275170471"/>
    <n v="3.3486488654502047"/>
    <x v="0"/>
    <x v="0"/>
    <s v="Event"/>
    <n v="34758.175268366387"/>
    <s v="Y"/>
    <x v="0"/>
  </r>
  <r>
    <s v="US Open 2020"/>
    <x v="9"/>
    <x v="12"/>
    <d v="1899-12-30T00:00:05"/>
    <n v="2.5299999999999998"/>
    <d v="1899-12-30T16:28:00"/>
    <n v="955026.95182560268"/>
    <n v="356448.52881835698"/>
    <n v="4.6995357127951234"/>
    <x v="0"/>
    <x v="0"/>
    <s v="Event"/>
    <n v="59279.781608300924"/>
    <s v="N"/>
    <x v="0"/>
  </r>
  <r>
    <s v="US Open 2020"/>
    <x v="9"/>
    <x v="22"/>
    <d v="1899-12-30T00:00:33"/>
    <n v="1.07"/>
    <d v="1900-01-04T10:58:34"/>
    <n v="7095000.8532274654"/>
    <n v="1282365.9838540121"/>
    <n v="32.963523882649916"/>
    <x v="0"/>
    <x v="0"/>
    <s v="Event"/>
    <n v="471513.66100476001"/>
    <s v="N"/>
    <x v="0"/>
  </r>
  <r>
    <s v="US Open 2020"/>
    <x v="9"/>
    <x v="3"/>
    <d v="1899-12-30T00:00:06"/>
    <n v="1.1000000000000001"/>
    <d v="1899-12-30T20:38:19"/>
    <n v="1221793.4106037056"/>
    <n v="224702.01463687947"/>
    <n v="6.1614280672596378"/>
    <x v="0"/>
    <x v="0"/>
    <s v="Event"/>
    <n v="74298.56446603332"/>
    <s v="Y"/>
    <x v="0"/>
  </r>
  <r>
    <s v="US Open 2020"/>
    <x v="9"/>
    <x v="8"/>
    <d v="1899-12-30T00:00:00"/>
    <n v="2.2999999999999998"/>
    <d v="1899-12-30T01:04:51"/>
    <n v="54656.427228852976"/>
    <n v="18725.510594313946"/>
    <n v="0.43929225137278805"/>
    <x v="0"/>
    <x v="0"/>
    <s v="Event"/>
    <n v="3890.9448444173254"/>
    <s v="Y"/>
    <x v="0"/>
  </r>
  <r>
    <s v="US Open 2020"/>
    <x v="9"/>
    <x v="9"/>
    <d v="1899-12-30T00:00:05"/>
    <n v="0.76"/>
    <d v="1899-12-30T14:20:27"/>
    <n v="711626.43712074845"/>
    <n v="98361.621594081385"/>
    <n v="5.3030324006063845"/>
    <x v="0"/>
    <x v="0"/>
    <s v="Event"/>
    <n v="51627.082710281175"/>
    <s v="Y"/>
    <x v="0"/>
  </r>
  <r>
    <s v="US Open 2020"/>
    <x v="10"/>
    <x v="3"/>
    <d v="1899-12-30T00:00:09"/>
    <n v="0.68"/>
    <d v="1899-12-31T07:54:54"/>
    <n v="1775753.9994469432"/>
    <n v="229214.72269933962"/>
    <n v="9.0483741843824301"/>
    <x v="0"/>
    <x v="0"/>
    <s v="Event"/>
    <n v="114893.98827286744"/>
    <s v="Y"/>
    <x v="0"/>
  </r>
  <r>
    <s v="US Open 2020"/>
    <x v="10"/>
    <x v="23"/>
    <d v="1899-12-30T00:17:52"/>
    <n v="1.3"/>
    <d v="1900-06-27T18:45:15"/>
    <n v="266610508.51462215"/>
    <n v="56388289.816034548"/>
    <n v="1071.9966944496384"/>
    <x v="0"/>
    <x v="0"/>
    <s v="Event"/>
    <n v="15533114.778492592"/>
    <s v="N"/>
    <x v="0"/>
  </r>
  <r>
    <s v="US Open 2020"/>
    <x v="10"/>
    <x v="4"/>
    <d v="1899-12-30T00:00:39"/>
    <n v="1.91"/>
    <d v="1900-01-04T17:25:58"/>
    <n v="6947377.64468804"/>
    <n v="2021493.6809798114"/>
    <n v="39.154945990258021"/>
    <x v="1"/>
    <x v="0"/>
    <s v="Event"/>
    <n v="494757.71012895426"/>
    <s v="Y"/>
    <x v="0"/>
  </r>
  <r>
    <s v="US Open 2020"/>
    <x v="10"/>
    <x v="6"/>
    <d v="1899-12-30T00:01:50"/>
    <n v="1.96"/>
    <d v="1900-01-13T06:14:32"/>
    <n v="17047164.314391136"/>
    <n v="5063311.8485654518"/>
    <n v="109.95306248801778"/>
    <x v="1"/>
    <x v="0"/>
    <s v="Event"/>
    <n v="1232072.2001855951"/>
    <s v="N"/>
    <x v="0"/>
  </r>
  <r>
    <s v="US Open 2020"/>
    <x v="10"/>
    <x v="8"/>
    <d v="1899-12-30T00:00:01"/>
    <n v="2.88"/>
    <d v="1899-12-30T03:27:03"/>
    <n v="165414.86444059195"/>
    <n v="69532.159726002807"/>
    <n v="1.3767077516913906"/>
    <x v="0"/>
    <x v="0"/>
    <s v="Event"/>
    <n v="12422.704806121546"/>
    <s v="Y"/>
    <x v="0"/>
  </r>
  <r>
    <s v="US Open 2020"/>
    <x v="10"/>
    <x v="24"/>
    <d v="1899-12-30T00:00:19"/>
    <n v="0.85"/>
    <d v="1900-01-01T11:24:18"/>
    <n v="3582138.0706610833"/>
    <n v="542362.56301550835"/>
    <n v="18.658665120788456"/>
    <x v="0"/>
    <x v="0"/>
    <s v="Event"/>
    <n v="213858.33755211759"/>
    <s v="N"/>
    <x v="0"/>
  </r>
  <r>
    <s v="US Open 2020"/>
    <x v="10"/>
    <x v="9"/>
    <d v="1899-12-30T00:00:07"/>
    <n v="0.65"/>
    <d v="1899-12-30T22:16:06"/>
    <n v="1234857.4787827134"/>
    <n v="153825.00245417168"/>
    <n v="6.5384231611683825"/>
    <x v="0"/>
    <x v="0"/>
    <s v="Event"/>
    <n v="80165.897307920357"/>
    <s v="Y"/>
    <x v="0"/>
  </r>
  <r>
    <s v="US Open 2020"/>
    <x v="10"/>
    <x v="20"/>
    <d v="1899-12-30T00:01:02"/>
    <n v="1.35"/>
    <d v="1900-01-07T09:25:53"/>
    <n v="9900760.4662230629"/>
    <n v="2152332.497290621"/>
    <n v="62.235830076397832"/>
    <x v="0"/>
    <x v="0"/>
    <s v="Event"/>
    <n v="725153.48061712319"/>
    <s v="N"/>
    <x v="0"/>
  </r>
  <r>
    <s v="US Open 2020"/>
    <x v="11"/>
    <x v="10"/>
    <d v="1899-12-30T00:00:34"/>
    <n v="1.29"/>
    <d v="1900-01-03T06:49:15"/>
    <n v="5177250.55809958"/>
    <n v="1086223.0767174615"/>
    <n v="34.45655065809175"/>
    <x v="0"/>
    <x v="0"/>
    <s v="Event"/>
    <n v="370155.00849265588"/>
    <s v="N"/>
    <x v="0"/>
  </r>
  <r>
    <s v="US Open 2020"/>
    <x v="11"/>
    <x v="3"/>
    <d v="1899-12-30T00:00:18"/>
    <n v="0.88"/>
    <d v="1900-01-01T13:39:55"/>
    <n v="3470542.2669470292"/>
    <n v="532238.63223719236"/>
    <n v="17.512506095682198"/>
    <x v="0"/>
    <x v="0"/>
    <s v="Event"/>
    <n v="221995.49335462562"/>
    <s v="Y"/>
    <x v="0"/>
  </r>
  <r>
    <s v="US Open 2020"/>
    <x v="11"/>
    <x v="7"/>
    <d v="1899-12-30T00:06:49"/>
    <n v="1.23"/>
    <d v="1900-03-07T18:20:13"/>
    <n v="89962986.347164795"/>
    <n v="18024447.5010873"/>
    <n v="409.19592273490184"/>
    <x v="0"/>
    <x v="0"/>
    <s v="Event"/>
    <n v="5854813.3404448964"/>
    <s v="N"/>
    <x v="0"/>
  </r>
  <r>
    <s v="US Open 2020"/>
    <x v="11"/>
    <x v="9"/>
    <d v="1899-12-30T00:00:02"/>
    <n v="1.74"/>
    <d v="1899-12-30T04:21:39"/>
    <n v="218780.95267837695"/>
    <n v="59023.600537383245"/>
    <n v="1.7537127479318231"/>
    <x v="0"/>
    <x v="0"/>
    <s v="Event"/>
    <n v="15699.418710754491"/>
    <s v="Y"/>
    <x v="0"/>
  </r>
  <r>
    <s v="US Open 2020"/>
    <x v="12"/>
    <x v="14"/>
    <d v="1899-12-30T00:18:38"/>
    <n v="1.92"/>
    <d v="1900-07-06T11:06:57"/>
    <n v="285291320.70035738"/>
    <n v="83491489.874207601"/>
    <n v="1118.0930883217295"/>
    <x v="0"/>
    <x v="0"/>
    <s v="Event"/>
    <n v="16283216.694672804"/>
    <s v="N"/>
    <x v="0"/>
  </r>
  <r>
    <s v="US Open 2020"/>
    <x v="12"/>
    <x v="15"/>
    <d v="1899-12-30T00:01:47"/>
    <n v="1.42"/>
    <d v="1900-01-16T13:36:23"/>
    <n v="26670596.123462953"/>
    <n v="6007932.5717420783"/>
    <n v="107.43671496073688"/>
    <x v="0"/>
    <x v="0"/>
    <s v="Event"/>
    <n v="1517783.2125383029"/>
    <s v="N"/>
    <x v="0"/>
  </r>
  <r>
    <s v="US Open 2020"/>
    <x v="12"/>
    <x v="3"/>
    <d v="1899-12-30T00:00:04"/>
    <n v="0.84"/>
    <d v="1899-12-30T15:13:03"/>
    <n v="804717.61312368186"/>
    <n v="120363.44232333971"/>
    <n v="4.3166994101955591"/>
    <x v="0"/>
    <x v="0"/>
    <s v="Event"/>
    <n v="54782.606293377372"/>
    <s v="Y"/>
    <x v="0"/>
  </r>
  <r>
    <s v="US Open 2020"/>
    <x v="12"/>
    <x v="6"/>
    <d v="1899-12-30T00:00:03"/>
    <n v="2.99"/>
    <d v="1899-12-30T07:20:15"/>
    <n v="362701.0509007959"/>
    <n v="157877.96424030201"/>
    <n v="3.0031771416712205"/>
    <x v="1"/>
    <x v="0"/>
    <s v="Event"/>
    <n v="26414.930063207121"/>
    <s v="N"/>
    <x v="0"/>
  </r>
  <r>
    <s v="US Open 2020"/>
    <x v="12"/>
    <x v="7"/>
    <d v="1899-12-30T00:00:08"/>
    <n v="0.3"/>
    <d v="1899-12-30T17:52:39"/>
    <n v="849101.17903240013"/>
    <n v="66063.46813343688"/>
    <n v="7.6433121019108432"/>
    <x v="0"/>
    <x v="0"/>
    <s v="Event"/>
    <n v="64358.925690021373"/>
    <s v="N"/>
    <x v="0"/>
  </r>
  <r>
    <s v="US Open 2020"/>
    <x v="12"/>
    <x v="9"/>
    <d v="1899-12-30T00:00:16"/>
    <n v="0.93"/>
    <d v="1900-01-01T10:40:33"/>
    <n v="3385990.6333806464"/>
    <n v="550050.98169455072"/>
    <n v="16.400639954788808"/>
    <x v="0"/>
    <x v="0"/>
    <s v="Event"/>
    <n v="211233.06278196629"/>
    <s v="Y"/>
    <x v="0"/>
  </r>
  <r>
    <s v="US Open 2020"/>
    <x v="13"/>
    <x v="25"/>
    <d v="1899-12-30T00:01:46"/>
    <n v="2"/>
    <d v="1900-01-10T00:47:25"/>
    <n v="12600570.075928301"/>
    <n v="3832491.2922403063"/>
    <n v="106.0291738464779"/>
    <x v="0"/>
    <x v="0"/>
    <s v="Event"/>
    <n v="953245.06743250263"/>
    <s v="N"/>
    <x v="0"/>
  </r>
  <r>
    <s v="US Open 2020"/>
    <x v="13"/>
    <x v="10"/>
    <d v="1899-12-30T00:00:06"/>
    <n v="1.31"/>
    <d v="1899-12-30T16:39:37"/>
    <n v="960993.44460935961"/>
    <n v="203375.27388133673"/>
    <n v="5.5437220208941289"/>
    <x v="0"/>
    <x v="0"/>
    <s v="Event"/>
    <n v="59976.696985750452"/>
    <s v="N"/>
    <x v="0"/>
  </r>
  <r>
    <s v="US Open 2020"/>
    <x v="13"/>
    <x v="3"/>
    <d v="1899-12-30T00:00:17"/>
    <n v="1.1399999999999999"/>
    <d v="1900-01-01T15:26:10"/>
    <n v="3692733.7582757627"/>
    <n v="702495.2540398105"/>
    <n v="17.432169627524519"/>
    <x v="0"/>
    <x v="0"/>
    <s v="Event"/>
    <n v="228370.0510445369"/>
    <s v="Y"/>
    <x v="0"/>
  </r>
  <r>
    <s v="US Open 2020"/>
    <x v="13"/>
    <x v="26"/>
    <d v="1899-12-30T00:22:35"/>
    <n v="2.64"/>
    <d v="1900-08-17T01:08:28"/>
    <n v="331343815.90469152"/>
    <n v="128482869.38955513"/>
    <n v="1355.4375689053581"/>
    <x v="0"/>
    <x v="0"/>
    <s v="Event"/>
    <n v="19876107.519124616"/>
    <s v="N"/>
    <x v="0"/>
  </r>
  <r>
    <s v="US Open 2020"/>
    <x v="13"/>
    <x v="4"/>
    <d v="1899-12-30T00:00:18"/>
    <n v="2.37"/>
    <d v="1899-12-31T21:21:58"/>
    <n v="2248458.3536529276"/>
    <n v="792454.16243359214"/>
    <n v="17.616846160349095"/>
    <x v="1"/>
    <x v="0"/>
    <s v="Event"/>
    <n v="163317.54977058491"/>
    <s v="Y"/>
    <x v="0"/>
  </r>
  <r>
    <s v="US Open 2020"/>
    <x v="13"/>
    <x v="6"/>
    <d v="1899-12-30T00:00:20"/>
    <n v="2.52"/>
    <d v="1900-01-01T06:16:13"/>
    <n v="2717818.6807285207"/>
    <n v="1010869.3711364532"/>
    <n v="19.931263712779451"/>
    <x v="1"/>
    <x v="0"/>
    <s v="Event"/>
    <n v="195373.10105279647"/>
    <s v="N"/>
    <x v="0"/>
  </r>
  <r>
    <s v="US Open 2020"/>
    <x v="13"/>
    <x v="7"/>
    <d v="1899-12-30T00:01:22"/>
    <n v="1.21"/>
    <d v="1900-01-12T14:10:40"/>
    <n v="18823029.401383653"/>
    <n v="3741801.0169130503"/>
    <n v="81.589493632695977"/>
    <x v="0"/>
    <x v="0"/>
    <s v="Event"/>
    <n v="1174239.7545439671"/>
    <s v="N"/>
    <x v="0"/>
  </r>
  <r>
    <s v="US Open 2020"/>
    <x v="13"/>
    <x v="19"/>
    <d v="1899-12-30T00:00:07"/>
    <n v="3.3"/>
    <d v="1899-12-30T16:56:40"/>
    <n v="804780.53843485354"/>
    <n v="382273.97487870906"/>
    <n v="7.2443531827515226"/>
    <x v="0"/>
    <x v="0"/>
    <s v="Event"/>
    <n v="60999.574784394114"/>
    <s v="N"/>
    <x v="0"/>
  </r>
  <r>
    <s v="US Open 2020"/>
    <x v="13"/>
    <x v="9"/>
    <d v="1899-12-30T00:00:02"/>
    <n v="1.0900000000000001"/>
    <d v="1899-12-30T05:59:49"/>
    <n v="299193.89431596798"/>
    <n v="54872.376588482563"/>
    <n v="2.363282069405217"/>
    <x v="0"/>
    <x v="0"/>
    <s v="Event"/>
    <n v="21588.678204701151"/>
    <s v="Y"/>
    <x v="0"/>
  </r>
  <r>
    <s v="US Open 2020"/>
    <x v="14"/>
    <x v="27"/>
    <d v="1899-12-30T00:00:16"/>
    <n v="1.51"/>
    <d v="1900-01-01T14:25:36"/>
    <n v="3576021.1155708642"/>
    <n v="855115.36461719882"/>
    <n v="15.861667326788686"/>
    <x v="0"/>
    <x v="0"/>
    <s v="Event"/>
    <n v="224736.13485803563"/>
    <s v="N"/>
    <x v="0"/>
  </r>
  <r>
    <s v="US Open 2020"/>
    <x v="14"/>
    <x v="28"/>
    <d v="1899-12-30T00:00:02"/>
    <n v="1.35"/>
    <d v="1899-12-30T06:31:21"/>
    <n v="332583.54482629272"/>
    <n v="72207.759248427799"/>
    <n v="2.4533810511159393"/>
    <x v="0"/>
    <x v="0"/>
    <s v="Event"/>
    <n v="23481.132170104454"/>
    <s v="N"/>
    <x v="0"/>
  </r>
  <r>
    <s v="US Open 2020"/>
    <x v="14"/>
    <x v="15"/>
    <d v="1899-12-30T00:00:03"/>
    <n v="1.8"/>
    <d v="1899-12-30T06:52:46"/>
    <n v="326737.46350021189"/>
    <n v="90311.541861312566"/>
    <n v="2.9411764705882328"/>
    <x v="0"/>
    <x v="0"/>
    <s v="Event"/>
    <n v="24765.566993464035"/>
    <s v="N"/>
    <x v="0"/>
  </r>
  <r>
    <s v="US Open 2020"/>
    <x v="14"/>
    <x v="29"/>
    <d v="1899-12-30T00:00:34"/>
    <n v="1.93"/>
    <d v="1900-01-04T11:20:04"/>
    <n v="7921152.3412492899"/>
    <n v="2333809.1896789246"/>
    <n v="33.88537901404618"/>
    <x v="0"/>
    <x v="0"/>
    <s v="Event"/>
    <n v="472803.63464351447"/>
    <s v="N"/>
    <x v="0"/>
  </r>
  <r>
    <s v="US Open 2020"/>
    <x v="14"/>
    <x v="3"/>
    <d v="1899-12-30T00:00:11"/>
    <n v="0.79"/>
    <d v="1899-12-31T16:23:17"/>
    <n v="2127397.8422689536"/>
    <n v="304899.88598966249"/>
    <n v="11.288940303660086"/>
    <x v="0"/>
    <x v="0"/>
    <s v="Event"/>
    <n v="145396.60906394228"/>
    <s v="Y"/>
    <x v="0"/>
  </r>
  <r>
    <s v="US Open 2020"/>
    <x v="14"/>
    <x v="30"/>
    <d v="1899-12-30T00:00:02"/>
    <n v="1.76"/>
    <d v="1899-12-30T04:35:39"/>
    <n v="238093.11517448476"/>
    <n v="64388.407191108017"/>
    <n v="1.7065078472049777"/>
    <x v="0"/>
    <x v="0"/>
    <s v="Event"/>
    <n v="16538.725561807663"/>
    <s v="N"/>
    <x v="0"/>
  </r>
  <r>
    <s v="US Open 2020"/>
    <x v="14"/>
    <x v="31"/>
    <d v="1899-12-30T00:00:11"/>
    <n v="1.46"/>
    <d v="1899-12-31T13:29:53"/>
    <n v="2074666.2366843841"/>
    <n v="482734.41451557569"/>
    <n v="10.628187108453339"/>
    <x v="0"/>
    <x v="0"/>
    <s v="Event"/>
    <n v="134993.06239850304"/>
    <s v="N"/>
    <x v="0"/>
  </r>
  <r>
    <s v="US Open 2020"/>
    <x v="14"/>
    <x v="32"/>
    <d v="1899-12-30T00:16:40"/>
    <n v="1.4"/>
    <d v="1900-06-15T01:37:00"/>
    <n v="240737505.85255826"/>
    <n v="54106068.129582144"/>
    <n v="1000.1735233084336"/>
    <x v="0"/>
    <x v="0"/>
    <s v="Event"/>
    <n v="14434619.586168472"/>
    <s v="N"/>
    <x v="0"/>
  </r>
  <r>
    <s v="US Open 2020"/>
    <x v="14"/>
    <x v="33"/>
    <d v="1899-12-30T00:00:11"/>
    <n v="1.85"/>
    <d v="1899-12-31T14:21:08"/>
    <n v="1900344.8018153184"/>
    <n v="537845.22814741195"/>
    <n v="11.17724777034975"/>
    <x v="0"/>
    <x v="0"/>
    <s v="Event"/>
    <n v="138067.54920312637"/>
    <s v="N"/>
    <x v="0"/>
  </r>
  <r>
    <s v="US Open 2020"/>
    <x v="14"/>
    <x v="9"/>
    <d v="1899-12-30T00:00:01"/>
    <n v="1.1100000000000001"/>
    <d v="1899-12-30T02:57:45"/>
    <n v="155417.93917385853"/>
    <n v="28919.397918044207"/>
    <n v="1.1423773744202717"/>
    <x v="0"/>
    <x v="0"/>
    <s v="Event"/>
    <n v="10665.124737774797"/>
    <s v="Y"/>
    <x v="0"/>
  </r>
  <r>
    <s v="US Open 2020"/>
    <x v="15"/>
    <x v="34"/>
    <d v="1899-12-30T00:00:20"/>
    <n v="3.16"/>
    <d v="1900-01-02T00:06:32"/>
    <n v="3732390.1790811955"/>
    <n v="1704588.812361317"/>
    <n v="20.280940036069357"/>
    <x v="0"/>
    <x v="2"/>
    <s v="Event"/>
    <n v="259591.548120502"/>
    <s v="N"/>
    <x v="0"/>
  </r>
  <r>
    <s v="US Open 2020"/>
    <x v="15"/>
    <x v="35"/>
    <d v="1899-12-30T00:04:57"/>
    <n v="1.93"/>
    <d v="1900-02-17T05:15:23"/>
    <n v="69754261.24123241"/>
    <n v="20520669.207849946"/>
    <n v="297.04755710871245"/>
    <x v="0"/>
    <x v="2"/>
    <s v="Event"/>
    <n v="4252523.4210623512"/>
    <s v="N"/>
    <x v="1"/>
  </r>
  <r>
    <s v="US Open 2020"/>
    <x v="15"/>
    <x v="36"/>
    <d v="1899-12-30T00:00:03"/>
    <n v="2.09"/>
    <d v="1899-12-30T10:56:48"/>
    <n v="653433.28379251086"/>
    <n v="206091.93401612094"/>
    <n v="3.4788933633142984"/>
    <x v="1"/>
    <x v="2"/>
    <s v="Event"/>
    <n v="39407.997574631379"/>
    <s v="N"/>
    <x v="0"/>
  </r>
  <r>
    <s v="US Open 2020"/>
    <x v="15"/>
    <x v="37"/>
    <d v="1899-12-30T00:00:07"/>
    <n v="0.95"/>
    <d v="1899-12-31T03:04:17"/>
    <n v="1675252.3094062151"/>
    <n v="274945.06396309088"/>
    <n v="7.3987393473001806"/>
    <x v="0"/>
    <x v="2"/>
    <s v="Event"/>
    <n v="97456.83796192013"/>
    <s v="N"/>
    <x v="1"/>
  </r>
  <r>
    <s v="US Open 2020"/>
    <x v="15"/>
    <x v="38"/>
    <d v="1899-12-30T00:00:02"/>
    <n v="5"/>
    <d v="1899-12-30T04:29:57"/>
    <n v="213815.43125815454"/>
    <n v="149688.76237693385"/>
    <n v="1.8622918516167204"/>
    <x v="0"/>
    <x v="2"/>
    <s v="Event"/>
    <n v="16197.039212282543"/>
    <s v="N"/>
    <x v="1"/>
  </r>
  <r>
    <s v="US Open 2020"/>
    <x v="15"/>
    <x v="39"/>
    <d v="1899-12-30T00:00:21"/>
    <n v="0.93"/>
    <d v="1900-01-02T01:21:30"/>
    <n v="3682733.3350549941"/>
    <n v="594468.67575718521"/>
    <n v="20.712658547402661"/>
    <x v="0"/>
    <x v="2"/>
    <s v="Event"/>
    <n v="264090.1938001177"/>
    <s v="N"/>
    <x v="0"/>
  </r>
  <r>
    <s v="US Open 2020"/>
    <x v="16"/>
    <x v="10"/>
    <d v="1899-12-30T00:01:15"/>
    <n v="1.28"/>
    <d v="1900-01-09T22:29:16"/>
    <n v="16468559.487385012"/>
    <n v="3434466.1788826049"/>
    <n v="75.245926695672779"/>
    <x v="0"/>
    <x v="0"/>
    <s v="Event"/>
    <n v="944956.26015514194"/>
    <s v="N"/>
    <x v="0"/>
  </r>
  <r>
    <s v="US Open 2020"/>
    <x v="16"/>
    <x v="3"/>
    <d v="1899-12-30T00:00:22"/>
    <n v="1.07"/>
    <d v="1900-01-02T04:10:11"/>
    <n v="4563739.3499193415"/>
    <n v="825342.06330268574"/>
    <n v="21.631625876366911"/>
    <x v="0"/>
    <x v="0"/>
    <s v="Event"/>
    <n v="274211.09418889781"/>
    <s v="Y"/>
    <x v="0"/>
  </r>
  <r>
    <s v="US Open 2020"/>
    <x v="16"/>
    <x v="40"/>
    <d v="1899-12-30T00:00:11"/>
    <n v="2.11"/>
    <d v="1899-12-31T17:37:37"/>
    <n v="2393928.1007069494"/>
    <n v="759196.5283341679"/>
    <n v="10.801770842920101"/>
    <x v="0"/>
    <x v="0"/>
    <s v="Event"/>
    <n v="149856.64850739285"/>
    <s v="N"/>
    <x v="0"/>
  </r>
  <r>
    <s v="US Open 2020"/>
    <x v="16"/>
    <x v="4"/>
    <d v="1899-12-30T00:00:02"/>
    <n v="2.29"/>
    <d v="1899-12-30T04:49:36"/>
    <n v="238587.74921805898"/>
    <n v="81741.117233103854"/>
    <n v="1.9755147468002219"/>
    <x v="1"/>
    <x v="0"/>
    <s v="Event"/>
    <n v="17375.959330365415"/>
    <s v="Y"/>
    <x v="0"/>
  </r>
  <r>
    <s v="US Open 2020"/>
    <x v="16"/>
    <x v="7"/>
    <d v="1899-12-30T00:00:41"/>
    <n v="1.1399999999999999"/>
    <d v="1900-01-05T11:16:35"/>
    <n v="9827487.6762222666"/>
    <n v="1860093.3490371848"/>
    <n v="40.673643191072429"/>
    <x v="0"/>
    <x v="0"/>
    <s v="Event"/>
    <n v="558995.39063794899"/>
    <s v="N"/>
    <x v="0"/>
  </r>
  <r>
    <s v="US Open 2020"/>
    <x v="16"/>
    <x v="41"/>
    <d v="1899-12-30T00:00:39"/>
    <n v="1.1599999999999999"/>
    <d v="1900-01-05T12:34:41"/>
    <n v="9076023.9938049372"/>
    <n v="1743211.2039832806"/>
    <n v="39.306327446975189"/>
    <x v="0"/>
    <x v="0"/>
    <s v="Event"/>
    <n v="563680.5884899901"/>
    <s v="N"/>
    <x v="0"/>
  </r>
  <r>
    <s v="US Open 2020"/>
    <x v="16"/>
    <x v="9"/>
    <d v="1899-12-30T00:00:06"/>
    <n v="0.55000000000000004"/>
    <d v="1899-12-30T17:07:28"/>
    <n v="832890.30649799143"/>
    <n v="92588.899818645063"/>
    <n v="5.607768171959437"/>
    <x v="0"/>
    <x v="0"/>
    <s v="Event"/>
    <n v="61647.736092883992"/>
    <s v="Y"/>
    <x v="0"/>
  </r>
  <r>
    <s v="US Open 2020"/>
    <x v="17"/>
    <x v="27"/>
    <d v="1899-12-30T00:00:01"/>
    <n v="1.27"/>
    <d v="1899-12-30T02:49:49"/>
    <n v="156244.41932136871"/>
    <n v="32275.662451884782"/>
    <n v="1.0685672007829636"/>
    <x v="0"/>
    <x v="1"/>
    <s v="-"/>
    <n v="10188.911441517868"/>
    <s v="N"/>
    <x v="0"/>
  </r>
  <r>
    <s v="US Open 2020"/>
    <x v="17"/>
    <x v="14"/>
    <d v="1899-12-30T00:16:43"/>
    <n v="1.45"/>
    <d v="1900-06-18T05:35:44"/>
    <n v="243545685.25739747"/>
    <n v="56181127.290967345"/>
    <n v="1003.0118462603033"/>
    <x v="0"/>
    <x v="1"/>
    <s v="-"/>
    <n v="14708144.260252152"/>
    <s v="N"/>
    <x v="0"/>
  </r>
  <r>
    <s v="US Open 2020"/>
    <x v="17"/>
    <x v="42"/>
    <d v="1899-12-30T00:00:01"/>
    <n v="1.29"/>
    <d v="1899-12-30T02:43:15"/>
    <n v="132007.54670056913"/>
    <n v="27748.514346646429"/>
    <n v="1.0718426107741541"/>
    <x v="0"/>
    <x v="1"/>
    <s v="-"/>
    <n v="9794.7329871604743"/>
    <s v="N"/>
    <x v="0"/>
  </r>
  <r>
    <s v="US Open 2020"/>
    <x v="17"/>
    <x v="1"/>
    <d v="1899-12-30T00:02:04"/>
    <n v="2.98"/>
    <d v="1900-01-15T14:23:18"/>
    <n v="19124045.412256211"/>
    <n v="8279471.2322594747"/>
    <n v="124.45843234040427"/>
    <x v="0"/>
    <x v="1"/>
    <s v="-"/>
    <n v="1434197.9205153985"/>
    <s v="N"/>
    <x v="0"/>
  </r>
  <r>
    <s v="US Open 2020"/>
    <x v="17"/>
    <x v="25"/>
    <d v="1899-12-30T00:00:09"/>
    <n v="1.97"/>
    <d v="1899-12-30T20:01:52"/>
    <n v="951388.13495006016"/>
    <n v="284381.33019419241"/>
    <n v="8.5640635357081543"/>
    <x v="0"/>
    <x v="1"/>
    <s v="-"/>
    <n v="72111.92233815341"/>
    <s v="N"/>
    <x v="0"/>
  </r>
  <r>
    <s v="US Open 2020"/>
    <x v="17"/>
    <x v="43"/>
    <d v="1899-12-30T00:00:21"/>
    <n v="1.96"/>
    <d v="1900-01-02T08:59:19"/>
    <n v="4284466.5190690504"/>
    <n v="1275846.2134142893"/>
    <n v="21.34870824963869"/>
    <x v="0"/>
    <x v="1"/>
    <s v="-"/>
    <n v="291558.54950013338"/>
    <s v="N"/>
    <x v="0"/>
  </r>
  <r>
    <s v="US Open 2020"/>
    <x v="17"/>
    <x v="28"/>
    <d v="1899-12-30T00:00:07"/>
    <n v="1.58"/>
    <d v="1899-12-31T01:24:39"/>
    <n v="1414009.6309234647"/>
    <n v="350041.23592298169"/>
    <n v="7.1480293166795228"/>
    <x v="0"/>
    <x v="1"/>
    <s v="-"/>
    <n v="91478.950310816246"/>
    <s v="N"/>
    <x v="0"/>
  </r>
  <r>
    <s v="US Open 2020"/>
    <x v="17"/>
    <x v="44"/>
    <d v="1899-12-30T00:01:38"/>
    <n v="1.5"/>
    <d v="1900-01-08T12:05:54"/>
    <n v="10833658.016733149"/>
    <n v="2564153.5140324687"/>
    <n v="97.52080372991712"/>
    <x v="0"/>
    <x v="1"/>
    <s v="-"/>
    <n v="821153.71933010523"/>
    <s v="N"/>
    <x v="0"/>
  </r>
  <r>
    <s v="US Open 2020"/>
    <x v="17"/>
    <x v="2"/>
    <d v="1899-12-30T00:00:03"/>
    <n v="1.01"/>
    <d v="1899-12-30T06:36:19"/>
    <n v="338459.16844564187"/>
    <n v="58344.442948425793"/>
    <n v="2.5623788460412062"/>
    <x v="0"/>
    <x v="1"/>
    <s v="-"/>
    <n v="23778.663583235695"/>
    <s v="N"/>
    <x v="0"/>
  </r>
  <r>
    <s v="US Open 2020"/>
    <x v="17"/>
    <x v="45"/>
    <d v="1899-12-30T00:00:04"/>
    <n v="1"/>
    <d v="1899-12-30T09:28:27"/>
    <n v="449981.77034984285"/>
    <n v="76714.692136322614"/>
    <n v="4.0505786540934476"/>
    <x v="0"/>
    <x v="1"/>
    <s v="-"/>
    <n v="34107.058186883885"/>
    <s v="N"/>
    <x v="0"/>
  </r>
  <r>
    <s v="US Open 2020"/>
    <x v="17"/>
    <x v="18"/>
    <d v="1899-12-30T00:00:14"/>
    <n v="1.35"/>
    <d v="1899-12-31T13:37:44"/>
    <n v="1826898.9383935975"/>
    <n v="397081.28434164549"/>
    <n v="14.360715463429182"/>
    <x v="0"/>
    <x v="1"/>
    <s v="-"/>
    <n v="135464.08246152231"/>
    <s v="N"/>
    <x v="0"/>
  </r>
  <r>
    <s v="US Open 2020"/>
    <x v="17"/>
    <x v="46"/>
    <d v="1899-12-30T00:02:17"/>
    <n v="1.68"/>
    <d v="1900-01-21T10:15:45"/>
    <n v="32390758.282138571"/>
    <n v="8464684.6687376741"/>
    <n v="137.26270806973884"/>
    <x v="0"/>
    <x v="1"/>
    <s v="-"/>
    <n v="1937745.0848838561"/>
    <s v="N"/>
    <x v="0"/>
  </r>
  <r>
    <s v="US Open 2020"/>
    <x v="17"/>
    <x v="47"/>
    <d v="1899-12-30T00:00:03"/>
    <n v="3.38"/>
    <d v="1899-12-30T09:46:05"/>
    <n v="496092.66939770861"/>
    <n v="240997.24205560065"/>
    <n v="2.9923557207839391"/>
    <x v="0"/>
    <x v="1"/>
    <s v="-"/>
    <n v="35165.393067844831"/>
    <s v="Y"/>
    <x v="0"/>
  </r>
  <r>
    <s v="US Open 2020"/>
    <x v="17"/>
    <x v="10"/>
    <d v="1899-12-30T00:03:23"/>
    <n v="1.51"/>
    <d v="1900-01-31T04:24:12"/>
    <n v="51807882.707732044"/>
    <n v="12276537.101189032"/>
    <n v="202.6629518032571"/>
    <x v="0"/>
    <x v="1"/>
    <s v="-"/>
    <n v="2780652.3988237684"/>
    <s v="N"/>
    <x v="0"/>
  </r>
  <r>
    <s v="US Open 2020"/>
    <x v="17"/>
    <x v="29"/>
    <d v="1899-12-30T00:00:08"/>
    <n v="1.42"/>
    <d v="1899-12-31T06:19:52"/>
    <n v="1818195.4990310448"/>
    <n v="409476.6291997268"/>
    <n v="7.8935134317356317"/>
    <x v="0"/>
    <x v="1"/>
    <s v="-"/>
    <n v="109192.16848406948"/>
    <s v="N"/>
    <x v="0"/>
  </r>
  <r>
    <s v="US Open 2020"/>
    <x v="17"/>
    <x v="3"/>
    <d v="1899-12-30T00:00:05"/>
    <n v="1.23"/>
    <d v="1899-12-30T18:37:16"/>
    <n v="1179319.7002999389"/>
    <n v="238198.15209389935"/>
    <n v="5.3720679613975264"/>
    <x v="0"/>
    <x v="1"/>
    <s v="-"/>
    <n v="67035.902185506173"/>
    <s v="Y"/>
    <x v="0"/>
  </r>
  <r>
    <s v="US Open 2020"/>
    <x v="17"/>
    <x v="48"/>
    <d v="1899-12-30T00:00:47"/>
    <n v="3.67"/>
    <d v="1900-01-03T14:51:15"/>
    <n v="5265078.7043208154"/>
    <n v="2758859.1204344728"/>
    <n v="47.39439865589064"/>
    <x v="0"/>
    <x v="1"/>
    <s v="-"/>
    <n v="399074.71270931681"/>
    <s v="N"/>
    <x v="0"/>
  </r>
  <r>
    <s v="US Open 2020"/>
    <x v="17"/>
    <x v="49"/>
    <d v="1899-12-30T00:00:18"/>
    <n v="3.02"/>
    <d v="1899-12-31T21:47:29"/>
    <n v="2208029.5418029875"/>
    <n v="967643.82990565442"/>
    <n v="17.88065868738606"/>
    <x v="0"/>
    <x v="1"/>
    <s v="-"/>
    <n v="164848.74106165199"/>
    <s v="N"/>
    <x v="0"/>
  </r>
  <r>
    <s v="US Open 2020"/>
    <x v="17"/>
    <x v="40"/>
    <d v="1899-12-30T00:01:40"/>
    <n v="3.19"/>
    <d v="1900-01-13T19:02:01"/>
    <n v="18455464.482798032"/>
    <n v="8509969.3022003304"/>
    <n v="100.3739229823035"/>
    <x v="0"/>
    <x v="1"/>
    <s v="-"/>
    <n v="1278120.9953444258"/>
    <s v="N"/>
    <x v="0"/>
  </r>
  <r>
    <s v="US Open 2020"/>
    <x v="17"/>
    <x v="30"/>
    <d v="1899-12-30T00:00:02"/>
    <n v="2.33"/>
    <d v="1899-12-30T05:25:06"/>
    <n v="272226.10609237105"/>
    <n v="94477.464289331328"/>
    <n v="1.8929818666362688"/>
    <x v="0"/>
    <x v="1"/>
    <s v="-"/>
    <n v="19505.554377907811"/>
    <s v="N"/>
    <x v="0"/>
  </r>
  <r>
    <s v="US Open 2020"/>
    <x v="17"/>
    <x v="50"/>
    <d v="1899-12-30T00:00:15"/>
    <n v="2.33"/>
    <d v="1899-12-31T12:32:41"/>
    <n v="1737144.2068204794"/>
    <n v="600769.2734063504"/>
    <n v="15.256169368162015"/>
    <x v="0"/>
    <x v="1"/>
    <s v="-"/>
    <n v="131560.9239213221"/>
    <s v="N"/>
    <x v="0"/>
  </r>
  <r>
    <s v="US Open 2020"/>
    <x v="17"/>
    <x v="21"/>
    <d v="1899-12-30T00:04:01"/>
    <n v="2.29"/>
    <d v="1900-01-23T01:21:16"/>
    <n v="27424596.679281671"/>
    <n v="9364837.5617014486"/>
    <n v="241.01595970367288"/>
    <x v="0"/>
    <x v="1"/>
    <s v="-"/>
    <n v="2078476.3790431526"/>
    <s v="N"/>
    <x v="0"/>
  </r>
  <r>
    <s v="US Open 2020"/>
    <x v="17"/>
    <x v="23"/>
    <d v="1899-12-30T00:00:20"/>
    <n v="1.1100000000000001"/>
    <d v="1900-01-01T22:30:07"/>
    <n v="3765693.5279177278"/>
    <n v="698175.94805187103"/>
    <n v="20.178319436172409"/>
    <x v="0"/>
    <x v="1"/>
    <s v="-"/>
    <n v="253807.03281857219"/>
    <s v="N"/>
    <x v="0"/>
  </r>
  <r>
    <s v="US Open 2020"/>
    <x v="17"/>
    <x v="51"/>
    <d v="1899-12-30T00:00:13"/>
    <n v="3.75"/>
    <d v="1900-01-01T05:04:25"/>
    <n v="3018471.568062752"/>
    <n v="1617186.7146487122"/>
    <n v="13.477679998391311"/>
    <x v="1"/>
    <x v="1"/>
    <s v="-"/>
    <n v="191065.31967119451"/>
    <s v="N"/>
    <x v="0"/>
  </r>
  <r>
    <s v="US Open 2020"/>
    <x v="17"/>
    <x v="4"/>
    <d v="1899-12-30T00:07:52"/>
    <n v="1.96"/>
    <d v="1900-03-18T22:04:05"/>
    <n v="98102772.730007991"/>
    <n v="29323946.3339056"/>
    <n v="471.55806801769501"/>
    <x v="1"/>
    <x v="1"/>
    <s v="-"/>
    <n v="6818644.521106923"/>
    <s v="Y"/>
    <x v="0"/>
  </r>
  <r>
    <s v="US Open 2020"/>
    <x v="17"/>
    <x v="6"/>
    <d v="1899-12-30T00:07:14"/>
    <n v="2.2000000000000002"/>
    <d v="1900-03-13T14:06:45"/>
    <n v="89852797.970614433"/>
    <n v="29688534.672975369"/>
    <n v="433.57982764189927"/>
    <x v="1"/>
    <x v="1"/>
    <s v="-"/>
    <n v="6358005.3187500536"/>
    <s v="N"/>
    <x v="0"/>
  </r>
  <r>
    <s v="US Open 2020"/>
    <x v="17"/>
    <x v="52"/>
    <d v="1899-12-30T00:00:07"/>
    <n v="1.21"/>
    <d v="1899-12-30T18:02:40"/>
    <n v="862908.19401141291"/>
    <n v="171216.90478203745"/>
    <n v="6.6809915985141126"/>
    <x v="0"/>
    <x v="1"/>
    <s v="-"/>
    <n v="64959.797233370606"/>
    <s v="N"/>
    <x v="1"/>
  </r>
  <r>
    <s v="US Open 2020"/>
    <x v="17"/>
    <x v="8"/>
    <d v="1899-12-30T00:00:42"/>
    <n v="2.77"/>
    <d v="1900-01-05T07:59:34"/>
    <n v="7769466.9921261109"/>
    <n v="3141276.5024654684"/>
    <n v="41.73783365743477"/>
    <x v="0"/>
    <x v="1"/>
    <s v="-"/>
    <n v="547173.95605167747"/>
    <s v="Y"/>
    <x v="0"/>
  </r>
  <r>
    <s v="US Open 2020"/>
    <x v="17"/>
    <x v="53"/>
    <d v="1899-12-30T00:00:01"/>
    <n v="2.66"/>
    <d v="1899-12-30T03:35:29"/>
    <n v="189808.35299749565"/>
    <n v="74124.205458312528"/>
    <n v="1.3770521076225659"/>
    <x v="0"/>
    <x v="1"/>
    <s v="-"/>
    <n v="12929.300216946176"/>
    <s v="N"/>
    <x v="0"/>
  </r>
  <r>
    <s v="US Open 2020"/>
    <x v="17"/>
    <x v="54"/>
    <d v="1899-12-30T00:00:09"/>
    <n v="1.93"/>
    <d v="1899-12-31T01:35:41"/>
    <n v="1366086.0898092429"/>
    <n v="402078.35383080447"/>
    <n v="9.4363838076363873"/>
    <x v="0"/>
    <x v="1"/>
    <s v="-"/>
    <n v="92141.415037819781"/>
    <s v="N"/>
    <x v="0"/>
  </r>
  <r>
    <s v="US Open 2020"/>
    <x v="17"/>
    <x v="55"/>
    <d v="1899-12-30T00:00:11"/>
    <n v="3.84"/>
    <d v="1899-12-31T07:05:06"/>
    <n v="1500857.054483843"/>
    <n v="820376.75378912978"/>
    <n v="10.65771293166654"/>
    <x v="0"/>
    <x v="1"/>
    <s v="-"/>
    <n v="111905.71045824792"/>
    <s v="N"/>
    <x v="0"/>
  </r>
  <r>
    <s v="US Open 2020"/>
    <x v="17"/>
    <x v="41"/>
    <d v="1899-12-30T00:00:02"/>
    <n v="1.46"/>
    <d v="1899-12-30T04:50:01"/>
    <n v="250945.52579344413"/>
    <n v="58271.5195816833"/>
    <n v="1.7137021696485875"/>
    <x v="0"/>
    <x v="1"/>
    <s v="-"/>
    <n v="17401.023228060811"/>
    <s v="N"/>
    <x v="0"/>
  </r>
  <r>
    <s v="US Open 2020"/>
    <x v="17"/>
    <x v="33"/>
    <d v="1899-12-30T00:00:04"/>
    <n v="1.5"/>
    <d v="1899-12-30T14:40:13"/>
    <n v="834684.0893125888"/>
    <n v="197223.74385761906"/>
    <n v="4.2641472728137559"/>
    <x v="0"/>
    <x v="1"/>
    <s v="-"/>
    <n v="52813.138836088307"/>
    <s v="N"/>
    <x v="0"/>
  </r>
  <r>
    <s v="US Open 2020"/>
    <x v="17"/>
    <x v="24"/>
    <d v="1899-12-30T00:00:11"/>
    <n v="1.18"/>
    <d v="1899-12-31T11:59:18"/>
    <n v="2086434.4538748998"/>
    <n v="408074.11671417399"/>
    <n v="10.992774177222991"/>
    <x v="0"/>
    <x v="1"/>
    <s v="-"/>
    <n v="129558.22261533469"/>
    <s v="N"/>
    <x v="0"/>
  </r>
  <r>
    <s v="US Open 2020"/>
    <x v="17"/>
    <x v="9"/>
    <d v="1899-12-30T00:00:09"/>
    <n v="1.1100000000000001"/>
    <d v="1899-12-31T06:37:47"/>
    <n v="1885790.9387663493"/>
    <n v="350283.26714505325"/>
    <n v="8.6985964756509251"/>
    <x v="0"/>
    <x v="1"/>
    <s v="-"/>
    <n v="110266.86903372702"/>
    <s v="Y"/>
    <x v="0"/>
  </r>
  <r>
    <s v="US Open 2020"/>
    <x v="17"/>
    <x v="20"/>
    <d v="1899-12-30T00:00:04"/>
    <n v="1.84"/>
    <d v="1899-12-30T11:28:20"/>
    <n v="551420.93731874169"/>
    <n v="155036.40358660158"/>
    <n v="3.924778210943928"/>
    <x v="0"/>
    <x v="1"/>
    <s v="-"/>
    <n v="41299.863299193014"/>
    <s v="N"/>
    <x v="0"/>
  </r>
  <r>
    <s v="US Open 2020"/>
    <x v="18"/>
    <x v="14"/>
    <d v="1899-12-30T00:06:36"/>
    <n v="1.1299999999999999"/>
    <d v="1900-03-05T05:31:50"/>
    <n v="93736067.063934937"/>
    <n v="17600116.126863979"/>
    <n v="396.41968468743164"/>
    <x v="0"/>
    <x v="1"/>
    <s v="-"/>
    <n v="5635909.8890922824"/>
    <s v="N"/>
    <x v="0"/>
  </r>
  <r>
    <s v="US Open 2020"/>
    <x v="18"/>
    <x v="3"/>
    <d v="1899-12-30T00:00:10"/>
    <n v="0.74"/>
    <d v="1899-12-31T10:21:40"/>
    <n v="1825057.6309987246"/>
    <n v="250704.09187504469"/>
    <n v="9.8528558016632193"/>
    <x v="0"/>
    <x v="1"/>
    <s v="-"/>
    <n v="123699.68704980264"/>
    <s v="Y"/>
    <x v="0"/>
  </r>
  <r>
    <s v="US Open 2020"/>
    <x v="18"/>
    <x v="49"/>
    <d v="1899-12-30T00:01:49"/>
    <n v="2.35"/>
    <d v="1900-01-10T16:04:11"/>
    <n v="13387165.330808921"/>
    <n v="4672222.7013443932"/>
    <n v="109.36200461887852"/>
    <x v="0"/>
    <x v="1"/>
    <s v="-"/>
    <n v="1008250.8198715693"/>
    <s v="N"/>
    <x v="0"/>
  </r>
  <r>
    <s v="US Open 2020"/>
    <x v="18"/>
    <x v="21"/>
    <d v="1899-12-30T00:05:47"/>
    <n v="1.44"/>
    <d v="1900-02-02T14:48:33"/>
    <n v="39462203.645973258"/>
    <n v="9028155.5077820122"/>
    <n v="346.82033273946945"/>
    <x v="0"/>
    <x v="1"/>
    <s v="-"/>
    <n v="2990913.4243938145"/>
    <s v="N"/>
    <x v="0"/>
  </r>
  <r>
    <s v="US Open 2020"/>
    <x v="18"/>
    <x v="6"/>
    <d v="1899-12-30T00:00:11"/>
    <n v="1.43"/>
    <d v="1899-12-31T09:32:13"/>
    <n v="1730395.9634025295"/>
    <n v="395362.69809687097"/>
    <n v="10.96912897297843"/>
    <x v="1"/>
    <x v="1"/>
    <s v="-"/>
    <n v="120732.85151774761"/>
    <s v="N"/>
    <x v="0"/>
  </r>
  <r>
    <s v="US Open 2020"/>
    <x v="18"/>
    <x v="8"/>
    <d v="1899-12-30T00:00:53"/>
    <n v="1.38"/>
    <d v="1900-01-04T03:27:53"/>
    <n v="5864027.2041680422"/>
    <n v="1294753.750571487"/>
    <n v="52.785923753665784"/>
    <x v="0"/>
    <x v="1"/>
    <s v="-"/>
    <n v="444472.93255132053"/>
    <s v="Y"/>
    <x v="0"/>
  </r>
  <r>
    <s v="US Open 2020"/>
    <x v="18"/>
    <x v="9"/>
    <d v="1899-12-30T00:00:07"/>
    <n v="0.91"/>
    <d v="1899-12-30T23:44:30"/>
    <n v="1336045.7548150881"/>
    <n v="212317.4143006127"/>
    <n v="6.95974993059074"/>
    <x v="0"/>
    <x v="1"/>
    <s v="-"/>
    <n v="85470.162121707297"/>
    <s v="Y"/>
    <x v="0"/>
  </r>
  <r>
    <s v="US Open 2020"/>
    <x v="19"/>
    <x v="14"/>
    <d v="1899-12-30T00:03:39"/>
    <n v="1.1100000000000001"/>
    <d v="1900-02-03T04:18:58"/>
    <n v="55623241.217084743"/>
    <n v="10331573.733773539"/>
    <n v="219.09196892254238"/>
    <x v="0"/>
    <x v="0"/>
    <s v="Event"/>
    <n v="3039537.5587085048"/>
    <s v="N"/>
    <x v="0"/>
  </r>
  <r>
    <s v="US Open 2020"/>
    <x v="19"/>
    <x v="46"/>
    <d v="1899-12-30T00:01:04"/>
    <n v="1.4"/>
    <d v="1900-01-06T16:08:45"/>
    <n v="9037685.3915964905"/>
    <n v="2030382.3465791994"/>
    <n v="64.496108367409889"/>
    <x v="0"/>
    <x v="0"/>
    <s v="Event"/>
    <n v="662924.62935451814"/>
    <s v="N"/>
    <x v="0"/>
  </r>
  <r>
    <s v="US Open 2020"/>
    <x v="19"/>
    <x v="10"/>
    <d v="1899-12-30T00:00:02"/>
    <n v="1.72"/>
    <d v="1899-12-30T06:43:42"/>
    <n v="370761.99711342424"/>
    <n v="98658.661582052067"/>
    <n v="2.3288277751270732"/>
    <x v="0"/>
    <x v="0"/>
    <s v="Event"/>
    <n v="24221.878930455001"/>
    <s v="N"/>
    <x v="0"/>
  </r>
  <r>
    <s v="US Open 2020"/>
    <x v="19"/>
    <x v="4"/>
    <d v="1899-12-30T00:00:08"/>
    <n v="1.29"/>
    <d v="1899-12-30T20:11:01"/>
    <n v="973719.45214029739"/>
    <n v="203524.12527753389"/>
    <n v="7.8948262664482067"/>
    <x v="1"/>
    <x v="0"/>
    <s v="Event"/>
    <n v="72660.647585299026"/>
    <s v="Y"/>
    <x v="0"/>
  </r>
  <r>
    <s v="US Open 2020"/>
    <x v="19"/>
    <x v="6"/>
    <d v="1899-12-30T00:00:48"/>
    <n v="2.29"/>
    <d v="1900-01-04T04:48:10"/>
    <n v="6013304.9826686224"/>
    <n v="2059680.0140020964"/>
    <n v="48.108126696049034"/>
    <x v="1"/>
    <x v="0"/>
    <s v="Event"/>
    <n v="449290.00032267737"/>
    <s v="N"/>
    <x v="0"/>
  </r>
  <r>
    <s v="US Open 2020"/>
    <x v="19"/>
    <x v="8"/>
    <d v="1899-12-30T00:00:13"/>
    <n v="2.16"/>
    <d v="1899-12-31T08:41:00"/>
    <n v="1562012.6495416211"/>
    <n v="507876.22524926031"/>
    <n v="12.84618401505557"/>
    <x v="0"/>
    <x v="0"/>
    <s v="Event"/>
    <n v="117660.22266787631"/>
    <s v="Y"/>
    <x v="0"/>
  </r>
  <r>
    <s v="US Open 2020"/>
    <x v="20"/>
    <x v="42"/>
    <d v="1899-12-30T00:00:00"/>
    <n v="1.3"/>
    <d v="1899-12-30T01:03:38"/>
    <n v="53625.173884912256"/>
    <n v="11272.226051304096"/>
    <n v="0.43100371832801765"/>
    <x v="0"/>
    <x v="0"/>
    <s v="Event"/>
    <n v="3817.530790749066"/>
    <s v="N"/>
    <x v="0"/>
  </r>
  <r>
    <s v="US Open 2020"/>
    <x v="20"/>
    <x v="11"/>
    <d v="1899-12-30T00:00:32"/>
    <n v="1.33"/>
    <d v="1900-01-04T06:17:14"/>
    <n v="6627529.5540095428"/>
    <n v="1420542.4025585244"/>
    <n v="31.99116328834247"/>
    <x v="0"/>
    <x v="0"/>
    <s v="Event"/>
    <n v="454634.24155277206"/>
    <s v="N"/>
    <x v="0"/>
  </r>
  <r>
    <s v="US Open 2020"/>
    <x v="20"/>
    <x v="45"/>
    <d v="1899-12-30T00:00:38"/>
    <n v="1.97"/>
    <d v="1900-01-04T20:48:35"/>
    <n v="7979789.5487606432"/>
    <n v="2387656.3095168443"/>
    <n v="37.660601309580287"/>
    <x v="0"/>
    <x v="0"/>
    <s v="Event"/>
    <n v="506914.77970400243"/>
    <s v="N"/>
    <x v="0"/>
  </r>
  <r>
    <s v="US Open 2020"/>
    <x v="20"/>
    <x v="8"/>
    <d v="1899-12-30T00:00:20"/>
    <n v="1.43"/>
    <d v="1900-01-01T01:30:37"/>
    <n v="2416976.3302843706"/>
    <n v="551660.45295675262"/>
    <n v="20.161314712548705"/>
    <x v="0"/>
    <x v="0"/>
    <s v="Event"/>
    <n v="178237.11638238767"/>
    <s v="Y"/>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
  <r>
    <s v="Event"/>
    <x v="0"/>
    <x v="0"/>
    <d v="1899-12-30T00:12:04"/>
    <n v="1.76"/>
    <d v="1900-05-18T11:58:32"/>
    <n v="199941771.42100602"/>
    <n v="54163657.857637413"/>
    <n v="723.53160495032682"/>
    <x v="0"/>
    <x v="0"/>
    <x v="0"/>
    <n v="12052711.87269238"/>
    <x v="0"/>
    <x v="0"/>
  </r>
  <r>
    <s v="Event"/>
    <x v="0"/>
    <x v="1"/>
    <d v="1899-12-30T00:03:04"/>
    <n v="1.1499999999999999"/>
    <d v="1900-01-26T14:40:16"/>
    <n v="27825393.080896828"/>
    <n v="5307066.8685985729"/>
    <n v="183.99489260832925"/>
    <x v="0"/>
    <x v="0"/>
    <x v="0"/>
    <n v="2385615.9348318041"/>
    <x v="0"/>
    <x v="0"/>
  </r>
  <r>
    <s v="Event"/>
    <x v="0"/>
    <x v="2"/>
    <d v="1899-12-30T00:00:02"/>
    <n v="2.81"/>
    <d v="1899-12-30T05:48:53"/>
    <n v="296904.1525168129"/>
    <n v="121861.84405491954"/>
    <n v="1.7176552782601551"/>
    <x v="0"/>
    <x v="0"/>
    <x v="0"/>
    <n v="20933.14503340283"/>
    <x v="0"/>
    <x v="0"/>
  </r>
  <r>
    <s v="Event"/>
    <x v="0"/>
    <x v="3"/>
    <d v="1899-12-30T00:00:17"/>
    <n v="1"/>
    <d v="1900-01-02T01:12:14"/>
    <n v="4259570.262788279"/>
    <n v="730658.96301564516"/>
    <n v="16.665888617179451"/>
    <x v="0"/>
    <x v="0"/>
    <x v="0"/>
    <n v="263534.13205506001"/>
    <x v="0"/>
    <x v="0"/>
  </r>
  <r>
    <s v="Event"/>
    <x v="0"/>
    <x v="4"/>
    <d v="1899-12-30T00:00:13"/>
    <n v="1.38"/>
    <d v="1899-12-31T21:55:18"/>
    <n v="2061249.9219258667"/>
    <n v="455537.64273605472"/>
    <n v="13.04324946849399"/>
    <x v="1"/>
    <x v="0"/>
    <x v="0"/>
    <n v="165317.93710525025"/>
    <x v="0"/>
    <x v="0"/>
  </r>
  <r>
    <s v="Event"/>
    <x v="0"/>
    <x v="5"/>
    <d v="1899-12-30T00:00:19"/>
    <n v="2.81"/>
    <d v="1900-01-01T11:21:52"/>
    <n v="2583676.8067080891"/>
    <n v="1060285.6189543437"/>
    <n v="19.076087826223713"/>
    <x v="0"/>
    <x v="0"/>
    <x v="0"/>
    <n v="213712.27862927149"/>
    <x v="0"/>
    <x v="0"/>
  </r>
  <r>
    <s v="Event"/>
    <x v="0"/>
    <x v="6"/>
    <d v="1899-12-30T00:03:13"/>
    <n v="2.12"/>
    <d v="1900-01-24T10:31:26"/>
    <n v="26377398.655981284"/>
    <n v="8435172.4673582744"/>
    <n v="192.77661096383957"/>
    <x v="0"/>
    <x v="0"/>
    <x v="0"/>
    <n v="2197886.1962945685"/>
    <x v="0"/>
    <x v="0"/>
  </r>
  <r>
    <s v="Event"/>
    <x v="0"/>
    <x v="7"/>
    <d v="1899-12-30T00:00:10"/>
    <n v="0.9"/>
    <d v="1899-12-31T19:44:42"/>
    <n v="2457453.9439055673"/>
    <n v="387540.968229689"/>
    <n v="10.280744258873048"/>
    <x v="0"/>
    <x v="0"/>
    <x v="0"/>
    <n v="157481.77134264642"/>
    <x v="0"/>
    <x v="0"/>
  </r>
  <r>
    <s v="Event"/>
    <x v="1"/>
    <x v="0"/>
    <d v="1899-12-30T00:00:04"/>
    <n v="3.35"/>
    <d v="1899-12-30T10:26:55"/>
    <n v="496050.68093922274"/>
    <n v="238909.91315667221"/>
    <n v="3.7896111419038507"/>
    <x v="0"/>
    <x v="0"/>
    <x v="0"/>
    <n v="37614.883323528062"/>
    <x v="0"/>
    <x v="0"/>
  </r>
  <r>
    <s v="Event"/>
    <x v="1"/>
    <x v="1"/>
    <d v="1899-12-30T00:04:58"/>
    <n v="1.34"/>
    <d v="1900-02-25T10:17:51"/>
    <n v="82273246.66784139"/>
    <n v="17775711.288347546"/>
    <n v="298.45284969077699"/>
    <x v="0"/>
    <x v="0"/>
    <x v="0"/>
    <n v="4961871.063589002"/>
    <x v="0"/>
    <x v="0"/>
  </r>
  <r>
    <s v="Event"/>
    <x v="1"/>
    <x v="3"/>
    <d v="1899-12-30T00:00:07"/>
    <n v="0.76"/>
    <d v="1899-12-31T03:19:08"/>
    <n v="1486758.1446085277"/>
    <n v="207888.79933428825"/>
    <n v="6.7325880384731365"/>
    <x v="0"/>
    <x v="0"/>
    <x v="0"/>
    <n v="98347.615068623985"/>
    <x v="0"/>
    <x v="0"/>
  </r>
  <r>
    <s v="Event"/>
    <x v="1"/>
    <x v="8"/>
    <d v="1899-12-30T00:00:02"/>
    <n v="0.28999999999999998"/>
    <d v="1899-12-30T04:43:37"/>
    <n v="204189.43452714532"/>
    <n v="15886.754763950012"/>
    <n v="1.7846672721155896"/>
    <x v="0"/>
    <x v="0"/>
    <x v="0"/>
    <n v="17017.06220785842"/>
    <x v="1"/>
    <x v="0"/>
  </r>
  <r>
    <s v="Event"/>
    <x v="1"/>
    <x v="9"/>
    <d v="1899-12-30T00:00:01"/>
    <n v="0.3"/>
    <d v="1899-12-30T02:07:36"/>
    <n v="96376.332779151751"/>
    <n v="7498.4641955491234"/>
    <n v="0.77133082213083615"/>
    <x v="0"/>
    <x v="0"/>
    <x v="0"/>
    <n v="7656.0675467394676"/>
    <x v="1"/>
    <x v="0"/>
  </r>
  <r>
    <s v="Event"/>
    <x v="1"/>
    <x v="7"/>
    <d v="1899-12-30T00:00:07"/>
    <n v="0.73"/>
    <d v="1899-12-31T04:52:57"/>
    <n v="1668726.5057374085"/>
    <n v="226870.0856977604"/>
    <n v="6.833802378174533"/>
    <x v="0"/>
    <x v="0"/>
    <x v="0"/>
    <n v="103977.04351251651"/>
    <x v="0"/>
    <x v="0"/>
  </r>
  <r>
    <s v="Event"/>
    <x v="2"/>
    <x v="10"/>
    <d v="1899-12-30T00:13:38"/>
    <n v="1.35"/>
    <d v="1900-06-08T12:04:09"/>
    <n v="211464612.88960499"/>
    <n v="46123701.077095322"/>
    <n v="817.69571316534802"/>
    <x v="2"/>
    <x v="1"/>
    <x v="1"/>
    <n v="13867449.466212599"/>
    <x v="1"/>
    <x v="0"/>
  </r>
  <r>
    <s v="Event"/>
    <x v="3"/>
    <x v="0"/>
    <d v="1899-12-30T00:07:19"/>
    <n v="1.96"/>
    <d v="1900-03-26T19:36:22"/>
    <n v="96589595.402795643"/>
    <n v="28712779.957657825"/>
    <n v="438.82175113557872"/>
    <x v="0"/>
    <x v="0"/>
    <x v="0"/>
    <n v="7500981.806376108"/>
    <x v="0"/>
    <x v="0"/>
  </r>
  <r>
    <s v="Event"/>
    <x v="3"/>
    <x v="1"/>
    <d v="1899-12-30T00:00:05"/>
    <n v="0.68"/>
    <d v="1899-12-30T15:22:53"/>
    <n v="669007.27034683619"/>
    <n v="85817.713733959608"/>
    <n v="5.225761718780225"/>
    <x v="0"/>
    <x v="0"/>
    <x v="0"/>
    <n v="55373.16697012278"/>
    <x v="0"/>
    <x v="0"/>
  </r>
  <r>
    <s v="Event"/>
    <x v="3"/>
    <x v="11"/>
    <d v="1899-12-30T00:02:07"/>
    <n v="1.57"/>
    <d v="1900-01-23T14:26:28"/>
    <n v="31470566.424438152"/>
    <n v="7758305.4391277125"/>
    <n v="126.86771516078343"/>
    <x v="0"/>
    <x v="0"/>
    <x v="0"/>
    <n v="2125587.5131453513"/>
    <x v="1"/>
    <x v="0"/>
  </r>
  <r>
    <s v="Event"/>
    <x v="3"/>
    <x v="3"/>
    <d v="1899-12-30T00:00:26"/>
    <n v="1.23"/>
    <d v="1900-01-03T12:11:25"/>
    <n v="6248144.1972233579"/>
    <n v="1253648.1054383675"/>
    <n v="26.154163305048719"/>
    <x v="0"/>
    <x v="0"/>
    <x v="0"/>
    <n v="389485.45332913339"/>
    <x v="0"/>
    <x v="0"/>
  </r>
  <r>
    <s v="Event"/>
    <x v="3"/>
    <x v="12"/>
    <d v="1899-12-30T00:00:04"/>
    <n v="2.79"/>
    <d v="1899-12-30T09:54:08"/>
    <n v="422485.1619533443"/>
    <n v="172260.94085245798"/>
    <n v="3.7229654161683379"/>
    <x v="1"/>
    <x v="0"/>
    <x v="0"/>
    <n v="35647.527266072575"/>
    <x v="1"/>
    <x v="0"/>
  </r>
  <r>
    <s v="Event"/>
    <x v="3"/>
    <x v="8"/>
    <d v="1899-12-30T00:00:01"/>
    <n v="0.8"/>
    <d v="1899-12-30T03:11:00"/>
    <n v="135383.05209586927"/>
    <n v="19495.701034013557"/>
    <n v="1.2292494601703077"/>
    <x v="0"/>
    <x v="0"/>
    <x v="0"/>
    <n v="11460.075891221331"/>
    <x v="1"/>
    <x v="0"/>
  </r>
  <r>
    <s v="Event"/>
    <x v="3"/>
    <x v="4"/>
    <d v="1899-12-30T00:00:12"/>
    <n v="2.39"/>
    <d v="1900-01-01T03:47:53"/>
    <n v="2416746.0316298972"/>
    <n v="854214.08570895519"/>
    <n v="12.189919820767754"/>
    <x v="1"/>
    <x v="0"/>
    <x v="0"/>
    <n v="186473.18892484793"/>
    <x v="0"/>
    <x v="0"/>
  </r>
  <r>
    <s v="Event"/>
    <x v="3"/>
    <x v="13"/>
    <d v="1899-12-30T00:00:09"/>
    <n v="1.99"/>
    <d v="1899-12-30T22:32:07"/>
    <n v="963902.37767434912"/>
    <n v="291950.60775951744"/>
    <n v="8.9063652002948981"/>
    <x v="1"/>
    <x v="0"/>
    <x v="0"/>
    <n v="81127.425002047879"/>
    <x v="1"/>
    <x v="0"/>
  </r>
  <r>
    <s v="Event"/>
    <x v="3"/>
    <x v="5"/>
    <d v="1899-12-30T00:00:36"/>
    <n v="2.0099999999999998"/>
    <d v="1900-01-03T11:09:08"/>
    <n v="4583191.0745217474"/>
    <n v="1397773.8880885113"/>
    <n v="36.36590939658695"/>
    <x v="0"/>
    <x v="0"/>
    <x v="0"/>
    <n v="385748.36353348778"/>
    <x v="0"/>
    <x v="0"/>
  </r>
  <r>
    <s v="Event"/>
    <x v="3"/>
    <x v="14"/>
    <d v="1899-12-30T00:00:21"/>
    <n v="3.52"/>
    <d v="1900-01-02T01:55:07"/>
    <n v="3515967.9825374181"/>
    <n v="1775401.2932610365"/>
    <n v="20.750820252707179"/>
    <x v="0"/>
    <x v="0"/>
    <x v="0"/>
    <n v="266107.11824034981"/>
    <x v="1"/>
    <x v="0"/>
  </r>
  <r>
    <s v="Event"/>
    <x v="3"/>
    <x v="7"/>
    <d v="1899-12-30T00:00:25"/>
    <n v="1.1599999999999999"/>
    <d v="1900-01-03T09:55:24"/>
    <n v="6171445.2310337462"/>
    <n v="1190729.8105634395"/>
    <n v="24.742317107496298"/>
    <x v="0"/>
    <x v="0"/>
    <x v="0"/>
    <n v="381324.39193969057"/>
    <x v="0"/>
    <x v="0"/>
  </r>
  <r>
    <s v="Event"/>
    <x v="4"/>
    <x v="0"/>
    <d v="1899-12-30T00:00:02"/>
    <n v="1.93"/>
    <d v="1899-12-30T06:44:18"/>
    <n v="308917.03173064574"/>
    <n v="90702.98318862528"/>
    <n v="2.4955790663829167"/>
    <x v="0"/>
    <x v="0"/>
    <x v="0"/>
    <n v="24258.012892540359"/>
    <x v="0"/>
    <x v="0"/>
  </r>
  <r>
    <s v="Event"/>
    <x v="4"/>
    <x v="1"/>
    <d v="1899-12-30T00:09:20"/>
    <n v="1.42"/>
    <d v="1900-04-18T19:42:28"/>
    <n v="150892044.96853992"/>
    <n v="34303269.005513035"/>
    <n v="559.90268901434251"/>
    <x v="0"/>
    <x v="0"/>
    <x v="0"/>
    <n v="9488548.3142485749"/>
    <x v="0"/>
    <x v="0"/>
  </r>
  <r>
    <s v="Event"/>
    <x v="4"/>
    <x v="3"/>
    <d v="1899-12-30T00:00:19"/>
    <n v="1.2"/>
    <d v="1900-01-02T10:32:35"/>
    <n v="4631336.8594073858"/>
    <n v="912833.68405538588"/>
    <n v="19.280971659627244"/>
    <x v="0"/>
    <x v="0"/>
    <x v="0"/>
    <n v="297155.06280881842"/>
    <x v="0"/>
    <x v="0"/>
  </r>
  <r>
    <s v="Event"/>
    <x v="4"/>
    <x v="8"/>
    <d v="1899-12-30T00:00:00"/>
    <n v="0.3"/>
    <d v="1899-12-30T01:07:08"/>
    <n v="51296.256852716382"/>
    <n v="3991.0539681687455"/>
    <n v="0.4143956196531744"/>
    <x v="0"/>
    <x v="0"/>
    <x v="0"/>
    <n v="4028.088879078829"/>
    <x v="1"/>
    <x v="0"/>
  </r>
  <r>
    <s v="Event"/>
    <x v="4"/>
    <x v="5"/>
    <d v="1899-12-30T00:00:01"/>
    <n v="0.8"/>
    <d v="1899-12-30T02:14:46"/>
    <n v="102972.34391021523"/>
    <n v="14828.429412446634"/>
    <n v="0.83185968879430561"/>
    <x v="0"/>
    <x v="0"/>
    <x v="0"/>
    <n v="8086.004297513452"/>
    <x v="0"/>
    <x v="0"/>
  </r>
  <r>
    <s v="Event"/>
    <x v="4"/>
    <x v="7"/>
    <d v="1899-12-30T00:00:06"/>
    <n v="0.79"/>
    <d v="1899-12-30T23:54:12"/>
    <n v="1315929.4085472832"/>
    <n v="188112.89712699948"/>
    <n v="5.7784552226251931"/>
    <x v="0"/>
    <x v="0"/>
    <x v="0"/>
    <n v="86052.2367194908"/>
    <x v="0"/>
    <x v="0"/>
  </r>
  <r>
    <s v="Event"/>
    <x v="5"/>
    <x v="1"/>
    <d v="1899-12-30T00:04:20"/>
    <n v="1.31"/>
    <d v="1900-02-18T18:12:50"/>
    <n v="69494781.573463589"/>
    <n v="14715235.931134056"/>
    <n v="260.46962403086349"/>
    <x v="0"/>
    <x v="0"/>
    <x v="0"/>
    <n v="4385570.3990589809"/>
    <x v="0"/>
    <x v="0"/>
  </r>
  <r>
    <s v="Event"/>
    <x v="5"/>
    <x v="3"/>
    <d v="1899-12-30T00:00:20"/>
    <n v="1.1499999999999999"/>
    <d v="1900-01-02T16:19:27"/>
    <n v="4917283.4559495263"/>
    <n v="940238.37247621734"/>
    <n v="20.445755549171658"/>
    <x v="0"/>
    <x v="0"/>
    <x v="0"/>
    <n v="317967.39244936121"/>
    <x v="0"/>
    <x v="0"/>
  </r>
  <r>
    <s v="Event"/>
    <x v="5"/>
    <x v="5"/>
    <d v="1899-12-30T00:00:12"/>
    <n v="1.86"/>
    <d v="1899-12-31T05:35:37"/>
    <n v="1265803.9240530725"/>
    <n v="359928.81419664301"/>
    <n v="11.695906432748519"/>
    <x v="0"/>
    <x v="0"/>
    <x v="0"/>
    <n v="106537.15074723831"/>
    <x v="0"/>
    <x v="0"/>
  </r>
  <r>
    <s v="Event"/>
    <x v="5"/>
    <x v="7"/>
    <d v="1899-12-30T00:00:06"/>
    <n v="0.84"/>
    <d v="1899-12-31T02:05:11"/>
    <n v="1365474.0854312705"/>
    <n v="203467.08683038564"/>
    <n v="6.1722186520492155"/>
    <x v="0"/>
    <x v="0"/>
    <x v="0"/>
    <n v="93910.975447949459"/>
    <x v="0"/>
    <x v="0"/>
  </r>
  <r>
    <s v="Event"/>
    <x v="6"/>
    <x v="15"/>
    <d v="1899-12-30T00:00:05"/>
    <n v="4.13"/>
    <d v="1899-12-30T17:46:34"/>
    <n v="824582.17793237162"/>
    <n v="482371.8417084752"/>
    <n v="5.4655003791388959"/>
    <x v="0"/>
    <x v="0"/>
    <x v="0"/>
    <n v="63994.043963122167"/>
    <x v="1"/>
    <x v="0"/>
  </r>
  <r>
    <s v="Event"/>
    <x v="6"/>
    <x v="0"/>
    <d v="1899-12-30T00:17:48"/>
    <n v="1.84"/>
    <d v="1900-07-27T12:59:28"/>
    <n v="276966831.77346396"/>
    <n v="78273836.966372564"/>
    <n v="1067.5626158641485"/>
    <x v="0"/>
    <x v="0"/>
    <x v="0"/>
    <n v="18104368.267029263"/>
    <x v="0"/>
    <x v="0"/>
  </r>
  <r>
    <s v="Event"/>
    <x v="6"/>
    <x v="1"/>
    <d v="1899-12-30T00:00:15"/>
    <n v="1.81"/>
    <d v="1900-01-01T10:27:02"/>
    <n v="2613598.6384833707"/>
    <n v="728495.44332040148"/>
    <n v="15.295680754436493"/>
    <x v="0"/>
    <x v="0"/>
    <x v="0"/>
    <n v="210422.22126836018"/>
    <x v="0"/>
    <x v="0"/>
  </r>
  <r>
    <s v="Event"/>
    <x v="6"/>
    <x v="3"/>
    <d v="1899-12-30T00:00:18"/>
    <n v="0.99"/>
    <d v="1900-01-02T04:05:13"/>
    <n v="4390542.4718853338"/>
    <n v="745717.14890889928"/>
    <n v="17.772930808200638"/>
    <x v="0"/>
    <x v="0"/>
    <x v="0"/>
    <n v="273913.39315467607"/>
    <x v="0"/>
    <x v="0"/>
  </r>
  <r>
    <s v="Event"/>
    <x v="6"/>
    <x v="8"/>
    <d v="1899-12-30T00:00:08"/>
    <n v="1.38"/>
    <d v="1899-12-31T10:02:31"/>
    <n v="1862832.0680468795"/>
    <n v="413049.68920338835"/>
    <n v="7.897135877727842"/>
    <x v="0"/>
    <x v="0"/>
    <x v="0"/>
    <n v="122551.34116645847"/>
    <x v="1"/>
    <x v="0"/>
  </r>
  <r>
    <s v="Event"/>
    <x v="6"/>
    <x v="4"/>
    <d v="1899-12-30T00:00:28"/>
    <n v="2.54"/>
    <d v="1900-01-02T01:19:08"/>
    <n v="3130719.0934083862"/>
    <n v="1175320.5867838804"/>
    <n v="27.652621578363245"/>
    <x v="1"/>
    <x v="0"/>
    <x v="0"/>
    <n v="263947.50678594509"/>
    <x v="0"/>
    <x v="0"/>
  </r>
  <r>
    <s v="Event"/>
    <x v="6"/>
    <x v="5"/>
    <d v="1899-12-30T00:00:17"/>
    <n v="2.27"/>
    <d v="1900-01-01T02:09:17"/>
    <n v="2133064.6607157337"/>
    <n v="722458.86784361955"/>
    <n v="16.854248935180191"/>
    <x v="0"/>
    <x v="0"/>
    <x v="0"/>
    <n v="180557.07347739587"/>
    <x v="0"/>
    <x v="0"/>
  </r>
  <r>
    <s v="Event"/>
    <x v="6"/>
    <x v="9"/>
    <d v="1899-12-30T00:00:03"/>
    <n v="1.24"/>
    <d v="1899-12-30T10:27:23"/>
    <n v="481316.3278905396"/>
    <n v="97880.825510714581"/>
    <n v="3.2144926031451839"/>
    <x v="0"/>
    <x v="0"/>
    <x v="0"/>
    <n v="37642.619155734326"/>
    <x v="1"/>
    <x v="0"/>
  </r>
  <r>
    <s v="Event"/>
    <x v="6"/>
    <x v="7"/>
    <d v="1899-12-30T00:00:10"/>
    <n v="0.72"/>
    <d v="1899-12-31T18:26:35"/>
    <n v="2372317.5773334824"/>
    <n v="318186.59946412832"/>
    <n v="9.9141423604143224"/>
    <x v="0"/>
    <x v="0"/>
    <x v="0"/>
    <n v="152795.07940843268"/>
    <x v="0"/>
    <x v="0"/>
  </r>
  <r>
    <s v="Event"/>
    <x v="7"/>
    <x v="3"/>
    <d v="1899-12-30T00:00:09"/>
    <n v="1.0900000000000001"/>
    <d v="1899-12-31T15:07:27"/>
    <n v="2122887.2573930142"/>
    <n v="386353.03019167326"/>
    <n v="9.1948170018563342"/>
    <x v="0"/>
    <x v="0"/>
    <x v="1"/>
    <n v="140847.39705241387"/>
    <x v="0"/>
    <x v="0"/>
  </r>
  <r>
    <s v="Event"/>
    <x v="7"/>
    <x v="16"/>
    <d v="1899-12-30T00:00:09"/>
    <n v="2.2799999999999998"/>
    <d v="1899-12-30T23:41:53"/>
    <n v="1023455.0346539192"/>
    <n v="349106.38403042866"/>
    <n v="8.7663847158607773"/>
    <x v="0"/>
    <x v="0"/>
    <x v="1"/>
    <n v="85313.29450878223"/>
    <x v="1"/>
    <x v="0"/>
  </r>
  <r>
    <s v="Event"/>
    <x v="7"/>
    <x v="5"/>
    <d v="1899-12-30T00:00:18"/>
    <n v="2.4"/>
    <d v="1900-01-02T06:53:36"/>
    <n v="3661541.1329295193"/>
    <n v="1304201.9983470023"/>
    <n v="18.005150100851626"/>
    <x v="0"/>
    <x v="0"/>
    <x v="1"/>
    <n v="284015.99347908504"/>
    <x v="0"/>
    <x v="0"/>
  </r>
  <r>
    <s v="Event"/>
    <x v="7"/>
    <x v="6"/>
    <d v="1899-12-30T00:02:30"/>
    <n v="2.09"/>
    <d v="1900-01-20T07:41:32"/>
    <n v="22386142.629101913"/>
    <n v="7049048.7156101735"/>
    <n v="150.31599526334352"/>
    <x v="0"/>
    <x v="0"/>
    <x v="1"/>
    <n v="1842092.124717677"/>
    <x v="0"/>
    <x v="0"/>
  </r>
  <r>
    <s v="Event"/>
    <x v="7"/>
    <x v="7"/>
    <d v="1899-12-30T00:00:08"/>
    <n v="1.08"/>
    <d v="1899-12-31T08:32:22"/>
    <n v="1895588.5638017484"/>
    <n v="343711.43097567337"/>
    <n v="7.6472979892061659"/>
    <x v="0"/>
    <x v="0"/>
    <x v="1"/>
    <n v="117142.30049889976"/>
    <x v="0"/>
    <x v="0"/>
  </r>
  <r>
    <s v="Event"/>
    <x v="8"/>
    <x v="17"/>
    <d v="1899-12-30T00:00:05"/>
    <n v="2.42"/>
    <d v="1899-12-30T20:22:25"/>
    <n v="1082727.9040411152"/>
    <n v="388361.19378394849"/>
    <n v="5.4137715646045486"/>
    <x v="0"/>
    <x v="0"/>
    <x v="0"/>
    <n v="73345.471880699188"/>
    <x v="1"/>
    <x v="0"/>
  </r>
  <r>
    <s v="Event"/>
    <x v="8"/>
    <x v="18"/>
    <d v="1899-12-30T00:00:17"/>
    <n v="1.48"/>
    <d v="1900-01-02T08:38:46"/>
    <n v="4298469.1832926841"/>
    <n v="1010283.1472458785"/>
    <n v="17.462270395257477"/>
    <x v="0"/>
    <x v="0"/>
    <x v="0"/>
    <n v="290325.80129369942"/>
    <x v="1"/>
    <x v="0"/>
  </r>
  <r>
    <s v="Event"/>
    <x v="8"/>
    <x v="3"/>
    <d v="1899-12-30T00:00:10"/>
    <n v="1.0900000000000001"/>
    <d v="1899-12-31T16:44:56"/>
    <n v="2112189.8570759632"/>
    <n v="386434.90555282473"/>
    <n v="10.042345150015564"/>
    <x v="0"/>
    <x v="0"/>
    <x v="0"/>
    <n v="146695.54851064048"/>
    <x v="0"/>
    <x v="0"/>
  </r>
  <r>
    <s v="Event"/>
    <x v="8"/>
    <x v="5"/>
    <d v="1899-12-30T00:00:05"/>
    <n v="2"/>
    <d v="1899-12-30T12:34:25"/>
    <n v="537324.36015733774"/>
    <n v="162746.95150189506"/>
    <n v="4.8430493273542687"/>
    <x v="0"/>
    <x v="0"/>
    <x v="0"/>
    <n v="45264.749327354344"/>
    <x v="0"/>
    <x v="0"/>
  </r>
  <r>
    <s v="Event"/>
    <x v="8"/>
    <x v="7"/>
    <d v="1899-12-30T00:00:06"/>
    <n v="1.24"/>
    <d v="1899-12-31T00:29:03"/>
    <n v="1407804.4180057903"/>
    <n v="285042.6276285905"/>
    <n v="5.8086302118726669"/>
    <x v="0"/>
    <x v="0"/>
    <x v="0"/>
    <n v="88142.618662270717"/>
    <x v="0"/>
    <x v="0"/>
  </r>
  <r>
    <s v="Event"/>
    <x v="9"/>
    <x v="0"/>
    <d v="1899-12-30T00:00:02"/>
    <n v="1.26"/>
    <d v="1899-12-30T06:29:09"/>
    <n v="287910.77734374942"/>
    <n v="59171.697593805067"/>
    <n v="2.2542992892588294"/>
    <x v="0"/>
    <x v="0"/>
    <x v="0"/>
    <n v="23348.822230857717"/>
    <x v="0"/>
    <x v="0"/>
  </r>
  <r>
    <s v="Event"/>
    <x v="9"/>
    <x v="1"/>
    <d v="1899-12-30T00:00:03"/>
    <n v="2.64"/>
    <d v="1899-12-30T09:45:04"/>
    <n v="435969.70425615442"/>
    <n v="169341.27298969557"/>
    <n v="3.4783621450221438"/>
    <x v="0"/>
    <x v="0"/>
    <x v="0"/>
    <n v="35103.576659707884"/>
    <x v="0"/>
    <x v="0"/>
  </r>
  <r>
    <s v="Event"/>
    <x v="9"/>
    <x v="3"/>
    <d v="1899-12-30T00:00:03"/>
    <n v="0.72"/>
    <d v="1899-12-30T14:57:32"/>
    <n v="807649.29647251999"/>
    <n v="107940.64004025886"/>
    <n v="3.4627282309732088"/>
    <x v="0"/>
    <x v="0"/>
    <x v="0"/>
    <n v="53851.503003416663"/>
    <x v="0"/>
    <x v="0"/>
  </r>
  <r>
    <s v="Event"/>
    <x v="9"/>
    <x v="8"/>
    <d v="1899-12-30T00:00:20"/>
    <n v="0.94"/>
    <d v="1900-01-02T17:09:41"/>
    <n v="5264674.5243137833"/>
    <n v="859391.72900686436"/>
    <n v="20.111249372446366"/>
    <x v="0"/>
    <x v="0"/>
    <x v="0"/>
    <n v="320981.41693822743"/>
    <x v="1"/>
    <x v="0"/>
  </r>
  <r>
    <s v="Event"/>
    <x v="9"/>
    <x v="4"/>
    <d v="1899-12-30T00:00:12"/>
    <n v="2.99"/>
    <d v="1900-01-01T01:15:14"/>
    <n v="2501727.1703947168"/>
    <n v="1086075.7029260893"/>
    <n v="12.459432065959016"/>
    <x v="1"/>
    <x v="0"/>
    <x v="0"/>
    <n v="177314.31356991798"/>
    <x v="0"/>
    <x v="0"/>
  </r>
  <r>
    <s v="Event"/>
    <x v="9"/>
    <x v="13"/>
    <d v="1899-12-30T00:03:44"/>
    <n v="2.19"/>
    <d v="1900-02-02T14:32:17"/>
    <n v="35787430.089873046"/>
    <n v="11733365.374114553"/>
    <n v="224.10380715584799"/>
    <x v="1"/>
    <x v="0"/>
    <x v="0"/>
    <n v="2989936.59561519"/>
    <x v="1"/>
    <x v="0"/>
  </r>
  <r>
    <s v="Event"/>
    <x v="9"/>
    <x v="5"/>
    <d v="1899-12-30T00:00:04"/>
    <n v="1.36"/>
    <d v="1899-12-30T10:35:47"/>
    <n v="451965.43712016317"/>
    <n v="98863.123154365283"/>
    <n v="3.6420277398278751"/>
    <x v="0"/>
    <x v="0"/>
    <x v="0"/>
    <n v="38146.685550953174"/>
    <x v="0"/>
    <x v="0"/>
  </r>
  <r>
    <s v="Event"/>
    <x v="9"/>
    <x v="19"/>
    <d v="1899-12-30T00:14:18"/>
    <n v="1.37"/>
    <d v="1900-06-17T13:39:31"/>
    <n v="226009762.95199892"/>
    <n v="49826104.340821736"/>
    <n v="857.7168801253581"/>
    <x v="0"/>
    <x v="0"/>
    <x v="0"/>
    <n v="14650771.388323456"/>
    <x v="1"/>
    <x v="0"/>
  </r>
  <r>
    <s v="Event"/>
    <x v="9"/>
    <x v="7"/>
    <d v="1899-12-30T00:00:06"/>
    <n v="0.73"/>
    <d v="1899-12-31T00:09:19"/>
    <n v="1364595.5678253549"/>
    <n v="185480.84082586641"/>
    <n v="5.8675759834234835"/>
    <x v="0"/>
    <x v="0"/>
    <x v="0"/>
    <n v="86959.000014209509"/>
    <x v="0"/>
    <x v="0"/>
  </r>
  <r>
    <s v="Event"/>
    <x v="10"/>
    <x v="1"/>
    <d v="1899-12-30T00:06:42"/>
    <n v="1.36"/>
    <d v="1900-03-19T10:12:11"/>
    <n v="101960627.76842795"/>
    <n v="22320631.588906646"/>
    <n v="401.74929966965249"/>
    <x v="0"/>
    <x v="0"/>
    <x v="0"/>
    <n v="6862331.0106930416"/>
    <x v="0"/>
    <x v="0"/>
  </r>
  <r>
    <s v="Event"/>
    <x v="10"/>
    <x v="3"/>
    <d v="1899-12-30T00:00:11"/>
    <n v="1.21"/>
    <d v="1899-12-31T18:52:52"/>
    <n v="2431887.0689224321"/>
    <n v="482256.89444444887"/>
    <n v="10.504929514269916"/>
    <x v="0"/>
    <x v="0"/>
    <x v="0"/>
    <n v="154371.91764058825"/>
    <x v="0"/>
    <x v="0"/>
  </r>
  <r>
    <s v="Event"/>
    <x v="10"/>
    <x v="7"/>
    <d v="1899-12-30T00:00:03"/>
    <n v="0.59"/>
    <d v="1899-12-30T11:27:36"/>
    <n v="587717.61305119167"/>
    <n v="68859.147552114577"/>
    <n v="2.9629378385800953"/>
    <x v="0"/>
    <x v="0"/>
    <x v="0"/>
    <n v="41255.842761564898"/>
    <x v="0"/>
    <x v="0"/>
  </r>
  <r>
    <s v="Event"/>
    <x v="10"/>
    <x v="20"/>
    <d v="1899-12-30T00:00:01"/>
    <n v="2.2999999999999998"/>
    <d v="1899-12-30T01:41:18"/>
    <n v="72625.316281043808"/>
    <n v="24881.72385915073"/>
    <n v="0.654532853912971"/>
    <x v="0"/>
    <x v="0"/>
    <x v="0"/>
    <n v="6078.3302567437049"/>
    <x v="1"/>
    <x v="0"/>
  </r>
  <r>
    <s v="Event"/>
    <x v="11"/>
    <x v="0"/>
    <d v="1899-12-30T00:13:22"/>
    <n v="2.0299999999999998"/>
    <d v="1900-06-06T16:51:46"/>
    <n v="219378181.29369369"/>
    <n v="67310003.173755556"/>
    <n v="802.17268356648731"/>
    <x v="0"/>
    <x v="0"/>
    <x v="0"/>
    <n v="13711906.233984919"/>
    <x v="0"/>
    <x v="0"/>
  </r>
  <r>
    <s v="Event"/>
    <x v="11"/>
    <x v="1"/>
    <d v="1899-12-30T00:00:00"/>
    <n v="0.3"/>
    <d v="1899-12-30T01:08:16"/>
    <n v="51341.926782919305"/>
    <n v="3994.6072714182546"/>
    <n v="0.41797380765393738"/>
    <x v="0"/>
    <x v="0"/>
    <x v="0"/>
    <n v="4095.602155031509"/>
    <x v="0"/>
    <x v="0"/>
  </r>
  <r>
    <s v="Event"/>
    <x v="11"/>
    <x v="11"/>
    <d v="1899-12-30T00:02:07"/>
    <n v="1.4"/>
    <d v="1900-01-23T14:08:07"/>
    <n v="31799060.225333456"/>
    <n v="7132552.4378145793"/>
    <n v="127.33165501058274"/>
    <x v="0"/>
    <x v="0"/>
    <x v="0"/>
    <n v="2124486.8566248449"/>
    <x v="1"/>
    <x v="0"/>
  </r>
  <r>
    <s v="Event"/>
    <x v="11"/>
    <x v="3"/>
    <d v="1899-12-30T00:00:06"/>
    <n v="0.9"/>
    <d v="1899-12-30T23:49:51"/>
    <n v="1244009.8315930245"/>
    <n v="195958.96454854993"/>
    <n v="5.6006103567995433"/>
    <x v="0"/>
    <x v="0"/>
    <x v="0"/>
    <n v="85790.874413351601"/>
    <x v="0"/>
    <x v="0"/>
  </r>
  <r>
    <s v="Event"/>
    <x v="11"/>
    <x v="4"/>
    <d v="1899-12-30T00:00:05"/>
    <n v="2.39"/>
    <d v="1899-12-30T17:09:48"/>
    <n v="842154.06249633606"/>
    <n v="299284.6005811388"/>
    <n v="4.8771892903948988"/>
    <x v="1"/>
    <x v="0"/>
    <x v="0"/>
    <n v="61787.897241789586"/>
    <x v="0"/>
    <x v="0"/>
  </r>
  <r>
    <s v="Event"/>
    <x v="11"/>
    <x v="13"/>
    <d v="1899-12-30T00:00:02"/>
    <n v="1.21"/>
    <d v="1899-12-30T06:18:04"/>
    <n v="279287.88848923659"/>
    <n v="55726.09127380624"/>
    <n v="2.3319125304341854"/>
    <x v="1"/>
    <x v="0"/>
    <x v="0"/>
    <n v="22683.703754430797"/>
    <x v="1"/>
    <x v="0"/>
  </r>
  <r>
    <s v="Event"/>
    <x v="11"/>
    <x v="5"/>
    <d v="1899-12-30T00:00:02"/>
    <n v="1.23"/>
    <d v="1899-12-30T04:57:17"/>
    <n v="231954.32856981273"/>
    <n v="46577.94088633042"/>
    <n v="1.7122723864051395"/>
    <x v="0"/>
    <x v="0"/>
    <x v="0"/>
    <n v="17837.237056911959"/>
    <x v="0"/>
    <x v="0"/>
  </r>
  <r>
    <s v="Event"/>
    <x v="11"/>
    <x v="9"/>
    <d v="1899-12-30T00:00:02"/>
    <n v="3"/>
    <d v="1899-12-30T05:21:12"/>
    <n v="228794.23209548878"/>
    <n v="99590.468523452742"/>
    <n v="2.0705237932214988"/>
    <x v="0"/>
    <x v="0"/>
    <x v="0"/>
    <n v="19271.836740842169"/>
    <x v="1"/>
    <x v="0"/>
  </r>
  <r>
    <s v="Event"/>
    <x v="11"/>
    <x v="7"/>
    <d v="1899-12-30T00:00:13"/>
    <n v="1.0900000000000001"/>
    <d v="1900-01-01T06:44:16"/>
    <n v="3143970.4084349344"/>
    <n v="577283.87209126004"/>
    <n v="12.786015461753262"/>
    <x v="0"/>
    <x v="0"/>
    <x v="0"/>
    <n v="197055.9002255837"/>
    <x v="0"/>
    <x v="0"/>
  </r>
  <r>
    <s v="Event"/>
    <x v="12"/>
    <x v="1"/>
    <d v="1899-12-30T00:03:59"/>
    <n v="1.42"/>
    <d v="1900-02-14T15:39:07"/>
    <n v="66480610.867013708"/>
    <n v="15112484.877171859"/>
    <n v="239.40402886537353"/>
    <x v="0"/>
    <x v="0"/>
    <x v="0"/>
    <n v="4030746.6138399108"/>
    <x v="0"/>
    <x v="0"/>
  </r>
  <r>
    <s v="Event"/>
    <x v="12"/>
    <x v="3"/>
    <d v="1899-12-30T00:00:09"/>
    <n v="1.34"/>
    <d v="1899-12-31T11:08:59"/>
    <n v="1921714.8445863225"/>
    <n v="415478.84114442085"/>
    <n v="8.6624880953806596"/>
    <x v="0"/>
    <x v="0"/>
    <x v="0"/>
    <n v="126539.01291341191"/>
    <x v="0"/>
    <x v="0"/>
  </r>
  <r>
    <s v="Event"/>
    <x v="12"/>
    <x v="21"/>
    <d v="1899-12-30T00:12:53"/>
    <n v="2.75"/>
    <d v="1900-05-31T23:45:50"/>
    <n v="193020680.28347954"/>
    <n v="77879313.886755481"/>
    <n v="773.29868008401036"/>
    <x v="0"/>
    <x v="0"/>
    <x v="0"/>
    <n v="13218349.626458449"/>
    <x v="1"/>
    <x v="0"/>
  </r>
  <r>
    <s v="Event"/>
    <x v="12"/>
    <x v="16"/>
    <d v="1899-12-30T00:00:59"/>
    <n v="1.87"/>
    <d v="1900-01-05T13:47:28"/>
    <n v="6748829.7970267944"/>
    <n v="1928121.7800088904"/>
    <n v="58.994422978530814"/>
    <x v="0"/>
    <x v="0"/>
    <x v="0"/>
    <n v="568048.23666141031"/>
    <x v="1"/>
    <x v="0"/>
  </r>
  <r>
    <s v="Event"/>
    <x v="12"/>
    <x v="4"/>
    <d v="1899-12-30T00:00:05"/>
    <n v="1.74"/>
    <d v="1899-12-30T15:29:14"/>
    <n v="703861.27770872752"/>
    <n v="189627.60129165187"/>
    <n v="5.4125818499314677"/>
    <x v="1"/>
    <x v="0"/>
    <x v="0"/>
    <n v="55753.987770057269"/>
    <x v="0"/>
    <x v="0"/>
  </r>
  <r>
    <s v="Event"/>
    <x v="12"/>
    <x v="13"/>
    <d v="1899-12-30T00:00:05"/>
    <n v="2.46"/>
    <d v="1899-12-30T14:33:09"/>
    <n v="664344.73859308497"/>
    <n v="241708.11849530603"/>
    <n v="5.0859146921671607"/>
    <x v="1"/>
    <x v="0"/>
    <x v="0"/>
    <n v="52389.050809500972"/>
    <x v="1"/>
    <x v="0"/>
  </r>
  <r>
    <s v="Event"/>
    <x v="12"/>
    <x v="5"/>
    <d v="1899-12-30T00:00:02"/>
    <n v="3"/>
    <d v="1899-12-30T05:41:08"/>
    <n v="257652.41149594498"/>
    <n v="112151.97228560092"/>
    <n v="2.062075207183546"/>
    <x v="0"/>
    <x v="0"/>
    <x v="0"/>
    <n v="20467.724897911699"/>
    <x v="0"/>
    <x v="0"/>
  </r>
  <r>
    <s v="Event"/>
    <x v="12"/>
    <x v="7"/>
    <d v="1899-12-30T00:00:02"/>
    <n v="0.84"/>
    <d v="1899-12-30T06:37:34"/>
    <n v="351912.45998109924"/>
    <n v="52393.519855499151"/>
    <n v="1.6277549618358214"/>
    <x v="0"/>
    <x v="0"/>
    <x v="0"/>
    <n v="23853.941870535389"/>
    <x v="0"/>
    <x v="0"/>
  </r>
  <r>
    <s v="Event"/>
    <x v="13"/>
    <x v="22"/>
    <d v="1899-12-30T00:00:25"/>
    <n v="1.63"/>
    <d v="1900-01-03T18:31:58"/>
    <n v="6244971.3103255788"/>
    <n v="1587148.0227758086"/>
    <n v="24.559246943763245"/>
    <x v="0"/>
    <x v="0"/>
    <x v="0"/>
    <n v="412317.93149495363"/>
    <x v="1"/>
    <x v="0"/>
  </r>
  <r>
    <s v="Event"/>
    <x v="13"/>
    <x v="11"/>
    <d v="1899-12-30T00:00:02"/>
    <n v="1.51"/>
    <d v="1899-12-30T06:10:15"/>
    <n v="290287.44530694355"/>
    <n v="69290.251231860457"/>
    <n v="2.2671069778491266"/>
    <x v="0"/>
    <x v="0"/>
    <x v="0"/>
    <n v="22214.713109137065"/>
    <x v="1"/>
    <x v="0"/>
  </r>
  <r>
    <s v="Event"/>
    <x v="13"/>
    <x v="23"/>
    <d v="1899-12-30T00:00:03"/>
    <n v="0.79"/>
    <d v="1899-12-30T07:53:32"/>
    <n v="383038.90533318167"/>
    <n v="54985.593756659524"/>
    <n v="2.5457882382063901"/>
    <x v="0"/>
    <x v="0"/>
    <x v="0"/>
    <n v="28412.445716188886"/>
    <x v="1"/>
    <x v="0"/>
  </r>
  <r>
    <s v="Event"/>
    <x v="13"/>
    <x v="3"/>
    <d v="1899-12-30T00:00:07"/>
    <n v="1.0900000000000001"/>
    <d v="1899-12-31T05:47:01"/>
    <n v="1525042.3236739279"/>
    <n v="277283.30515906337"/>
    <n v="7.3400457919457143"/>
    <x v="0"/>
    <x v="0"/>
    <x v="0"/>
    <n v="107221.17468159576"/>
    <x v="0"/>
    <x v="0"/>
  </r>
  <r>
    <s v="Event"/>
    <x v="13"/>
    <x v="24"/>
    <d v="1899-12-30T00:00:01"/>
    <n v="1.3"/>
    <d v="1899-12-30T03:21:11"/>
    <n v="144232.89086376328"/>
    <n v="30318.330591126491"/>
    <n v="1.2998933501349601"/>
    <x v="0"/>
    <x v="0"/>
    <x v="0"/>
    <n v="12071.481260917475"/>
    <x v="1"/>
    <x v="0"/>
  </r>
  <r>
    <s v="Event"/>
    <x v="13"/>
    <x v="25"/>
    <d v="1899-12-30T00:11:18"/>
    <n v="1.37"/>
    <d v="1900-05-12T22:02:06"/>
    <n v="180392394.99290252"/>
    <n v="39675298.76568906"/>
    <n v="677.78889011267393"/>
    <x v="0"/>
    <x v="0"/>
    <x v="0"/>
    <n v="11570526.047301715"/>
    <x v="1"/>
    <x v="0"/>
  </r>
  <r>
    <s v="Event"/>
    <x v="13"/>
    <x v="26"/>
    <d v="1899-12-30T00:00:21"/>
    <n v="1.62"/>
    <d v="1900-01-02T22:28:18"/>
    <n v="4915292.6917261845"/>
    <n v="1242858.304772327"/>
    <n v="20.569563218969837"/>
    <x v="0"/>
    <x v="0"/>
    <x v="0"/>
    <n v="340097.79249064659"/>
    <x v="1"/>
    <x v="0"/>
  </r>
  <r>
    <s v="Event"/>
    <x v="13"/>
    <x v="4"/>
    <d v="1899-12-30T00:00:08"/>
    <n v="1.73"/>
    <d v="1899-12-30T21:28:30"/>
    <n v="918336.22779950616"/>
    <n v="246495.47356375901"/>
    <n v="8.4470648773857491"/>
    <x v="1"/>
    <x v="0"/>
    <x v="0"/>
    <n v="77309.886511151679"/>
    <x v="0"/>
    <x v="0"/>
  </r>
  <r>
    <s v="Event"/>
    <x v="13"/>
    <x v="5"/>
    <d v="1899-12-30T00:00:09"/>
    <n v="1.66"/>
    <d v="1899-12-31T03:17:45"/>
    <n v="1176956.9899053513"/>
    <n v="305046.50561053795"/>
    <n v="8.5609365971792446"/>
    <x v="0"/>
    <x v="0"/>
    <x v="0"/>
    <n v="98264.79403213934"/>
    <x v="0"/>
    <x v="0"/>
  </r>
  <r>
    <s v="Event"/>
    <x v="13"/>
    <x v="27"/>
    <d v="1899-12-30T00:00:07"/>
    <n v="1.63"/>
    <d v="1899-12-31T08:22:39"/>
    <n v="1733686.4667259264"/>
    <n v="442346.52099645813"/>
    <n v="7.4807417234889435"/>
    <x v="0"/>
    <x v="0"/>
    <x v="0"/>
    <n v="116559.15113032622"/>
    <x v="1"/>
    <x v="0"/>
  </r>
  <r>
    <s v="Event"/>
    <x v="13"/>
    <x v="28"/>
    <d v="1899-12-30T00:00:01"/>
    <n v="1.19"/>
    <d v="1899-12-30T03:56:06"/>
    <n v="176102.12225239837"/>
    <n v="34615.988605830593"/>
    <n v="1.3548536769339103"/>
    <x v="0"/>
    <x v="0"/>
    <x v="0"/>
    <n v="14165.90520239704"/>
    <x v="1"/>
    <x v="0"/>
  </r>
  <r>
    <s v="Event"/>
    <x v="13"/>
    <x v="29"/>
    <d v="1899-12-30T00:00:16"/>
    <n v="1.87"/>
    <d v="1899-12-31T22:33:32"/>
    <n v="2330298.4855567124"/>
    <n v="666401.16450678662"/>
    <n v="15.524091269547162"/>
    <x v="0"/>
    <x v="0"/>
    <x v="0"/>
    <n v="167611.78073208139"/>
    <x v="1"/>
    <x v="0"/>
  </r>
  <r>
    <s v="Event"/>
    <x v="13"/>
    <x v="30"/>
    <d v="1899-12-30T00:00:05"/>
    <n v="1.43"/>
    <d v="1899-12-30T20:08:20"/>
    <n v="934841.76074006013"/>
    <n v="213244.62827699276"/>
    <n v="4.937657935237298"/>
    <x v="0"/>
    <x v="0"/>
    <x v="0"/>
    <n v="72499.524480500637"/>
    <x v="1"/>
    <x v="0"/>
  </r>
  <r>
    <s v="Event"/>
    <x v="13"/>
    <x v="7"/>
    <d v="1899-12-30T00:00:05"/>
    <n v="1.07"/>
    <d v="1899-12-30T21:36:08"/>
    <n v="1199867.3893359851"/>
    <n v="217013.82629883531"/>
    <n v="5.3789832978619225"/>
    <x v="0"/>
    <x v="0"/>
    <x v="0"/>
    <n v="77768.169097458362"/>
    <x v="0"/>
    <x v="0"/>
  </r>
  <r>
    <s v="Event"/>
    <x v="14"/>
    <x v="31"/>
    <d v="1899-12-30T00:00:08"/>
    <n v="2.27"/>
    <d v="1899-12-31T07:28:39"/>
    <n v="1672844.6901786062"/>
    <n v="565735.00739213859"/>
    <n v="7.8184149845744813"/>
    <x v="0"/>
    <x v="2"/>
    <x v="0"/>
    <n v="113318.92968061095"/>
    <x v="1"/>
    <x v="0"/>
  </r>
  <r>
    <s v="Event"/>
    <x v="14"/>
    <x v="32"/>
    <d v="1899-12-30T00:03:16"/>
    <n v="1.9"/>
    <d v="1900-02-06T09:30:36"/>
    <n v="47860662.925457343"/>
    <n v="13868806.756974252"/>
    <n v="195.61298602277552"/>
    <x v="0"/>
    <x v="2"/>
    <x v="0"/>
    <n v="3317436.0033085551"/>
    <x v="1"/>
    <x v="1"/>
  </r>
  <r>
    <s v="Event"/>
    <x v="14"/>
    <x v="0"/>
    <d v="1899-12-30T00:00:02"/>
    <n v="2.74"/>
    <d v="1899-12-30T04:56:02"/>
    <n v="258125.57474201423"/>
    <n v="104725.35656469113"/>
    <n v="1.5178422466506127"/>
    <x v="0"/>
    <x v="2"/>
    <x v="0"/>
    <n v="17761.986868174688"/>
    <x v="0"/>
    <x v="0"/>
  </r>
  <r>
    <s v="Event"/>
    <x v="14"/>
    <x v="1"/>
    <d v="1899-12-30T00:00:02"/>
    <n v="1.55"/>
    <d v="1899-12-30T04:20:05"/>
    <n v="196433.50237016694"/>
    <n v="47793.056860671109"/>
    <n v="1.5721205664093949"/>
    <x v="0"/>
    <x v="2"/>
    <x v="0"/>
    <n v="15604.53816016055"/>
    <x v="0"/>
    <x v="0"/>
  </r>
  <r>
    <s v="Event"/>
    <x v="14"/>
    <x v="33"/>
    <d v="1899-12-30T00:00:05"/>
    <n v="2.3199999999999998"/>
    <d v="1899-12-30T17:16:32"/>
    <n v="811997.66486660508"/>
    <n v="279470.91405279847"/>
    <n v="5.0087146978319339"/>
    <x v="1"/>
    <x v="2"/>
    <x v="0"/>
    <n v="62192.428486962395"/>
    <x v="1"/>
    <x v="0"/>
  </r>
  <r>
    <s v="Event"/>
    <x v="14"/>
    <x v="34"/>
    <d v="1899-12-30T00:00:09"/>
    <n v="1.43"/>
    <d v="1899-12-31T14:47:48"/>
    <n v="1967675.2829797214"/>
    <n v="448657.63081493392"/>
    <n v="8.7762298172576472"/>
    <x v="0"/>
    <x v="2"/>
    <x v="0"/>
    <n v="139668.30016031786"/>
    <x v="1"/>
    <x v="1"/>
  </r>
  <r>
    <s v="Event"/>
    <x v="14"/>
    <x v="8"/>
    <d v="1899-12-30T00:00:09"/>
    <n v="1.21"/>
    <d v="1899-12-31T17:23:43"/>
    <n v="2008280.2712870161"/>
    <n v="399037.733440499"/>
    <n v="9.0817824224989305"/>
    <x v="0"/>
    <x v="2"/>
    <x v="0"/>
    <n v="149023.25536056166"/>
    <x v="1"/>
    <x v="0"/>
  </r>
  <r>
    <s v="Event"/>
    <x v="14"/>
    <x v="5"/>
    <d v="1899-12-30T00:00:13"/>
    <n v="2.23"/>
    <d v="1899-12-31T11:52:48"/>
    <n v="1529348.0012136409"/>
    <n v="511135.07417092909"/>
    <n v="12.607811137598766"/>
    <x v="0"/>
    <x v="2"/>
    <x v="0"/>
    <n v="129167.90064713951"/>
    <x v="0"/>
    <x v="0"/>
  </r>
  <r>
    <s v="Event"/>
    <x v="14"/>
    <x v="20"/>
    <d v="1899-12-30T00:00:22"/>
    <n v="1.19"/>
    <d v="1900-01-01T11:16:07"/>
    <n v="2521571.5741695636"/>
    <n v="493320.2627705335"/>
    <n v="22.298996824454505"/>
    <x v="0"/>
    <x v="2"/>
    <x v="0"/>
    <n v="213366.76802912808"/>
    <x v="1"/>
    <x v="0"/>
  </r>
  <r>
    <s v="Event"/>
    <x v="15"/>
    <x v="0"/>
    <d v="1899-12-30T00:00:02"/>
    <n v="0.3"/>
    <d v="1899-12-30T04:09:38"/>
    <n v="177187.40744304186"/>
    <n v="13785.889048698427"/>
    <n v="1.5628452756082341"/>
    <x v="0"/>
    <x v="0"/>
    <x v="0"/>
    <n v="14978.184527930953"/>
    <x v="0"/>
    <x v="0"/>
  </r>
  <r>
    <s v="Event"/>
    <x v="15"/>
    <x v="1"/>
    <d v="1899-12-30T00:04:58"/>
    <n v="1.28"/>
    <d v="1900-02-25T14:51:33"/>
    <n v="82775506.899853662"/>
    <n v="17275061.699996602"/>
    <n v="297.82485596710927"/>
    <x v="0"/>
    <x v="0"/>
    <x v="0"/>
    <n v="4978293.2826881278"/>
    <x v="0"/>
    <x v="0"/>
  </r>
  <r>
    <s v="Event"/>
    <x v="15"/>
    <x v="3"/>
    <d v="1899-12-30T00:00:19"/>
    <n v="1.01"/>
    <d v="1900-01-02T08:40:06"/>
    <n v="4404341.8574086241"/>
    <n v="757082.04040854471"/>
    <n v="18.673525792738186"/>
    <x v="0"/>
    <x v="0"/>
    <x v="0"/>
    <n v="290406.10848902602"/>
    <x v="0"/>
    <x v="0"/>
  </r>
  <r>
    <s v="Event"/>
    <x v="15"/>
    <x v="35"/>
    <d v="1899-12-30T00:00:05"/>
    <n v="2.23"/>
    <d v="1899-12-30T21:11:52"/>
    <n v="1010623.6402071059"/>
    <n v="337136.07715700765"/>
    <n v="4.9883391804589534"/>
    <x v="0"/>
    <x v="0"/>
    <x v="0"/>
    <n v="76312.437244275614"/>
    <x v="1"/>
    <x v="0"/>
  </r>
  <r>
    <s v="Event"/>
    <x v="15"/>
    <x v="29"/>
    <d v="1899-12-30T00:00:21"/>
    <n v="1.31"/>
    <d v="1900-01-03T02:34:52"/>
    <n v="5150149.9181578271"/>
    <n v="1095242.4144054032"/>
    <n v="20.84688991917583"/>
    <x v="0"/>
    <x v="0"/>
    <x v="0"/>
    <n v="354892.03958347318"/>
    <x v="1"/>
    <x v="0"/>
  </r>
  <r>
    <s v="Event"/>
    <x v="15"/>
    <x v="7"/>
    <d v="1899-12-30T00:00:05"/>
    <n v="0.59"/>
    <d v="1899-12-30T18:38:57"/>
    <n v="966412.33476379141"/>
    <n v="113000.71167170699"/>
    <n v="4.508264162290426"/>
    <x v="0"/>
    <x v="0"/>
    <x v="0"/>
    <n v="67136.665413350012"/>
    <x v="0"/>
    <x v="0"/>
  </r>
  <r>
    <s v="Event"/>
    <x v="16"/>
    <x v="3"/>
    <d v="1899-12-30T00:00:12"/>
    <n v="1.18"/>
    <d v="1899-12-31T17:53:42"/>
    <n v="2326542.6795211327"/>
    <n v="454014.08653772378"/>
    <n v="12.24134630924234"/>
    <x v="0"/>
    <x v="0"/>
    <x v="0"/>
    <n v="150822.12549098083"/>
    <x v="0"/>
    <x v="0"/>
  </r>
  <r>
    <s v="Event"/>
    <x v="17"/>
    <x v="36"/>
    <d v="1899-12-30T00:00:17"/>
    <n v="3.37"/>
    <d v="1899-12-31T22:44:27"/>
    <n v="2096762.0802909425"/>
    <n v="1015403.1661466552"/>
    <n v="17.298031037368283"/>
    <x v="0"/>
    <x v="1"/>
    <x v="1"/>
    <n v="168266.77950632758"/>
    <x v="1"/>
    <x v="0"/>
  </r>
  <r>
    <s v="Event"/>
    <x v="17"/>
    <x v="37"/>
    <d v="1899-12-30T00:00:02"/>
    <n v="3.33"/>
    <d v="1899-12-30T06:23:31"/>
    <n v="273664.66354821867"/>
    <n v="131186.61999690896"/>
    <n v="2.1955526405087165"/>
    <x v="0"/>
    <x v="1"/>
    <x v="1"/>
    <n v="23011.22678861337"/>
    <x v="1"/>
    <x v="0"/>
  </r>
  <r>
    <s v="Event"/>
    <x v="17"/>
    <x v="22"/>
    <d v="1899-12-30T00:00:02"/>
    <n v="1.83"/>
    <d v="1899-12-30T07:21:00"/>
    <n v="360514.14899889915"/>
    <n v="101142.50557791644"/>
    <n v="1.9203130511554731"/>
    <x v="0"/>
    <x v="1"/>
    <x v="1"/>
    <n v="26459.808968450234"/>
    <x v="1"/>
    <x v="0"/>
  </r>
  <r>
    <s v="Event"/>
    <x v="17"/>
    <x v="17"/>
    <d v="1899-12-30T00:00:00"/>
    <n v="3.8"/>
    <d v="1899-12-30T01:00:32"/>
    <n v="46249.222300896618"/>
    <n v="25030.264106134455"/>
    <n v="0.37362326824130759"/>
    <x v="0"/>
    <x v="1"/>
    <x v="1"/>
    <n v="3631.7655409279828"/>
    <x v="1"/>
    <x v="0"/>
  </r>
  <r>
    <s v="Event"/>
    <x v="17"/>
    <x v="38"/>
    <d v="1899-12-30T00:00:04"/>
    <n v="2.87"/>
    <d v="1899-12-30T10:47:43"/>
    <n v="461749.24963376322"/>
    <n v="193044.43229288663"/>
    <n v="4.2665186262148911"/>
    <x v="0"/>
    <x v="1"/>
    <x v="1"/>
    <n v="38863.4041030148"/>
    <x v="1"/>
    <x v="0"/>
  </r>
  <r>
    <s v="Event"/>
    <x v="17"/>
    <x v="0"/>
    <d v="1899-12-30T00:14:57"/>
    <n v="1.6"/>
    <d v="1900-06-25T09:54:34"/>
    <n v="237182075.03105947"/>
    <n v="59209645.369837865"/>
    <n v="896.74500516917146"/>
    <x v="0"/>
    <x v="1"/>
    <x v="1"/>
    <n v="15328474.377867358"/>
    <x v="0"/>
    <x v="0"/>
  </r>
  <r>
    <s v="Event"/>
    <x v="17"/>
    <x v="1"/>
    <d v="1899-12-30T00:00:07"/>
    <n v="2.2000000000000002"/>
    <d v="1899-12-31T06:44:04"/>
    <n v="1683266.4095389408"/>
    <n v="555323.1657935963"/>
    <n v="7.4298365017238615"/>
    <x v="0"/>
    <x v="1"/>
    <x v="1"/>
    <n v="110644.45856223005"/>
    <x v="0"/>
    <x v="0"/>
  </r>
  <r>
    <s v="Event"/>
    <x v="17"/>
    <x v="39"/>
    <d v="1899-12-30T00:00:02"/>
    <n v="3.55"/>
    <d v="1899-12-30T06:36:08"/>
    <n v="310282.72092324914"/>
    <n v="157741.22491865934"/>
    <n v="2.3966547522120583"/>
    <x v="0"/>
    <x v="1"/>
    <x v="1"/>
    <n v="23767.90412167065"/>
    <x v="1"/>
    <x v="0"/>
  </r>
  <r>
    <s v="Event"/>
    <x v="17"/>
    <x v="40"/>
    <d v="1899-12-30T00:00:00"/>
    <n v="2.2999999999999998"/>
    <d v="1899-12-30T01:17:19"/>
    <n v="54807.170525826703"/>
    <n v="18777.155850830331"/>
    <n v="0.49763750882663155"/>
    <x v="0"/>
    <x v="1"/>
    <x v="1"/>
    <n v="4639.3867170634339"/>
    <x v="1"/>
    <x v="0"/>
  </r>
  <r>
    <s v="Event"/>
    <x v="17"/>
    <x v="41"/>
    <d v="1899-12-30T00:00:10"/>
    <n v="4.5"/>
    <d v="1899-12-31T00:54:23"/>
    <n v="1064363.9534943141"/>
    <n v="674683.28029678983"/>
    <n v="9.5933992784569906"/>
    <x v="0"/>
    <x v="1"/>
    <x v="1"/>
    <n v="89663.099461719132"/>
    <x v="1"/>
    <x v="0"/>
  </r>
  <r>
    <s v="Event"/>
    <x v="17"/>
    <x v="2"/>
    <d v="1899-12-30T00:00:02"/>
    <n v="2.11"/>
    <d v="1899-12-30T07:54:46"/>
    <n v="412511.4943974897"/>
    <n v="130867.1682774807"/>
    <n v="2.2416775377123459"/>
    <x v="0"/>
    <x v="1"/>
    <x v="1"/>
    <n v="28486.233130485747"/>
    <x v="0"/>
    <x v="0"/>
  </r>
  <r>
    <s v="Event"/>
    <x v="17"/>
    <x v="11"/>
    <d v="1899-12-30T00:00:01"/>
    <n v="3.8"/>
    <d v="1899-12-30T01:52:40"/>
    <n v="80025.080551981999"/>
    <n v="43309.893695054867"/>
    <n v="0.71963676890509665"/>
    <x v="0"/>
    <x v="1"/>
    <x v="1"/>
    <n v="6759.6477200786048"/>
    <x v="1"/>
    <x v="0"/>
  </r>
  <r>
    <s v="Event"/>
    <x v="17"/>
    <x v="3"/>
    <d v="1899-12-30T00:00:32"/>
    <n v="1.31"/>
    <d v="1900-01-04T17:30:43"/>
    <n v="8182411.9936510408"/>
    <n v="1739746.7821410061"/>
    <n v="31.519025745128342"/>
    <x v="0"/>
    <x v="1"/>
    <x v="1"/>
    <n v="495042.93143938435"/>
    <x v="0"/>
    <x v="0"/>
  </r>
  <r>
    <s v="Event"/>
    <x v="17"/>
    <x v="42"/>
    <d v="1899-12-30T00:00:26"/>
    <n v="3.53"/>
    <d v="1900-01-02T09:08:12"/>
    <n v="3486034.6128648501"/>
    <n v="1764640.9408990052"/>
    <n v="25.563640957586287"/>
    <x v="0"/>
    <x v="1"/>
    <x v="1"/>
    <n v="292091.9865413048"/>
    <x v="1"/>
    <x v="0"/>
  </r>
  <r>
    <s v="Event"/>
    <x v="17"/>
    <x v="35"/>
    <d v="1899-12-30T00:01:00"/>
    <n v="3.87"/>
    <d v="1900-01-09T20:52:35"/>
    <n v="13999025.242433885"/>
    <n v="7716630.3688548673"/>
    <n v="60.389032296804743"/>
    <x v="0"/>
    <x v="1"/>
    <x v="1"/>
    <n v="939155.46851645678"/>
    <x v="1"/>
    <x v="0"/>
  </r>
  <r>
    <s v="Event"/>
    <x v="17"/>
    <x v="24"/>
    <d v="1899-12-30T00:00:19"/>
    <n v="3.35"/>
    <d v="1900-01-01T17:54:54"/>
    <n v="2933350.446370712"/>
    <n v="1413391.2846023785"/>
    <n v="18.646193302775327"/>
    <x v="0"/>
    <x v="1"/>
    <x v="1"/>
    <n v="237294.40828505839"/>
    <x v="1"/>
    <x v="0"/>
  </r>
  <r>
    <s v="Event"/>
    <x v="17"/>
    <x v="43"/>
    <d v="1899-12-30T00:00:06"/>
    <n v="0.96"/>
    <d v="1899-12-30T15:22:33"/>
    <n v="657666.56306708883"/>
    <n v="109509.37474942708"/>
    <n v="6.076775746555092"/>
    <x v="0"/>
    <x v="1"/>
    <x v="1"/>
    <n v="55352.902957155668"/>
    <x v="1"/>
    <x v="0"/>
  </r>
  <r>
    <s v="Event"/>
    <x v="17"/>
    <x v="16"/>
    <d v="1899-12-30T00:00:56"/>
    <n v="2.33"/>
    <d v="1900-01-06T14:11:46"/>
    <n v="7810730.8737968272"/>
    <n v="2711517.3578808629"/>
    <n v="55.700808144410871"/>
    <x v="0"/>
    <x v="1"/>
    <x v="1"/>
    <n v="655905.98032067297"/>
    <x v="1"/>
    <x v="0"/>
  </r>
  <r>
    <s v="Event"/>
    <x v="17"/>
    <x v="8"/>
    <d v="1899-12-30T00:00:20"/>
    <n v="1.19"/>
    <d v="1900-01-02T17:35:25"/>
    <n v="5450747.447021164"/>
    <n v="1071556.5787648675"/>
    <n v="20.329260568631394"/>
    <x v="0"/>
    <x v="1"/>
    <x v="1"/>
    <n v="322525.26620394702"/>
    <x v="1"/>
    <x v="0"/>
  </r>
  <r>
    <s v="Event"/>
    <x v="17"/>
    <x v="4"/>
    <d v="1899-12-30T00:03:38"/>
    <n v="2.27"/>
    <d v="1900-02-11T01:48:24"/>
    <n v="46230072.823635414"/>
    <n v="15675941.313788235"/>
    <n v="217.73417526423131"/>
    <x v="1"/>
    <x v="1"/>
    <x v="1"/>
    <n v="3721704.0087270425"/>
    <x v="0"/>
    <x v="0"/>
  </r>
  <r>
    <s v="Event"/>
    <x v="17"/>
    <x v="13"/>
    <d v="1899-12-30T00:03:48"/>
    <n v="2.35"/>
    <d v="1900-02-13T00:58:29"/>
    <n v="48948963.748446174"/>
    <n v="17102225.47237622"/>
    <n v="227.66073039225921"/>
    <x v="1"/>
    <x v="1"/>
    <x v="1"/>
    <n v="3891509.4620526843"/>
    <x v="1"/>
    <x v="0"/>
  </r>
  <r>
    <s v="Event"/>
    <x v="17"/>
    <x v="44"/>
    <d v="1899-12-30T00:00:02"/>
    <n v="1.24"/>
    <d v="1899-12-30T04:23:23"/>
    <n v="186546.35658928839"/>
    <n v="37823.63518073078"/>
    <n v="1.5851476301494367"/>
    <x v="0"/>
    <x v="1"/>
    <x v="1"/>
    <n v="15802.975187199656"/>
    <x v="1"/>
    <x v="1"/>
  </r>
  <r>
    <s v="Event"/>
    <x v="17"/>
    <x v="5"/>
    <d v="1899-12-30T00:00:25"/>
    <n v="3.03"/>
    <d v="1900-01-03T21:28:05"/>
    <n v="5740425.1333325868"/>
    <n v="2524886.8888273886"/>
    <n v="25.431399419596783"/>
    <x v="0"/>
    <x v="1"/>
    <x v="1"/>
    <n v="422884.79606445984"/>
    <x v="0"/>
    <x v="0"/>
  </r>
  <r>
    <s v="Event"/>
    <x v="17"/>
    <x v="45"/>
    <d v="1899-12-30T00:00:01"/>
    <n v="4"/>
    <d v="1899-12-30T03:01:35"/>
    <n v="138747.66690268941"/>
    <n v="78764.830537986345"/>
    <n v="1.1208698047239192"/>
    <x v="0"/>
    <x v="1"/>
    <x v="1"/>
    <n v="10895.296622783913"/>
    <x v="1"/>
    <x v="0"/>
  </r>
  <r>
    <s v="Event"/>
    <x v="17"/>
    <x v="46"/>
    <d v="1899-12-30T00:00:21"/>
    <n v="2.39"/>
    <d v="1900-01-01T21:23:43"/>
    <n v="3015685.4551086258"/>
    <n v="1071380.160426599"/>
    <n v="20.858320807350999"/>
    <x v="0"/>
    <x v="1"/>
    <x v="1"/>
    <n v="249822.55336835986"/>
    <x v="1"/>
    <x v="0"/>
  </r>
  <r>
    <s v="Event"/>
    <x v="17"/>
    <x v="19"/>
    <d v="1899-12-30T00:00:18"/>
    <n v="0.84"/>
    <d v="1900-01-01T05:38:22"/>
    <n v="2278170.7336631962"/>
    <n v="342420.73380662838"/>
    <n v="17.799826819200462"/>
    <x v="0"/>
    <x v="1"/>
    <x v="1"/>
    <n v="193101.58441317538"/>
    <x v="1"/>
    <x v="0"/>
  </r>
  <r>
    <s v="Event"/>
    <x v="17"/>
    <x v="6"/>
    <d v="1899-12-30T00:01:57"/>
    <n v="2.35"/>
    <d v="1900-01-16T07:34:51"/>
    <n v="18277958.927508943"/>
    <n v="6376945.3318011304"/>
    <n v="117.32602506526133"/>
    <x v="0"/>
    <x v="1"/>
    <x v="1"/>
    <n v="1496091.4125281845"/>
    <x v="0"/>
    <x v="0"/>
  </r>
  <r>
    <s v="Event"/>
    <x v="17"/>
    <x v="27"/>
    <d v="1899-12-30T00:00:07"/>
    <n v="1.3"/>
    <d v="1899-12-31T06:38:06"/>
    <n v="1688894.1705389493"/>
    <n v="356002.73245749943"/>
    <n v="7.3764695026732605"/>
    <x v="0"/>
    <x v="1"/>
    <x v="1"/>
    <n v="110285.50947565703"/>
    <x v="1"/>
    <x v="0"/>
  </r>
  <r>
    <s v="Event"/>
    <x v="17"/>
    <x v="47"/>
    <d v="1899-12-30T00:00:07"/>
    <n v="2.94"/>
    <d v="1899-12-30T19:52:02"/>
    <n v="975938.10314986471"/>
    <n v="418245.71202450246"/>
    <n v="6.609750192442549"/>
    <x v="0"/>
    <x v="1"/>
    <x v="1"/>
    <n v="71522.335052160895"/>
    <x v="1"/>
    <x v="0"/>
  </r>
  <r>
    <s v="Event"/>
    <x v="17"/>
    <x v="48"/>
    <d v="1899-12-30T00:00:11"/>
    <n v="1.7"/>
    <d v="1899-12-31T08:51:05"/>
    <n v="1534489.9216958946"/>
    <n v="404767.63063337369"/>
    <n v="11.481107163550965"/>
    <x v="0"/>
    <x v="1"/>
    <x v="1"/>
    <n v="118264.72580575245"/>
    <x v="1"/>
    <x v="0"/>
  </r>
  <r>
    <s v="Event"/>
    <x v="17"/>
    <x v="49"/>
    <d v="1899-12-30T00:00:30"/>
    <n v="4.6399999999999997"/>
    <d v="1900-01-03T17:41:43"/>
    <n v="5598205.5940537704"/>
    <n v="3657361.3242893759"/>
    <n v="29.648161956062609"/>
    <x v="0"/>
    <x v="1"/>
    <x v="1"/>
    <n v="409303.09618371859"/>
    <x v="1"/>
    <x v="0"/>
  </r>
  <r>
    <s v="Event"/>
    <x v="17"/>
    <x v="28"/>
    <d v="1899-12-30T00:00:01"/>
    <n v="1.6"/>
    <d v="1899-12-30T04:04:35"/>
    <n v="181361.44340147439"/>
    <n v="45505.281252593966"/>
    <n v="1.4277596610701218"/>
    <x v="0"/>
    <x v="1"/>
    <x v="1"/>
    <n v="14674.630000251129"/>
    <x v="1"/>
    <x v="0"/>
  </r>
  <r>
    <s v="Event"/>
    <x v="17"/>
    <x v="29"/>
    <d v="1899-12-30T00:00:01"/>
    <n v="0.3"/>
    <d v="1899-12-30T02:28:02"/>
    <n v="105874.60565475299"/>
    <n v="8237.4678183624037"/>
    <n v="0.95638742879590644"/>
    <x v="0"/>
    <x v="1"/>
    <x v="1"/>
    <n v="8881.5077973036641"/>
    <x v="1"/>
    <x v="0"/>
  </r>
  <r>
    <s v="Event"/>
    <x v="17"/>
    <x v="30"/>
    <d v="1899-12-30T00:00:03"/>
    <n v="1.95"/>
    <d v="1899-12-30T10:50:26"/>
    <n v="529285.65187357948"/>
    <n v="156420.1260383598"/>
    <n v="2.7739435056623862"/>
    <x v="0"/>
    <x v="1"/>
    <x v="1"/>
    <n v="39026.275225783989"/>
    <x v="1"/>
    <x v="0"/>
  </r>
  <r>
    <s v="Event"/>
    <x v="17"/>
    <x v="9"/>
    <d v="1899-12-30T00:00:05"/>
    <n v="1.02"/>
    <d v="1899-12-30T14:33:44"/>
    <n v="655204.59689506528"/>
    <n v="114134.94996953146"/>
    <n v="4.9520397145884942"/>
    <x v="0"/>
    <x v="1"/>
    <x v="1"/>
    <n v="52424.1563113597"/>
    <x v="1"/>
    <x v="0"/>
  </r>
  <r>
    <s v="Event"/>
    <x v="17"/>
    <x v="7"/>
    <d v="1899-12-30T00:00:07"/>
    <n v="1.24"/>
    <d v="1899-12-31T08:00:09"/>
    <n v="1818584.9285837812"/>
    <n v="368109.82856074144"/>
    <n v="7.4954613578244134"/>
    <x v="0"/>
    <x v="1"/>
    <x v="1"/>
    <n v="115209.04085225513"/>
    <x v="0"/>
    <x v="0"/>
  </r>
  <r>
    <s v="Event"/>
    <x v="18"/>
    <x v="0"/>
    <d v="1899-12-30T00:04:03"/>
    <n v="1.17"/>
    <d v="1900-02-15T18:23:53"/>
    <n v="59006279.564245246"/>
    <n v="11421897.504787343"/>
    <n v="243.3592817518217"/>
    <x v="0"/>
    <x v="1"/>
    <x v="1"/>
    <n v="4127032.9183158451"/>
    <x v="0"/>
    <x v="0"/>
  </r>
  <r>
    <s v="Event"/>
    <x v="18"/>
    <x v="2"/>
    <d v="1899-12-30T00:00:02"/>
    <n v="1.51"/>
    <d v="1899-12-30T06:33:38"/>
    <n v="316017.41711930919"/>
    <n v="75371.883012998311"/>
    <n v="2.2687416755929757"/>
    <x v="0"/>
    <x v="1"/>
    <x v="1"/>
    <n v="23617.994091479984"/>
    <x v="0"/>
    <x v="0"/>
  </r>
  <r>
    <s v="Event"/>
    <x v="18"/>
    <x v="3"/>
    <d v="1899-12-30T00:00:10"/>
    <n v="0.94"/>
    <d v="1899-12-31T08:18:36"/>
    <n v="1468969.1950984006"/>
    <n v="239535.23706605242"/>
    <n v="9.5340820422253962"/>
    <x v="0"/>
    <x v="1"/>
    <x v="1"/>
    <n v="116316.20876199276"/>
    <x v="0"/>
    <x v="0"/>
  </r>
  <r>
    <s v="Event"/>
    <x v="18"/>
    <x v="42"/>
    <d v="1899-12-30T00:01:06"/>
    <n v="1.54"/>
    <d v="1900-01-06T18:07:03"/>
    <n v="7972636.3330044067"/>
    <n v="1936002.213493462"/>
    <n v="66.316719257456441"/>
    <x v="0"/>
    <x v="1"/>
    <x v="1"/>
    <n v="670023.0150114001"/>
    <x v="1"/>
    <x v="0"/>
  </r>
  <r>
    <s v="Event"/>
    <x v="18"/>
    <x v="16"/>
    <d v="1899-12-30T00:02:15"/>
    <n v="1.67"/>
    <d v="1900-01-15T12:12:58"/>
    <n v="16954758.409491371"/>
    <n v="4398086.4919096315"/>
    <n v="135.2829931283774"/>
    <x v="0"/>
    <x v="1"/>
    <x v="1"/>
    <n v="1426377.9209065565"/>
    <x v="1"/>
    <x v="0"/>
  </r>
  <r>
    <s v="Event"/>
    <x v="18"/>
    <x v="13"/>
    <d v="1899-12-30T00:00:22"/>
    <n v="1.4"/>
    <d v="1900-01-02T06:04:59"/>
    <n v="3423802.1673273575"/>
    <n v="767109.12687141937"/>
    <n v="22.488458652797352"/>
    <x v="1"/>
    <x v="1"/>
    <x v="1"/>
    <n v="281099.1490390168"/>
    <x v="1"/>
    <x v="0"/>
  </r>
  <r>
    <s v="Event"/>
    <x v="18"/>
    <x v="5"/>
    <d v="1899-12-30T00:00:01"/>
    <n v="1.3"/>
    <d v="1899-12-30T02:13:29"/>
    <n v="101996.01120162311"/>
    <n v="21439.969538625985"/>
    <n v="0.82397240768281332"/>
    <x v="0"/>
    <x v="1"/>
    <x v="1"/>
    <n v="8009.3368140155308"/>
    <x v="0"/>
    <x v="0"/>
  </r>
  <r>
    <s v="Event"/>
    <x v="18"/>
    <x v="7"/>
    <d v="1899-12-30T00:00:07"/>
    <n v="1.0900000000000001"/>
    <d v="1899-12-31T05:48:02"/>
    <n v="1737580.3571422999"/>
    <n v="318963.43660722027"/>
    <n v="7.4533201214356071"/>
    <x v="0"/>
    <x v="1"/>
    <x v="1"/>
    <n v="107281.60744538666"/>
    <x v="0"/>
    <x v="0"/>
  </r>
  <r>
    <s v="Event"/>
    <x v="19"/>
    <x v="0"/>
    <d v="1899-12-30T00:00:17"/>
    <n v="1.23"/>
    <d v="1900-01-02T02:04:52"/>
    <n v="3924038.2123184814"/>
    <n v="790860.12598074181"/>
    <n v="16.847150869775032"/>
    <x v="0"/>
    <x v="0"/>
    <x v="1"/>
    <n v="266692.48076357681"/>
    <x v="0"/>
    <x v="0"/>
  </r>
  <r>
    <s v="Event"/>
    <x v="19"/>
    <x v="1"/>
    <d v="1899-12-30T00:00:02"/>
    <n v="2.3199999999999998"/>
    <d v="1899-12-30T05:06:36"/>
    <n v="219798.38368586556"/>
    <n v="76176.844624312522"/>
    <n v="1.980924431401321"/>
    <x v="0"/>
    <x v="0"/>
    <x v="1"/>
    <n v="18395.887747615558"/>
    <x v="0"/>
    <x v="0"/>
  </r>
  <r>
    <s v="Event"/>
    <x v="19"/>
    <x v="4"/>
    <d v="1899-12-30T00:00:05"/>
    <n v="1.29"/>
    <d v="1899-12-30T13:14:38"/>
    <n v="569379.00656505488"/>
    <n v="119685.74469600078"/>
    <n v="4.6177279060484482"/>
    <x v="1"/>
    <x v="0"/>
    <x v="1"/>
    <n v="47677.900815410845"/>
    <x v="0"/>
    <x v="0"/>
  </r>
  <r>
    <s v="Event"/>
    <x v="19"/>
    <x v="13"/>
    <d v="1899-12-30T00:00:17"/>
    <n v="1.72"/>
    <d v="1900-01-01T00:51:55"/>
    <n v="2120758.5934513398"/>
    <n v="563765.12739627832"/>
    <n v="17.014709923131203"/>
    <x v="1"/>
    <x v="0"/>
    <x v="1"/>
    <n v="175914.72196951348"/>
    <x v="1"/>
    <x v="0"/>
  </r>
  <r>
    <s v="Event"/>
    <x v="19"/>
    <x v="5"/>
    <d v="1899-12-30T00:00:14"/>
    <n v="1.29"/>
    <d v="1899-12-31T11:02:04"/>
    <n v="1498517.1070136023"/>
    <n v="314994.28996268718"/>
    <n v="13.846153846153857"/>
    <x v="0"/>
    <x v="0"/>
    <x v="1"/>
    <n v="126123.59615384626"/>
    <x v="0"/>
    <x v="0"/>
  </r>
  <r>
    <s v="Event"/>
    <x v="20"/>
    <x v="50"/>
    <d v="1899-12-30T00:00:26"/>
    <n v="1.53"/>
    <d v="1900-01-03T23:23:34"/>
    <n v="5773382.9709925614"/>
    <n v="1391079.6383013979"/>
    <n v="25.821233908321783"/>
    <x v="0"/>
    <x v="0"/>
    <x v="0"/>
    <n v="429814.20599308587"/>
    <x v="1"/>
    <x v="0"/>
  </r>
  <r>
    <s v="Event"/>
    <x v="20"/>
    <x v="41"/>
    <d v="1899-12-30T00:00:19"/>
    <n v="2.06"/>
    <d v="1900-01-02T06:29:36"/>
    <n v="3733993.246707255"/>
    <n v="1160928.0312160505"/>
    <n v="19.013158862408332"/>
    <x v="0"/>
    <x v="0"/>
    <x v="0"/>
    <n v="282576.09153809497"/>
    <x v="1"/>
    <x v="0"/>
  </r>
  <r>
    <s v="Event"/>
    <x v="20"/>
    <x v="5"/>
    <d v="1899-12-30T00:00:17"/>
    <n v="3.67"/>
    <d v="1899-12-31T22:07:50"/>
    <n v="1958692.7102800743"/>
    <n v="1028419.9816248546"/>
    <n v="16.973214123649463"/>
    <x v="0"/>
    <x v="0"/>
    <x v="0"/>
    <n v="166070.08542324667"/>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3:D50" firstHeaderRow="0" firstDataRow="1" firstDataCol="1" rowPageCount="1" colPageCount="1"/>
  <pivotFields count="25">
    <pivotField showAll="0">
      <extLst>
        <ext xmlns:x14="http://schemas.microsoft.com/office/spreadsheetml/2009/9/main" uri="{2946ED86-A175-432a-8AC1-64E0C546D7DE}">
          <x14:pivotField fillDownLabels="1"/>
        </ext>
      </extLst>
    </pivotField>
    <pivotField axis="axisRow" showAll="0" sortType="descending">
      <items count="92">
        <item sd="0" m="1" x="76"/>
        <item sd="0" m="1" x="89"/>
        <item sd="0" x="0"/>
        <item sd="0" x="1"/>
        <item sd="0" x="2"/>
        <item sd="0" m="1" x="67"/>
        <item sd="0" x="3"/>
        <item sd="0" m="1" x="75"/>
        <item sd="0" x="4"/>
        <item sd="0" m="1" x="69"/>
        <item sd="0" x="5"/>
        <item sd="0" m="1" x="71"/>
        <item sd="0" x="6"/>
        <item sd="0" m="1" x="51"/>
        <item sd="0" m="1" x="58"/>
        <item sd="0" m="1" x="85"/>
        <item sd="0" x="7"/>
        <item sd="0" x="8"/>
        <item sd="0" x="46"/>
        <item sd="0" m="1" x="50"/>
        <item sd="0" x="9"/>
        <item sd="0" x="10"/>
        <item sd="0" x="11"/>
        <item sd="0" m="1" x="64"/>
        <item sd="0" m="1" x="90"/>
        <item sd="0" m="1" x="59"/>
        <item sd="0" x="12"/>
        <item sd="0" x="13"/>
        <item sd="0" m="1" x="88"/>
        <item sd="0" x="14"/>
        <item sd="0" x="15"/>
        <item sd="0" x="16"/>
        <item sd="0" m="1" x="74"/>
        <item sd="0" x="17"/>
        <item sd="0" x="18"/>
        <item sd="0" m="1" x="72"/>
        <item sd="0" m="1" x="70"/>
        <item sd="0" m="1" x="66"/>
        <item sd="0" m="1" x="54"/>
        <item sd="0" x="20"/>
        <item sd="0" m="1" x="65"/>
        <item sd="0" x="21"/>
        <item sd="0" m="1" x="87"/>
        <item sd="0" m="1" x="86"/>
        <item sd="0" x="22"/>
        <item sd="0" x="23"/>
        <item sd="0" m="1" x="56"/>
        <item sd="0" m="1" x="82"/>
        <item sd="0" x="25"/>
        <item sd="0" x="26"/>
        <item sd="0" x="27"/>
        <item sd="0" x="29"/>
        <item sd="0" m="1" x="63"/>
        <item sd="0" x="31"/>
        <item sd="0" m="1" x="62"/>
        <item sd="0" x="33"/>
        <item sd="0" x="34"/>
        <item sd="0" m="1" x="81"/>
        <item sd="0" m="1" x="68"/>
        <item sd="0" x="35"/>
        <item sd="0" x="36"/>
        <item sd="0" m="1" x="73"/>
        <item sd="0" x="37"/>
        <item sd="0" m="1" x="52"/>
        <item sd="0" m="1" x="55"/>
        <item sd="0" x="38"/>
        <item sd="0" x="39"/>
        <item sd="0" x="40"/>
        <item sd="0" m="1" x="60"/>
        <item sd="0" x="41"/>
        <item sd="0" x="42"/>
        <item sd="0" m="1" x="78"/>
        <item sd="0" m="1" x="61"/>
        <item sd="0" m="1" x="83"/>
        <item sd="0" m="1" x="57"/>
        <item sd="0" x="43"/>
        <item sd="0" x="44"/>
        <item sd="0" x="45"/>
        <item sd="0" m="1" x="47"/>
        <item sd="0" x="28"/>
        <item sd="0" x="24"/>
        <item sd="0" m="1" x="79"/>
        <item sd="0" x="30"/>
        <item sd="0" m="1" x="77"/>
        <item sd="0" m="1" x="80"/>
        <item sd="0" m="1" x="84"/>
        <item sd="0" m="1" x="49"/>
        <item sd="0" x="32"/>
        <item sd="0" m="1" x="53"/>
        <item sd="0" x="19"/>
        <item sd="0" m="1" x="48"/>
        <item t="default" sd="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showAll="0" sortType="descending">
      <items count="491">
        <item m="1" x="488"/>
        <item x="65"/>
        <item m="1" x="94"/>
        <item m="1" x="177"/>
        <item m="1" x="225"/>
        <item m="1" x="164"/>
        <item m="1" x="181"/>
        <item m="1" x="417"/>
        <item x="21"/>
        <item x="22"/>
        <item m="1" x="135"/>
        <item m="1" x="168"/>
        <item m="1" x="148"/>
        <item m="1" x="218"/>
        <item m="1" x="107"/>
        <item m="1" x="450"/>
        <item m="1" x="451"/>
        <item m="1" x="424"/>
        <item m="1" x="472"/>
        <item m="1" x="279"/>
        <item m="1" x="281"/>
        <item m="1" x="382"/>
        <item m="1" x="197"/>
        <item m="1" x="263"/>
        <item m="1" x="324"/>
        <item m="1" x="359"/>
        <item m="1" x="394"/>
        <item m="1" x="475"/>
        <item m="1" x="223"/>
        <item m="1" x="337"/>
        <item m="1" x="374"/>
        <item m="1" x="113"/>
        <item x="9"/>
        <item x="10"/>
        <item m="1" x="484"/>
        <item x="11"/>
        <item x="12"/>
        <item x="13"/>
        <item m="1" x="456"/>
        <item m="1" x="467"/>
        <item m="1" x="477"/>
        <item x="14"/>
        <item x="15"/>
        <item m="1" x="131"/>
        <item m="1" x="287"/>
        <item m="1" x="166"/>
        <item m="1" x="221"/>
        <item m="1" x="251"/>
        <item m="1" x="286"/>
        <item m="1" x="333"/>
        <item m="1" x="83"/>
        <item m="1" x="100"/>
        <item m="1" x="379"/>
        <item m="1" x="330"/>
        <item m="1" x="331"/>
        <item m="1" x="103"/>
        <item m="1" x="145"/>
        <item m="1" x="97"/>
        <item m="1" x="209"/>
        <item m="1" x="140"/>
        <item m="1" x="295"/>
        <item m="1" x="261"/>
        <item m="1" x="267"/>
        <item m="1" x="464"/>
        <item m="1" x="204"/>
        <item m="1" x="216"/>
        <item m="1" x="137"/>
        <item m="1" x="289"/>
        <item x="20"/>
        <item m="1" x="116"/>
        <item m="1" x="443"/>
        <item m="1" x="346"/>
        <item x="29"/>
        <item m="1" x="141"/>
        <item m="1" x="428"/>
        <item m="1" x="78"/>
        <item m="1" x="445"/>
        <item m="1" x="82"/>
        <item m="1" x="334"/>
        <item m="1" x="430"/>
        <item m="1" x="303"/>
        <item m="1" x="157"/>
        <item m="1" x="392"/>
        <item m="1" x="399"/>
        <item m="1" x="259"/>
        <item m="1" x="142"/>
        <item x="36"/>
        <item m="1" x="432"/>
        <item m="1" x="126"/>
        <item m="1" x="298"/>
        <item m="1" x="124"/>
        <item m="1" x="326"/>
        <item m="1" x="160"/>
        <item m="1" x="336"/>
        <item m="1" x="174"/>
        <item m="1" x="362"/>
        <item m="1" x="163"/>
        <item m="1" x="144"/>
        <item m="1" x="316"/>
        <item m="1" x="357"/>
        <item m="1" x="466"/>
        <item m="1" x="412"/>
        <item m="1" x="192"/>
        <item m="1" x="416"/>
        <item m="1" x="418"/>
        <item m="1" x="338"/>
        <item m="1" x="276"/>
        <item m="1" x="98"/>
        <item m="1" x="102"/>
        <item m="1" x="105"/>
        <item m="1" x="109"/>
        <item m="1" x="308"/>
        <item m="1" x="315"/>
        <item m="1" x="317"/>
        <item x="50"/>
        <item m="1" x="397"/>
        <item m="1" x="71"/>
        <item m="1" x="217"/>
        <item x="52"/>
        <item m="1" x="111"/>
        <item x="55"/>
        <item m="1" x="272"/>
        <item m="1" x="202"/>
        <item m="1" x="264"/>
        <item m="1" x="155"/>
        <item m="1" x="447"/>
        <item x="0"/>
        <item x="2"/>
        <item m="1" x="75"/>
        <item m="1" x="156"/>
        <item m="1" x="323"/>
        <item m="1" x="254"/>
        <item m="1" x="310"/>
        <item m="1" x="329"/>
        <item m="1" x="349"/>
        <item m="1" x="369"/>
        <item m="1" x="380"/>
        <item m="1" x="402"/>
        <item m="1" x="348"/>
        <item m="1" x="66"/>
        <item m="1" x="429"/>
        <item m="1" x="463"/>
        <item m="1" x="431"/>
        <item m="1" x="314"/>
        <item m="1" x="96"/>
        <item m="1" x="241"/>
        <item m="1" x="243"/>
        <item m="1" x="227"/>
        <item m="1" x="203"/>
        <item m="1" x="301"/>
        <item m="1" x="342"/>
        <item m="1" x="108"/>
        <item m="1" x="235"/>
        <item m="1" x="396"/>
        <item m="1" x="383"/>
        <item m="1" x="169"/>
        <item m="1" x="214"/>
        <item m="1" x="123"/>
        <item m="1" x="77"/>
        <item m="1" x="93"/>
        <item m="1" x="474"/>
        <item x="6"/>
        <item m="1" x="196"/>
        <item m="1" x="485"/>
        <item m="1" x="387"/>
        <item m="1" x="172"/>
        <item m="1" x="454"/>
        <item m="1" x="458"/>
        <item m="1" x="68"/>
        <item m="1" x="86"/>
        <item m="1" x="167"/>
        <item m="1" x="176"/>
        <item m="1" x="370"/>
        <item m="1" x="206"/>
        <item m="1" x="476"/>
        <item m="1" x="455"/>
        <item m="1" x="226"/>
        <item m="1" x="364"/>
        <item m="1" x="180"/>
        <item m="1" x="117"/>
        <item m="1" x="125"/>
        <item m="1" x="422"/>
        <item m="1" x="339"/>
        <item m="1" x="388"/>
        <item m="1" x="89"/>
        <item m="1" x="171"/>
        <item m="1" x="134"/>
        <item m="1" x="150"/>
        <item m="1" x="274"/>
        <item m="1" x="439"/>
        <item m="1" x="350"/>
        <item m="1" x="351"/>
        <item m="1" x="343"/>
        <item m="1" x="269"/>
        <item m="1" x="128"/>
        <item m="1" x="327"/>
        <item m="1" x="237"/>
        <item m="1" x="207"/>
        <item m="1" x="483"/>
        <item m="1" x="72"/>
        <item m="1" x="190"/>
        <item x="5"/>
        <item m="1" x="280"/>
        <item m="1" x="184"/>
        <item m="1" x="347"/>
        <item m="1" x="278"/>
        <item m="1" x="335"/>
        <item m="1" x="400"/>
        <item m="1" x="354"/>
        <item m="1" x="136"/>
        <item x="3"/>
        <item m="1" x="373"/>
        <item m="1" x="161"/>
        <item x="51"/>
        <item m="1" x="449"/>
        <item m="1" x="358"/>
        <item m="1" x="253"/>
        <item x="59"/>
        <item x="60"/>
        <item m="1" x="199"/>
        <item m="1" x="403"/>
        <item m="1" x="80"/>
        <item m="1" x="158"/>
        <item m="1" x="239"/>
        <item m="1" x="318"/>
        <item m="1" x="275"/>
        <item m="1" x="299"/>
        <item m="1" x="233"/>
        <item m="1" x="270"/>
        <item x="8"/>
        <item m="1" x="434"/>
        <item m="1" x="478"/>
        <item m="1" x="208"/>
        <item x="18"/>
        <item m="1" x="257"/>
        <item m="1" x="228"/>
        <item m="1" x="186"/>
        <item m="1" x="436"/>
        <item m="1" x="252"/>
        <item x="32"/>
        <item x="34"/>
        <item m="1" x="182"/>
        <item m="1" x="468"/>
        <item m="1" x="69"/>
        <item m="1" x="118"/>
        <item m="1" x="238"/>
        <item m="1" x="425"/>
        <item m="1" x="381"/>
        <item m="1" x="391"/>
        <item m="1" x="212"/>
        <item m="1" x="470"/>
        <item m="1" x="367"/>
        <item x="38"/>
        <item m="1" x="188"/>
        <item m="1" x="178"/>
        <item m="1" x="173"/>
        <item m="1" x="407"/>
        <item m="1" x="104"/>
        <item x="16"/>
        <item m="1" x="231"/>
        <item m="1" x="246"/>
        <item m="1" x="149"/>
        <item m="1" x="404"/>
        <item m="1" x="154"/>
        <item m="1" x="85"/>
        <item m="1" x="401"/>
        <item m="1" x="368"/>
        <item m="1" x="328"/>
        <item m="1" x="240"/>
        <item m="1" x="481"/>
        <item m="1" x="139"/>
        <item x="37"/>
        <item m="1" x="441"/>
        <item m="1" x="340"/>
        <item x="4"/>
        <item m="1" x="70"/>
        <item m="1" x="195"/>
        <item m="1" x="325"/>
        <item m="1" x="461"/>
        <item m="1" x="130"/>
        <item m="1" x="247"/>
        <item x="1"/>
        <item m="1" x="114"/>
        <item m="1" x="147"/>
        <item m="1" x="360"/>
        <item m="1" x="438"/>
        <item m="1" x="300"/>
        <item m="1" x="345"/>
        <item x="7"/>
        <item m="1" x="249"/>
        <item m="1" x="183"/>
        <item m="1" x="211"/>
        <item m="1" x="201"/>
        <item m="1" x="288"/>
        <item m="1" x="273"/>
        <item m="1" x="355"/>
        <item x="17"/>
        <item m="1" x="133"/>
        <item m="1" x="179"/>
        <item m="1" x="234"/>
        <item m="1" x="306"/>
        <item m="1" x="344"/>
        <item m="1" x="442"/>
        <item m="1" x="205"/>
        <item m="1" x="143"/>
        <item m="1" x="81"/>
        <item m="1" x="473"/>
        <item m="1" x="296"/>
        <item m="1" x="385"/>
        <item m="1" x="482"/>
        <item m="1" x="79"/>
        <item m="1" x="361"/>
        <item m="1" x="185"/>
        <item m="1" x="433"/>
        <item m="1" x="446"/>
        <item m="1" x="341"/>
        <item m="1" x="311"/>
        <item m="1" x="189"/>
        <item m="1" x="353"/>
        <item m="1" x="363"/>
        <item m="1" x="378"/>
        <item m="1" x="309"/>
        <item m="1" x="175"/>
        <item m="1" x="460"/>
        <item x="57"/>
        <item x="63"/>
        <item m="1" x="95"/>
        <item m="1" x="290"/>
        <item m="1" x="390"/>
        <item m="1" x="146"/>
        <item x="26"/>
        <item m="1" x="294"/>
        <item m="1" x="307"/>
        <item m="1" x="487"/>
        <item m="1" x="302"/>
        <item m="1" x="480"/>
        <item m="1" x="293"/>
        <item m="1" x="471"/>
        <item m="1" x="282"/>
        <item x="35"/>
        <item x="40"/>
        <item x="41"/>
        <item x="43"/>
        <item x="44"/>
        <item m="1" x="232"/>
        <item m="1" x="284"/>
        <item m="1" x="245"/>
        <item m="1" x="230"/>
        <item m="1" x="191"/>
        <item m="1" x="250"/>
        <item m="1" x="285"/>
        <item m="1" x="312"/>
        <item x="53"/>
        <item x="54"/>
        <item x="56"/>
        <item x="61"/>
        <item x="62"/>
        <item x="64"/>
        <item m="1" x="260"/>
        <item m="1" x="297"/>
        <item m="1" x="153"/>
        <item m="1" x="255"/>
        <item m="1" x="305"/>
        <item m="1" x="453"/>
        <item m="1" x="321"/>
        <item m="1" x="420"/>
        <item m="1" x="256"/>
        <item m="1" x="248"/>
        <item m="1" x="200"/>
        <item m="1" x="224"/>
        <item m="1" x="427"/>
        <item m="1" x="410"/>
        <item m="1" x="395"/>
        <item m="1" x="384"/>
        <item x="49"/>
        <item m="1" x="386"/>
        <item m="1" x="411"/>
        <item m="1" x="377"/>
        <item m="1" x="101"/>
        <item x="48"/>
        <item m="1" x="372"/>
        <item m="1" x="479"/>
        <item x="42"/>
        <item m="1" x="152"/>
        <item m="1" x="213"/>
        <item m="1" x="198"/>
        <item m="1" x="159"/>
        <item m="1" x="266"/>
        <item m="1" x="486"/>
        <item m="1" x="319"/>
        <item m="1" x="291"/>
        <item m="1" x="127"/>
        <item m="1" x="67"/>
        <item m="1" x="313"/>
        <item m="1" x="320"/>
        <item m="1" x="151"/>
        <item m="1" x="162"/>
        <item m="1" x="365"/>
        <item m="1" x="366"/>
        <item m="1" x="121"/>
        <item m="1" x="304"/>
        <item m="1" x="258"/>
        <item m="1" x="292"/>
        <item m="1" x="322"/>
        <item m="1" x="398"/>
        <item m="1" x="193"/>
        <item m="1" x="406"/>
        <item m="1" x="393"/>
        <item m="1" x="408"/>
        <item m="1" x="426"/>
        <item m="1" x="389"/>
        <item m="1" x="332"/>
        <item x="27"/>
        <item x="28"/>
        <item x="30"/>
        <item m="1" x="122"/>
        <item m="1" x="405"/>
        <item m="1" x="414"/>
        <item m="1" x="76"/>
        <item m="1" x="215"/>
        <item m="1" x="222"/>
        <item x="47"/>
        <item m="1" x="120"/>
        <item m="1" x="138"/>
        <item m="1" x="268"/>
        <item m="1" x="376"/>
        <item m="1" x="413"/>
        <item m="1" x="423"/>
        <item m="1" x="194"/>
        <item m="1" x="99"/>
        <item m="1" x="242"/>
        <item m="1" x="262"/>
        <item m="1" x="112"/>
        <item m="1" x="92"/>
        <item m="1" x="419"/>
        <item m="1" x="73"/>
        <item m="1" x="119"/>
        <item m="1" x="170"/>
        <item m="1" x="229"/>
        <item m="1" x="444"/>
        <item m="1" x="110"/>
        <item m="1" x="106"/>
        <item m="1" x="84"/>
        <item m="1" x="90"/>
        <item m="1" x="91"/>
        <item m="1" x="277"/>
        <item m="1" x="236"/>
        <item m="1" x="244"/>
        <item x="19"/>
        <item m="1" x="87"/>
        <item m="1" x="115"/>
        <item m="1" x="165"/>
        <item m="1" x="220"/>
        <item m="1" x="462"/>
        <item m="1" x="435"/>
        <item m="1" x="415"/>
        <item m="1" x="457"/>
        <item m="1" x="375"/>
        <item m="1" x="371"/>
        <item m="1" x="440"/>
        <item m="1" x="448"/>
        <item m="1" x="452"/>
        <item m="1" x="459"/>
        <item m="1" x="465"/>
        <item m="1" x="469"/>
        <item m="1" x="265"/>
        <item x="33"/>
        <item m="1" x="489"/>
        <item m="1" x="74"/>
        <item m="1" x="219"/>
        <item m="1" x="352"/>
        <item m="1" x="356"/>
        <item m="1" x="187"/>
        <item m="1" x="283"/>
        <item m="1" x="88"/>
        <item m="1" x="210"/>
        <item m="1" x="129"/>
        <item m="1" x="271"/>
        <item m="1" x="437"/>
        <item m="1" x="421"/>
        <item m="1" x="409"/>
        <item m="1" x="132"/>
        <item x="23"/>
        <item x="24"/>
        <item x="25"/>
        <item x="31"/>
        <item x="39"/>
        <item x="45"/>
        <item x="46"/>
        <item x="58"/>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numFmtId="21" showAll="0">
      <extLst>
        <ext xmlns:x14="http://schemas.microsoft.com/office/spreadsheetml/2009/9/main" uri="{2946ED86-A175-432a-8AC1-64E0C546D7DE}">
          <x14:pivotField fillDownLabels="1"/>
        </ext>
      </extLst>
    </pivotField>
    <pivotField dataField="1" numFmtId="3" showAll="0">
      <extLst>
        <ext xmlns:x14="http://schemas.microsoft.com/office/spreadsheetml/2009/9/main" uri="{2946ED86-A175-432a-8AC1-64E0C546D7DE}">
          <x14:pivotField fillDownLabels="1"/>
        </ext>
      </extLst>
    </pivotField>
    <pivotField numFmtId="165"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multipleItemSelectionAllowed="1" showAll="0">
      <items count="4">
        <item x="0"/>
        <item h="1" x="1"/>
        <item m="1"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5">
        <item x="2"/>
        <item x="1"/>
        <item x="0"/>
        <item m="1"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1"/>
    <field x="13"/>
    <field x="2"/>
  </rowFields>
  <rowItems count="47">
    <i>
      <x v="76"/>
    </i>
    <i>
      <x v="82"/>
    </i>
    <i>
      <x v="22"/>
    </i>
    <i>
      <x v="10"/>
    </i>
    <i>
      <x v="12"/>
    </i>
    <i>
      <x v="8"/>
    </i>
    <i>
      <x v="75"/>
    </i>
    <i>
      <x v="44"/>
    </i>
    <i>
      <x v="56"/>
    </i>
    <i>
      <x v="53"/>
    </i>
    <i>
      <x v="67"/>
    </i>
    <i>
      <x v="48"/>
    </i>
    <i>
      <x v="51"/>
    </i>
    <i>
      <x v="59"/>
    </i>
    <i>
      <x v="80"/>
    </i>
    <i>
      <x v="77"/>
    </i>
    <i>
      <x v="33"/>
    </i>
    <i>
      <x v="69"/>
    </i>
    <i>
      <x v="49"/>
    </i>
    <i>
      <x v="41"/>
    </i>
    <i>
      <x v="29"/>
    </i>
    <i>
      <x v="2"/>
    </i>
    <i>
      <x v="16"/>
    </i>
    <i>
      <x v="4"/>
    </i>
    <i>
      <x v="66"/>
    </i>
    <i>
      <x v="6"/>
    </i>
    <i>
      <x v="21"/>
    </i>
    <i>
      <x v="70"/>
    </i>
    <i>
      <x v="3"/>
    </i>
    <i>
      <x v="65"/>
    </i>
    <i>
      <x v="30"/>
    </i>
    <i>
      <x v="27"/>
    </i>
    <i>
      <x v="50"/>
    </i>
    <i>
      <x v="26"/>
    </i>
    <i>
      <x v="17"/>
    </i>
    <i>
      <x v="20"/>
    </i>
    <i>
      <x v="34"/>
    </i>
    <i>
      <x v="55"/>
    </i>
    <i>
      <x v="60"/>
    </i>
    <i>
      <x v="79"/>
    </i>
    <i>
      <x v="87"/>
    </i>
    <i>
      <x v="39"/>
    </i>
    <i>
      <x v="45"/>
    </i>
    <i>
      <x v="31"/>
    </i>
    <i>
      <x v="62"/>
    </i>
    <i>
      <x v="89"/>
    </i>
    <i t="grand">
      <x/>
    </i>
  </rowItems>
  <colFields count="1">
    <field x="-2"/>
  </colFields>
  <colItems count="3">
    <i>
      <x/>
    </i>
    <i i="1">
      <x v="1"/>
    </i>
    <i i="2">
      <x v="2"/>
    </i>
  </colItems>
  <pageFields count="1">
    <pageField fld="11" hier="-1"/>
  </pageFields>
  <dataFields count="3">
    <dataField name="Sum of Audience" fld="5" baseField="0" baseItem="0" numFmtId="3"/>
    <dataField name="Sum of Broadcast Duration" fld="4" baseField="0" baseItem="0" numFmtId="46"/>
    <dataField name="Sum of Rolex Value"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9000000}" name="PivotTable2"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D558" firstHeaderRow="0" firstDataRow="1" firstDataCol="1" rowPageCount="1" colPageCount="1"/>
  <pivotFields count="25">
    <pivotField showAll="0">
      <extLst>
        <ext xmlns:x14="http://schemas.microsoft.com/office/spreadsheetml/2009/9/main" uri="{2946ED86-A175-432a-8AC1-64E0C546D7DE}">
          <x14:pivotField fillDownLabels="1"/>
        </ext>
      </extLst>
    </pivotField>
    <pivotField axis="axisRow" showAll="0" sortType="descending">
      <items count="92">
        <item m="1" x="76"/>
        <item m="1" x="89"/>
        <item x="0"/>
        <item x="1"/>
        <item x="2"/>
        <item m="1" x="67"/>
        <item x="3"/>
        <item m="1" x="75"/>
        <item x="4"/>
        <item m="1" x="69"/>
        <item x="5"/>
        <item m="1" x="71"/>
        <item x="6"/>
        <item m="1" x="51"/>
        <item m="1" x="58"/>
        <item m="1" x="85"/>
        <item x="7"/>
        <item x="8"/>
        <item x="46"/>
        <item m="1" x="50"/>
        <item x="9"/>
        <item x="10"/>
        <item x="11"/>
        <item m="1" x="64"/>
        <item m="1" x="90"/>
        <item m="1" x="59"/>
        <item x="12"/>
        <item x="13"/>
        <item m="1" x="88"/>
        <item x="14"/>
        <item x="15"/>
        <item x="16"/>
        <item m="1" x="74"/>
        <item x="17"/>
        <item x="18"/>
        <item m="1" x="72"/>
        <item m="1" x="70"/>
        <item m="1" x="66"/>
        <item m="1" x="54"/>
        <item x="20"/>
        <item m="1" x="65"/>
        <item x="21"/>
        <item m="1" x="87"/>
        <item m="1" x="86"/>
        <item x="22"/>
        <item x="23"/>
        <item m="1" x="56"/>
        <item m="1" x="82"/>
        <item x="25"/>
        <item x="26"/>
        <item x="27"/>
        <item x="29"/>
        <item m="1" x="63"/>
        <item x="31"/>
        <item m="1" x="62"/>
        <item x="33"/>
        <item x="34"/>
        <item m="1" x="81"/>
        <item m="1" x="68"/>
        <item x="35"/>
        <item x="36"/>
        <item m="1" x="73"/>
        <item x="37"/>
        <item m="1" x="52"/>
        <item m="1" x="55"/>
        <item x="38"/>
        <item x="39"/>
        <item x="40"/>
        <item m="1" x="60"/>
        <item x="41"/>
        <item x="42"/>
        <item m="1" x="78"/>
        <item m="1" x="61"/>
        <item m="1" x="83"/>
        <item m="1" x="57"/>
        <item x="43"/>
        <item x="44"/>
        <item x="45"/>
        <item m="1" x="47"/>
        <item x="28"/>
        <item x="24"/>
        <item m="1" x="79"/>
        <item x="30"/>
        <item m="1" x="77"/>
        <item m="1" x="80"/>
        <item m="1" x="84"/>
        <item m="1" x="49"/>
        <item x="32"/>
        <item m="1" x="53"/>
        <item x="19"/>
        <item m="1" x="48"/>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showAll="0" sortType="descending">
      <items count="491">
        <item m="1" x="488"/>
        <item x="65"/>
        <item m="1" x="94"/>
        <item m="1" x="177"/>
        <item m="1" x="225"/>
        <item m="1" x="164"/>
        <item m="1" x="181"/>
        <item m="1" x="417"/>
        <item x="21"/>
        <item x="22"/>
        <item m="1" x="135"/>
        <item m="1" x="168"/>
        <item m="1" x="148"/>
        <item m="1" x="218"/>
        <item m="1" x="107"/>
        <item m="1" x="450"/>
        <item m="1" x="451"/>
        <item m="1" x="424"/>
        <item m="1" x="472"/>
        <item m="1" x="279"/>
        <item m="1" x="281"/>
        <item m="1" x="382"/>
        <item m="1" x="197"/>
        <item m="1" x="263"/>
        <item m="1" x="324"/>
        <item m="1" x="359"/>
        <item m="1" x="394"/>
        <item m="1" x="475"/>
        <item m="1" x="223"/>
        <item m="1" x="337"/>
        <item m="1" x="374"/>
        <item m="1" x="113"/>
        <item x="9"/>
        <item x="10"/>
        <item m="1" x="484"/>
        <item x="11"/>
        <item x="12"/>
        <item x="13"/>
        <item m="1" x="456"/>
        <item m="1" x="467"/>
        <item m="1" x="477"/>
        <item x="14"/>
        <item x="15"/>
        <item m="1" x="131"/>
        <item m="1" x="287"/>
        <item m="1" x="166"/>
        <item m="1" x="221"/>
        <item m="1" x="251"/>
        <item m="1" x="286"/>
        <item m="1" x="333"/>
        <item m="1" x="83"/>
        <item m="1" x="100"/>
        <item m="1" x="379"/>
        <item m="1" x="330"/>
        <item m="1" x="331"/>
        <item m="1" x="103"/>
        <item m="1" x="145"/>
        <item m="1" x="97"/>
        <item m="1" x="209"/>
        <item m="1" x="140"/>
        <item m="1" x="295"/>
        <item m="1" x="261"/>
        <item m="1" x="267"/>
        <item m="1" x="464"/>
        <item m="1" x="204"/>
        <item m="1" x="216"/>
        <item m="1" x="137"/>
        <item m="1" x="289"/>
        <item x="20"/>
        <item m="1" x="116"/>
        <item m="1" x="443"/>
        <item m="1" x="346"/>
        <item x="29"/>
        <item m="1" x="141"/>
        <item m="1" x="428"/>
        <item m="1" x="78"/>
        <item m="1" x="445"/>
        <item m="1" x="82"/>
        <item m="1" x="334"/>
        <item m="1" x="430"/>
        <item m="1" x="303"/>
        <item m="1" x="157"/>
        <item m="1" x="392"/>
        <item m="1" x="399"/>
        <item m="1" x="259"/>
        <item m="1" x="142"/>
        <item x="36"/>
        <item m="1" x="432"/>
        <item m="1" x="126"/>
        <item m="1" x="298"/>
        <item m="1" x="124"/>
        <item m="1" x="326"/>
        <item m="1" x="160"/>
        <item m="1" x="336"/>
        <item m="1" x="174"/>
        <item m="1" x="362"/>
        <item m="1" x="163"/>
        <item m="1" x="144"/>
        <item m="1" x="316"/>
        <item m="1" x="357"/>
        <item m="1" x="466"/>
        <item m="1" x="412"/>
        <item m="1" x="192"/>
        <item m="1" x="416"/>
        <item m="1" x="418"/>
        <item m="1" x="338"/>
        <item m="1" x="276"/>
        <item m="1" x="98"/>
        <item m="1" x="102"/>
        <item m="1" x="105"/>
        <item m="1" x="109"/>
        <item m="1" x="308"/>
        <item m="1" x="315"/>
        <item m="1" x="317"/>
        <item x="50"/>
        <item m="1" x="397"/>
        <item m="1" x="71"/>
        <item m="1" x="217"/>
        <item x="52"/>
        <item m="1" x="111"/>
        <item x="55"/>
        <item m="1" x="272"/>
        <item m="1" x="202"/>
        <item m="1" x="264"/>
        <item m="1" x="155"/>
        <item m="1" x="447"/>
        <item x="0"/>
        <item x="2"/>
        <item m="1" x="75"/>
        <item m="1" x="156"/>
        <item m="1" x="323"/>
        <item m="1" x="254"/>
        <item m="1" x="310"/>
        <item m="1" x="329"/>
        <item m="1" x="349"/>
        <item m="1" x="369"/>
        <item m="1" x="380"/>
        <item m="1" x="402"/>
        <item m="1" x="348"/>
        <item m="1" x="66"/>
        <item m="1" x="429"/>
        <item m="1" x="463"/>
        <item m="1" x="431"/>
        <item m="1" x="314"/>
        <item m="1" x="96"/>
        <item m="1" x="241"/>
        <item m="1" x="243"/>
        <item m="1" x="227"/>
        <item m="1" x="203"/>
        <item m="1" x="301"/>
        <item m="1" x="342"/>
        <item m="1" x="108"/>
        <item m="1" x="235"/>
        <item m="1" x="396"/>
        <item m="1" x="383"/>
        <item m="1" x="169"/>
        <item m="1" x="214"/>
        <item m="1" x="123"/>
        <item m="1" x="77"/>
        <item m="1" x="93"/>
        <item m="1" x="474"/>
        <item x="6"/>
        <item m="1" x="196"/>
        <item m="1" x="485"/>
        <item m="1" x="387"/>
        <item m="1" x="172"/>
        <item m="1" x="454"/>
        <item m="1" x="458"/>
        <item m="1" x="68"/>
        <item m="1" x="86"/>
        <item m="1" x="167"/>
        <item m="1" x="176"/>
        <item m="1" x="370"/>
        <item m="1" x="206"/>
        <item m="1" x="476"/>
        <item m="1" x="455"/>
        <item m="1" x="226"/>
        <item m="1" x="364"/>
        <item m="1" x="180"/>
        <item m="1" x="117"/>
        <item m="1" x="125"/>
        <item m="1" x="422"/>
        <item m="1" x="339"/>
        <item m="1" x="388"/>
        <item m="1" x="89"/>
        <item m="1" x="171"/>
        <item m="1" x="134"/>
        <item m="1" x="150"/>
        <item m="1" x="274"/>
        <item m="1" x="439"/>
        <item m="1" x="350"/>
        <item m="1" x="351"/>
        <item m="1" x="343"/>
        <item m="1" x="269"/>
        <item m="1" x="128"/>
        <item m="1" x="327"/>
        <item m="1" x="237"/>
        <item m="1" x="207"/>
        <item m="1" x="483"/>
        <item m="1" x="72"/>
        <item m="1" x="190"/>
        <item x="5"/>
        <item m="1" x="280"/>
        <item m="1" x="184"/>
        <item m="1" x="347"/>
        <item m="1" x="278"/>
        <item m="1" x="335"/>
        <item m="1" x="400"/>
        <item m="1" x="354"/>
        <item m="1" x="136"/>
        <item x="3"/>
        <item m="1" x="373"/>
        <item m="1" x="161"/>
        <item x="51"/>
        <item m="1" x="449"/>
        <item m="1" x="358"/>
        <item m="1" x="253"/>
        <item x="59"/>
        <item x="60"/>
        <item m="1" x="199"/>
        <item m="1" x="403"/>
        <item m="1" x="80"/>
        <item m="1" x="158"/>
        <item m="1" x="239"/>
        <item m="1" x="318"/>
        <item m="1" x="275"/>
        <item m="1" x="299"/>
        <item m="1" x="233"/>
        <item m="1" x="270"/>
        <item x="8"/>
        <item m="1" x="434"/>
        <item m="1" x="478"/>
        <item m="1" x="208"/>
        <item x="18"/>
        <item m="1" x="257"/>
        <item m="1" x="228"/>
        <item m="1" x="186"/>
        <item m="1" x="436"/>
        <item m="1" x="252"/>
        <item x="32"/>
        <item x="34"/>
        <item m="1" x="182"/>
        <item m="1" x="468"/>
        <item m="1" x="69"/>
        <item m="1" x="118"/>
        <item m="1" x="238"/>
        <item m="1" x="425"/>
        <item m="1" x="381"/>
        <item m="1" x="391"/>
        <item m="1" x="212"/>
        <item m="1" x="470"/>
        <item m="1" x="367"/>
        <item x="38"/>
        <item m="1" x="188"/>
        <item m="1" x="178"/>
        <item m="1" x="173"/>
        <item m="1" x="407"/>
        <item m="1" x="104"/>
        <item x="16"/>
        <item m="1" x="231"/>
        <item m="1" x="246"/>
        <item m="1" x="149"/>
        <item m="1" x="404"/>
        <item m="1" x="154"/>
        <item m="1" x="85"/>
        <item m="1" x="401"/>
        <item m="1" x="368"/>
        <item m="1" x="328"/>
        <item m="1" x="240"/>
        <item m="1" x="481"/>
        <item m="1" x="139"/>
        <item x="37"/>
        <item m="1" x="441"/>
        <item m="1" x="340"/>
        <item x="4"/>
        <item m="1" x="70"/>
        <item m="1" x="195"/>
        <item m="1" x="325"/>
        <item m="1" x="461"/>
        <item m="1" x="130"/>
        <item m="1" x="247"/>
        <item x="1"/>
        <item m="1" x="114"/>
        <item m="1" x="147"/>
        <item m="1" x="360"/>
        <item m="1" x="438"/>
        <item m="1" x="300"/>
        <item m="1" x="345"/>
        <item x="7"/>
        <item m="1" x="249"/>
        <item m="1" x="183"/>
        <item m="1" x="211"/>
        <item m="1" x="201"/>
        <item m="1" x="288"/>
        <item m="1" x="273"/>
        <item m="1" x="355"/>
        <item x="17"/>
        <item m="1" x="133"/>
        <item m="1" x="179"/>
        <item m="1" x="234"/>
        <item m="1" x="306"/>
        <item m="1" x="344"/>
        <item m="1" x="442"/>
        <item m="1" x="205"/>
        <item m="1" x="143"/>
        <item m="1" x="81"/>
        <item m="1" x="473"/>
        <item m="1" x="296"/>
        <item m="1" x="385"/>
        <item m="1" x="482"/>
        <item m="1" x="79"/>
        <item m="1" x="361"/>
        <item m="1" x="185"/>
        <item m="1" x="433"/>
        <item m="1" x="446"/>
        <item m="1" x="341"/>
        <item m="1" x="311"/>
        <item m="1" x="189"/>
        <item m="1" x="353"/>
        <item m="1" x="363"/>
        <item m="1" x="378"/>
        <item m="1" x="309"/>
        <item m="1" x="175"/>
        <item m="1" x="460"/>
        <item x="57"/>
        <item x="63"/>
        <item m="1" x="95"/>
        <item m="1" x="290"/>
        <item m="1" x="390"/>
        <item m="1" x="146"/>
        <item x="26"/>
        <item m="1" x="294"/>
        <item m="1" x="307"/>
        <item m="1" x="487"/>
        <item m="1" x="302"/>
        <item m="1" x="480"/>
        <item m="1" x="293"/>
        <item m="1" x="471"/>
        <item m="1" x="282"/>
        <item x="35"/>
        <item x="40"/>
        <item x="41"/>
        <item x="43"/>
        <item x="44"/>
        <item m="1" x="232"/>
        <item m="1" x="284"/>
        <item m="1" x="245"/>
        <item m="1" x="230"/>
        <item m="1" x="191"/>
        <item m="1" x="250"/>
        <item m="1" x="285"/>
        <item m="1" x="312"/>
        <item x="53"/>
        <item x="54"/>
        <item x="56"/>
        <item x="61"/>
        <item x="62"/>
        <item x="64"/>
        <item m="1" x="260"/>
        <item m="1" x="297"/>
        <item m="1" x="153"/>
        <item m="1" x="255"/>
        <item m="1" x="305"/>
        <item m="1" x="453"/>
        <item m="1" x="321"/>
        <item m="1" x="420"/>
        <item m="1" x="256"/>
        <item m="1" x="248"/>
        <item m="1" x="200"/>
        <item m="1" x="224"/>
        <item m="1" x="427"/>
        <item m="1" x="410"/>
        <item m="1" x="395"/>
        <item m="1" x="384"/>
        <item x="49"/>
        <item m="1" x="386"/>
        <item m="1" x="411"/>
        <item m="1" x="377"/>
        <item m="1" x="101"/>
        <item x="48"/>
        <item m="1" x="372"/>
        <item m="1" x="479"/>
        <item x="42"/>
        <item m="1" x="152"/>
        <item m="1" x="213"/>
        <item m="1" x="198"/>
        <item m="1" x="159"/>
        <item m="1" x="266"/>
        <item m="1" x="486"/>
        <item m="1" x="319"/>
        <item m="1" x="291"/>
        <item m="1" x="127"/>
        <item m="1" x="67"/>
        <item m="1" x="313"/>
        <item m="1" x="320"/>
        <item m="1" x="151"/>
        <item m="1" x="162"/>
        <item m="1" x="365"/>
        <item m="1" x="366"/>
        <item m="1" x="121"/>
        <item m="1" x="304"/>
        <item m="1" x="258"/>
        <item m="1" x="292"/>
        <item m="1" x="322"/>
        <item m="1" x="398"/>
        <item m="1" x="193"/>
        <item m="1" x="406"/>
        <item m="1" x="393"/>
        <item m="1" x="408"/>
        <item m="1" x="426"/>
        <item m="1" x="389"/>
        <item m="1" x="332"/>
        <item x="27"/>
        <item x="28"/>
        <item x="30"/>
        <item m="1" x="122"/>
        <item m="1" x="405"/>
        <item m="1" x="414"/>
        <item m="1" x="76"/>
        <item m="1" x="215"/>
        <item m="1" x="222"/>
        <item x="47"/>
        <item m="1" x="120"/>
        <item m="1" x="138"/>
        <item m="1" x="268"/>
        <item m="1" x="376"/>
        <item m="1" x="413"/>
        <item m="1" x="423"/>
        <item m="1" x="194"/>
        <item m="1" x="99"/>
        <item m="1" x="242"/>
        <item m="1" x="262"/>
        <item m="1" x="112"/>
        <item m="1" x="92"/>
        <item m="1" x="419"/>
        <item m="1" x="73"/>
        <item m="1" x="119"/>
        <item m="1" x="170"/>
        <item m="1" x="229"/>
        <item m="1" x="444"/>
        <item m="1" x="110"/>
        <item m="1" x="106"/>
        <item m="1" x="84"/>
        <item m="1" x="90"/>
        <item m="1" x="91"/>
        <item m="1" x="277"/>
        <item m="1" x="236"/>
        <item m="1" x="244"/>
        <item x="19"/>
        <item m="1" x="87"/>
        <item m="1" x="115"/>
        <item m="1" x="165"/>
        <item m="1" x="220"/>
        <item m="1" x="462"/>
        <item m="1" x="435"/>
        <item m="1" x="415"/>
        <item m="1" x="457"/>
        <item m="1" x="375"/>
        <item m="1" x="371"/>
        <item m="1" x="440"/>
        <item m="1" x="448"/>
        <item m="1" x="452"/>
        <item m="1" x="459"/>
        <item m="1" x="465"/>
        <item m="1" x="469"/>
        <item m="1" x="265"/>
        <item x="33"/>
        <item m="1" x="489"/>
        <item m="1" x="74"/>
        <item m="1" x="219"/>
        <item m="1" x="352"/>
        <item m="1" x="356"/>
        <item m="1" x="187"/>
        <item m="1" x="283"/>
        <item m="1" x="88"/>
        <item m="1" x="210"/>
        <item m="1" x="129"/>
        <item m="1" x="271"/>
        <item m="1" x="437"/>
        <item m="1" x="421"/>
        <item m="1" x="409"/>
        <item m="1" x="132"/>
        <item x="23"/>
        <item x="24"/>
        <item x="25"/>
        <item x="31"/>
        <item x="39"/>
        <item x="45"/>
        <item x="46"/>
        <item x="58"/>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multipleItemSelectionAllowed="1" showAll="0">
      <items count="6">
        <item m="1" x="4"/>
        <item x="2"/>
        <item x="0"/>
        <item x="1"/>
        <item m="1" x="3"/>
        <item t="default"/>
      </items>
      <extLst>
        <ext xmlns:x14="http://schemas.microsoft.com/office/spreadsheetml/2009/9/main" uri="{2946ED86-A175-432a-8AC1-64E0C546D7DE}">
          <x14:pivotField fillDownLabels="1"/>
        </ext>
      </extLst>
    </pivotField>
    <pivotField dataField="1" numFmtId="21" showAll="0">
      <extLst>
        <ext xmlns:x14="http://schemas.microsoft.com/office/spreadsheetml/2009/9/main" uri="{2946ED86-A175-432a-8AC1-64E0C546D7DE}">
          <x14:pivotField fillDownLabels="1"/>
        </ext>
      </extLst>
    </pivotField>
    <pivotField dataField="1" numFmtId="3" showAll="0">
      <extLst>
        <ext xmlns:x14="http://schemas.microsoft.com/office/spreadsheetml/2009/9/main" uri="{2946ED86-A175-432a-8AC1-64E0C546D7DE}">
          <x14:pivotField fillDownLabels="1"/>
        </ext>
      </extLst>
    </pivotField>
    <pivotField numFmtId="165"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showAll="0">
      <items count="4">
        <item x="0"/>
        <item x="1"/>
        <item m="1"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sortType="descending">
      <items count="5">
        <item x="2"/>
        <item x="1"/>
        <item x="0"/>
        <item m="1"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4">
    <field x="1"/>
    <field x="13"/>
    <field x="2"/>
    <field x="3"/>
  </rowFields>
  <rowItems count="554">
    <i>
      <x v="76"/>
    </i>
    <i r="1">
      <x v="2"/>
    </i>
    <i r="2">
      <x v="126"/>
    </i>
    <i r="3">
      <x v="1"/>
    </i>
    <i r="3">
      <x v="2"/>
    </i>
    <i r="2">
      <x v="356"/>
    </i>
    <i r="3">
      <x v="2"/>
    </i>
    <i r="3">
      <x v="3"/>
    </i>
    <i r="2">
      <x v="325"/>
    </i>
    <i r="3">
      <x v="1"/>
    </i>
    <i r="3">
      <x v="2"/>
    </i>
    <i r="3">
      <x v="3"/>
    </i>
    <i r="2">
      <x v="355"/>
    </i>
    <i r="3">
      <x v="1"/>
    </i>
    <i r="3">
      <x v="2"/>
    </i>
    <i r="3">
      <x v="3"/>
    </i>
    <i r="2">
      <x v="217"/>
    </i>
    <i r="3">
      <x v="2"/>
    </i>
    <i r="3">
      <x v="3"/>
    </i>
    <i r="2">
      <x v="218"/>
    </i>
    <i r="3">
      <x v="2"/>
    </i>
    <i r="3">
      <x v="3"/>
    </i>
    <i>
      <x v="82"/>
    </i>
    <i r="1">
      <x v="2"/>
    </i>
    <i r="2">
      <x v="201"/>
    </i>
    <i r="3">
      <x v="1"/>
    </i>
    <i r="3">
      <x v="2"/>
    </i>
    <i r="3">
      <x v="3"/>
    </i>
    <i r="2">
      <x v="161"/>
    </i>
    <i r="3">
      <x v="1"/>
    </i>
    <i r="3">
      <x v="2"/>
    </i>
    <i r="3">
      <x v="3"/>
    </i>
    <i>
      <x v="22"/>
    </i>
    <i r="1">
      <x v="1"/>
    </i>
    <i r="2">
      <x v="201"/>
    </i>
    <i r="3">
      <x v="1"/>
    </i>
    <i r="3">
      <x v="2"/>
    </i>
    <i r="3">
      <x v="3"/>
    </i>
    <i r="1">
      <x v="2"/>
    </i>
    <i r="2">
      <x v="161"/>
    </i>
    <i r="3">
      <x v="1"/>
    </i>
    <i r="3">
      <x v="2"/>
    </i>
    <i r="3">
      <x v="3"/>
    </i>
    <i>
      <x v="10"/>
    </i>
    <i r="1">
      <x v="2"/>
    </i>
    <i r="2">
      <x v="37"/>
    </i>
    <i r="3">
      <x v="1"/>
    </i>
    <i r="3">
      <x v="2"/>
    </i>
    <i r="3">
      <x v="3"/>
    </i>
    <i r="2">
      <x v="35"/>
    </i>
    <i r="3">
      <x v="2"/>
    </i>
    <i r="3">
      <x v="3"/>
    </i>
    <i r="2">
      <x v="36"/>
    </i>
    <i r="3">
      <x v="2"/>
    </i>
    <i r="3">
      <x v="3"/>
    </i>
    <i r="2">
      <x v="41"/>
    </i>
    <i r="3">
      <x v="2"/>
    </i>
    <i r="3">
      <x v="3"/>
    </i>
    <i>
      <x v="12"/>
    </i>
    <i r="1">
      <x v="1"/>
    </i>
    <i r="2">
      <x v="42"/>
    </i>
    <i r="3">
      <x v="1"/>
    </i>
    <i r="3">
      <x v="2"/>
    </i>
    <i r="3">
      <x v="3"/>
    </i>
    <i r="2">
      <x v="258"/>
    </i>
    <i r="3">
      <x v="2"/>
    </i>
    <i r="3">
      <x v="3"/>
    </i>
    <i r="1">
      <x v="2"/>
    </i>
    <i r="2">
      <x v="296"/>
    </i>
    <i r="3">
      <x v="1"/>
    </i>
    <i r="3">
      <x v="2"/>
    </i>
    <i r="2">
      <x v="233"/>
    </i>
    <i r="3">
      <x v="1"/>
    </i>
    <i>
      <x v="8"/>
    </i>
    <i r="1">
      <x v="2"/>
    </i>
    <i r="2">
      <x v="33"/>
    </i>
    <i r="3">
      <x v="2"/>
    </i>
    <i r="3">
      <x v="3"/>
    </i>
    <i r="2">
      <x v="126"/>
    </i>
    <i r="3">
      <x v="1"/>
    </i>
    <i r="3">
      <x v="2"/>
    </i>
    <i r="3">
      <x v="3"/>
    </i>
    <i r="2">
      <x v="127"/>
    </i>
    <i r="3">
      <x v="1"/>
    </i>
    <i r="3">
      <x v="2"/>
    </i>
    <i r="3">
      <x v="3"/>
    </i>
    <i r="2">
      <x v="32"/>
    </i>
    <i r="3">
      <x v="3"/>
    </i>
    <i r="2">
      <x v="229"/>
    </i>
    <i r="3">
      <x v="3"/>
    </i>
    <i>
      <x v="75"/>
    </i>
    <i r="1">
      <x v="1"/>
    </i>
    <i r="2">
      <x v="489"/>
    </i>
    <i r="3">
      <x v="2"/>
    </i>
    <i>
      <x v="44"/>
    </i>
    <i r="1">
      <x v="2"/>
    </i>
    <i r="2">
      <x v="201"/>
    </i>
    <i r="3">
      <x v="1"/>
    </i>
    <i r="3">
      <x v="2"/>
    </i>
    <i r="3">
      <x v="3"/>
    </i>
    <i r="2">
      <x v="161"/>
    </i>
    <i r="3">
      <x v="1"/>
    </i>
    <i r="3">
      <x v="2"/>
    </i>
    <i r="3">
      <x v="3"/>
    </i>
    <i>
      <x v="56"/>
    </i>
    <i r="1">
      <x v="2"/>
    </i>
    <i r="2">
      <x v="201"/>
    </i>
    <i r="3">
      <x v="1"/>
    </i>
    <i r="3">
      <x v="2"/>
    </i>
    <i r="3">
      <x v="3"/>
    </i>
    <i r="2">
      <x v="161"/>
    </i>
    <i r="3">
      <x v="1"/>
    </i>
    <i r="3">
      <x v="2"/>
    </i>
    <i r="3">
      <x v="3"/>
    </i>
    <i>
      <x v="53"/>
    </i>
    <i r="1">
      <x v="2"/>
    </i>
    <i r="2">
      <x v="421"/>
    </i>
    <i r="3">
      <x v="1"/>
    </i>
    <i r="3">
      <x v="2"/>
    </i>
    <i r="3">
      <x v="3"/>
    </i>
    <i r="2">
      <x v="379"/>
    </i>
    <i r="3">
      <x v="1"/>
    </i>
    <i r="3">
      <x v="2"/>
    </i>
    <i r="3">
      <x v="3"/>
    </i>
    <i r="2">
      <x v="374"/>
    </i>
    <i r="3">
      <x v="1"/>
    </i>
    <i r="3">
      <x v="2"/>
    </i>
    <i r="3">
      <x v="3"/>
    </i>
    <i r="2">
      <x v="488"/>
    </i>
    <i r="3">
      <x v="2"/>
    </i>
    <i r="3">
      <x v="3"/>
    </i>
    <i r="2">
      <x v="487"/>
    </i>
    <i r="3">
      <x v="1"/>
    </i>
    <i>
      <x v="67"/>
    </i>
    <i r="1">
      <x v="2"/>
    </i>
    <i r="2">
      <x v="201"/>
    </i>
    <i r="3">
      <x v="1"/>
    </i>
    <i r="3">
      <x v="2"/>
    </i>
    <i r="3">
      <x v="3"/>
    </i>
    <i r="2">
      <x v="161"/>
    </i>
    <i r="3">
      <x v="1"/>
    </i>
    <i r="3">
      <x v="2"/>
    </i>
    <i r="3">
      <x v="3"/>
    </i>
    <i>
      <x v="48"/>
    </i>
    <i r="1">
      <x v="2"/>
    </i>
    <i r="2">
      <x v="201"/>
    </i>
    <i r="3">
      <x v="1"/>
    </i>
    <i r="3">
      <x v="2"/>
    </i>
    <i r="3">
      <x v="3"/>
    </i>
    <i r="2">
      <x v="161"/>
    </i>
    <i r="3">
      <x v="1"/>
    </i>
    <i r="3">
      <x v="2"/>
    </i>
    <i r="3">
      <x v="3"/>
    </i>
    <i r="2">
      <x v="340"/>
    </i>
    <i r="3">
      <x v="1"/>
    </i>
    <i r="3">
      <x v="2"/>
    </i>
    <i r="3">
      <x v="3"/>
    </i>
    <i r="2">
      <x v="342"/>
    </i>
    <i r="3">
      <x v="1"/>
    </i>
    <i r="2">
      <x v="252"/>
    </i>
    <i r="3">
      <x v="1"/>
    </i>
    <i r="3">
      <x v="2"/>
    </i>
    <i r="3">
      <x v="3"/>
    </i>
    <i r="2">
      <x v="343"/>
    </i>
    <i r="3">
      <x v="1"/>
    </i>
    <i r="3">
      <x v="2"/>
    </i>
    <i r="2">
      <x v="382"/>
    </i>
    <i r="3">
      <x v="1"/>
    </i>
    <i r="3">
      <x v="3"/>
    </i>
    <i r="2">
      <x v="341"/>
    </i>
    <i r="3">
      <x v="2"/>
    </i>
    <i r="3">
      <x v="3"/>
    </i>
    <i r="2">
      <x v="486"/>
    </i>
    <i r="3">
      <x v="2"/>
    </i>
    <i>
      <x v="51"/>
    </i>
    <i r="1">
      <x v="2"/>
    </i>
    <i r="2">
      <x v="126"/>
    </i>
    <i r="3">
      <x v="2"/>
    </i>
    <i r="3">
      <x v="3"/>
    </i>
    <i r="2">
      <x v="127"/>
    </i>
    <i r="3">
      <x v="1"/>
    </i>
    <i r="3">
      <x v="2"/>
    </i>
    <i r="3">
      <x v="3"/>
    </i>
    <i r="2">
      <x v="210"/>
    </i>
    <i r="3">
      <x v="2"/>
    </i>
    <i r="3">
      <x v="3"/>
    </i>
    <i r="2">
      <x v="281"/>
    </i>
    <i r="3">
      <x v="2"/>
    </i>
    <i r="3">
      <x v="3"/>
    </i>
    <i>
      <x v="59"/>
    </i>
    <i r="1">
      <x v="2"/>
    </i>
    <i r="2">
      <x v="201"/>
    </i>
    <i r="3">
      <x v="1"/>
    </i>
    <i r="3">
      <x v="2"/>
    </i>
    <i r="3">
      <x v="3"/>
    </i>
    <i r="2">
      <x v="161"/>
    </i>
    <i r="3">
      <x v="1"/>
    </i>
    <i r="3">
      <x v="2"/>
    </i>
    <i r="3">
      <x v="3"/>
    </i>
    <i>
      <x v="80"/>
    </i>
    <i r="1">
      <x v="2"/>
    </i>
    <i r="2">
      <x v="271"/>
    </i>
    <i r="3">
      <x v="1"/>
    </i>
    <i r="3">
      <x v="2"/>
    </i>
    <i>
      <x v="77"/>
    </i>
    <i r="1">
      <x v="2"/>
    </i>
    <i r="2">
      <x v="68"/>
    </i>
    <i r="3">
      <x v="1"/>
    </i>
    <i r="3">
      <x v="2"/>
    </i>
    <i r="2">
      <x v="8"/>
    </i>
    <i r="3">
      <x v="1"/>
    </i>
    <i r="3">
      <x v="2"/>
    </i>
    <i r="2">
      <x v="357"/>
    </i>
    <i r="3">
      <x v="1"/>
    </i>
    <i r="3">
      <x v="2"/>
    </i>
    <i r="3">
      <x v="3"/>
    </i>
    <i r="2">
      <x v="9"/>
    </i>
    <i r="3">
      <x v="2"/>
    </i>
    <i>
      <x v="33"/>
    </i>
    <i r="1">
      <x v="2"/>
    </i>
    <i r="2">
      <x v="201"/>
    </i>
    <i r="3">
      <x v="1"/>
    </i>
    <i r="3">
      <x v="2"/>
    </i>
    <i r="3">
      <x v="3"/>
    </i>
    <i r="2">
      <x v="161"/>
    </i>
    <i r="3">
      <x v="1"/>
    </i>
    <i r="3">
      <x v="2"/>
    </i>
    <i r="3">
      <x v="3"/>
    </i>
    <i>
      <x v="69"/>
    </i>
    <i r="1">
      <x v="1"/>
    </i>
    <i r="2">
      <x v="353"/>
    </i>
    <i r="3">
      <x v="1"/>
    </i>
    <i r="3">
      <x v="2"/>
    </i>
    <i r="2">
      <x v="352"/>
    </i>
    <i r="3">
      <x v="1"/>
    </i>
    <i r="3">
      <x v="2"/>
    </i>
    <i r="3">
      <x v="3"/>
    </i>
    <i r="2">
      <x v="120"/>
    </i>
    <i r="3">
      <x v="1"/>
    </i>
    <i r="3">
      <x v="2"/>
    </i>
    <i r="2">
      <x v="118"/>
    </i>
    <i r="3">
      <x v="1"/>
    </i>
    <i r="3">
      <x v="2"/>
    </i>
    <i r="3">
      <x v="3"/>
    </i>
    <i r="1">
      <x v="2"/>
    </i>
    <i r="2">
      <x v="201"/>
    </i>
    <i r="3">
      <x v="1"/>
    </i>
    <i r="3">
      <x v="2"/>
    </i>
    <i r="3">
      <x v="3"/>
    </i>
    <i r="2">
      <x v="161"/>
    </i>
    <i r="3">
      <x v="1"/>
    </i>
    <i r="3">
      <x v="2"/>
    </i>
    <i r="3">
      <x v="3"/>
    </i>
    <i>
      <x v="49"/>
    </i>
    <i r="1">
      <x v="2"/>
    </i>
    <i r="2">
      <x v="86"/>
    </i>
    <i r="3">
      <x v="1"/>
    </i>
    <i r="3">
      <x v="2"/>
    </i>
    <i r="2">
      <x v="240"/>
    </i>
    <i r="3">
      <x v="1"/>
    </i>
    <i r="3">
      <x v="2"/>
    </i>
    <i r="2">
      <x v="339"/>
    </i>
    <i r="3">
      <x v="2"/>
    </i>
    <i>
      <x v="41"/>
    </i>
    <i r="1">
      <x v="2"/>
    </i>
    <i r="2">
      <x v="126"/>
    </i>
    <i r="3">
      <x v="2"/>
    </i>
    <i r="3">
      <x v="3"/>
    </i>
    <i r="2">
      <x v="127"/>
    </i>
    <i r="3">
      <x v="1"/>
    </i>
    <i r="3">
      <x v="2"/>
    </i>
    <i r="3">
      <x v="3"/>
    </i>
    <i r="2">
      <x v="210"/>
    </i>
    <i r="3">
      <x v="2"/>
    </i>
    <i r="3">
      <x v="3"/>
    </i>
    <i r="2">
      <x v="281"/>
    </i>
    <i r="3">
      <x v="2"/>
    </i>
    <i r="3">
      <x v="3"/>
    </i>
    <i>
      <x v="29"/>
    </i>
    <i r="1">
      <x v="2"/>
    </i>
    <i r="2">
      <x v="414"/>
    </i>
    <i r="3">
      <x v="1"/>
    </i>
    <i r="3">
      <x v="2"/>
    </i>
    <i r="2">
      <x v="413"/>
    </i>
    <i r="3">
      <x v="1"/>
    </i>
    <i r="3">
      <x v="2"/>
    </i>
    <i r="2">
      <x v="72"/>
    </i>
    <i r="3">
      <x v="1"/>
    </i>
    <i r="3">
      <x v="2"/>
    </i>
    <i r="2">
      <x v="412"/>
    </i>
    <i r="3">
      <x v="1"/>
    </i>
    <i r="3">
      <x v="2"/>
    </i>
    <i r="1">
      <x v="1"/>
    </i>
    <i r="2">
      <x v="330"/>
    </i>
    <i r="3">
      <x v="2"/>
    </i>
    <i>
      <x v="2"/>
    </i>
    <i r="1">
      <x v="2"/>
    </i>
    <i r="2">
      <x v="126"/>
    </i>
    <i r="3">
      <x v="2"/>
    </i>
    <i r="3">
      <x v="3"/>
    </i>
    <i r="2">
      <x v="127"/>
    </i>
    <i r="3">
      <x v="1"/>
    </i>
    <i r="3">
      <x v="2"/>
    </i>
    <i r="3">
      <x v="3"/>
    </i>
    <i r="2">
      <x v="210"/>
    </i>
    <i r="3">
      <x v="2"/>
    </i>
    <i r="3">
      <x v="3"/>
    </i>
    <i r="2">
      <x v="281"/>
    </i>
    <i r="3">
      <x v="2"/>
    </i>
    <i r="3">
      <x v="3"/>
    </i>
    <i>
      <x v="16"/>
    </i>
    <i r="1">
      <x v="2"/>
    </i>
    <i r="2">
      <x v="201"/>
    </i>
    <i r="3">
      <x v="1"/>
    </i>
    <i r="3">
      <x v="2"/>
    </i>
    <i r="3">
      <x v="3"/>
    </i>
    <i r="2">
      <x v="161"/>
    </i>
    <i r="3">
      <x v="1"/>
    </i>
    <i r="3">
      <x v="2"/>
    </i>
    <i r="3">
      <x v="3"/>
    </i>
    <i>
      <x v="4"/>
    </i>
    <i r="1">
      <x v="2"/>
    </i>
    <i r="2">
      <x v="201"/>
    </i>
    <i r="3">
      <x v="1"/>
    </i>
    <i r="3">
      <x v="2"/>
    </i>
    <i r="3">
      <x v="3"/>
    </i>
    <i r="2">
      <x v="161"/>
    </i>
    <i r="3">
      <x v="1"/>
    </i>
    <i r="3">
      <x v="2"/>
    </i>
    <i r="3">
      <x v="3"/>
    </i>
    <i r="1">
      <x v="1"/>
    </i>
    <i r="2">
      <x v="288"/>
    </i>
    <i r="3">
      <x v="1"/>
    </i>
    <i r="3">
      <x v="2"/>
    </i>
    <i>
      <x v="66"/>
    </i>
    <i r="1">
      <x v="2"/>
    </i>
    <i r="2">
      <x v="213"/>
    </i>
    <i r="3">
      <x v="1"/>
    </i>
    <i r="3">
      <x v="2"/>
    </i>
    <i r="3">
      <x v="3"/>
    </i>
    <i>
      <x v="6"/>
    </i>
    <i r="1">
      <x v="2"/>
    </i>
    <i r="2">
      <x v="201"/>
    </i>
    <i r="3">
      <x v="1"/>
    </i>
    <i r="3">
      <x v="2"/>
    </i>
    <i r="3">
      <x v="3"/>
    </i>
    <i r="2">
      <x v="161"/>
    </i>
    <i r="3">
      <x v="1"/>
    </i>
    <i r="3">
      <x v="2"/>
    </i>
    <i r="3">
      <x v="3"/>
    </i>
    <i>
      <x v="21"/>
    </i>
    <i r="1">
      <x v="2"/>
    </i>
    <i r="2">
      <x v="201"/>
    </i>
    <i r="3">
      <x v="1"/>
    </i>
    <i r="3">
      <x v="2"/>
    </i>
    <i r="3">
      <x v="3"/>
    </i>
    <i r="2">
      <x v="161"/>
    </i>
    <i r="3">
      <x v="1"/>
    </i>
    <i r="3">
      <x v="2"/>
    </i>
    <i r="3">
      <x v="3"/>
    </i>
    <i>
      <x v="70"/>
    </i>
    <i r="1">
      <x v="2"/>
    </i>
    <i r="2">
      <x v="354"/>
    </i>
    <i r="3">
      <x v="1"/>
    </i>
    <i r="3">
      <x v="2"/>
    </i>
    <i r="3">
      <x v="3"/>
    </i>
    <i r="2">
      <x v="324"/>
    </i>
    <i r="3">
      <x v="2"/>
    </i>
    <i r="3">
      <x v="3"/>
    </i>
    <i>
      <x v="3"/>
    </i>
    <i r="1">
      <x v="2"/>
    </i>
    <i r="2">
      <x v="126"/>
    </i>
    <i r="3">
      <x v="1"/>
    </i>
    <i r="3">
      <x v="2"/>
    </i>
    <i r="3">
      <x v="3"/>
    </i>
    <i r="2">
      <x v="127"/>
    </i>
    <i r="3">
      <x v="3"/>
    </i>
    <i r="1">
      <x v="1"/>
    </i>
    <i r="2">
      <x v="274"/>
    </i>
    <i r="3">
      <x v="1"/>
    </i>
    <i r="3">
      <x v="2"/>
    </i>
    <i>
      <x v="65"/>
    </i>
    <i r="1">
      <x v="2"/>
    </i>
    <i r="2">
      <x v="340"/>
    </i>
    <i r="3">
      <x v="1"/>
    </i>
    <i r="3">
      <x v="2"/>
    </i>
    <i r="3">
      <x v="3"/>
    </i>
    <i r="2">
      <x v="342"/>
    </i>
    <i r="3">
      <x v="1"/>
    </i>
    <i r="2">
      <x v="252"/>
    </i>
    <i r="3">
      <x v="1"/>
    </i>
    <i r="3">
      <x v="2"/>
    </i>
    <i r="3">
      <x v="3"/>
    </i>
    <i r="2">
      <x v="343"/>
    </i>
    <i r="3">
      <x v="1"/>
    </i>
    <i r="3">
      <x v="2"/>
    </i>
    <i r="2">
      <x v="382"/>
    </i>
    <i r="3">
      <x v="1"/>
    </i>
    <i r="3">
      <x v="3"/>
    </i>
    <i r="2">
      <x v="341"/>
    </i>
    <i r="3">
      <x v="2"/>
    </i>
    <i r="3">
      <x v="3"/>
    </i>
    <i r="2">
      <x v="486"/>
    </i>
    <i r="3">
      <x v="2"/>
    </i>
    <i>
      <x v="30"/>
    </i>
    <i r="1">
      <x v="2"/>
    </i>
    <i r="2">
      <x v="68"/>
    </i>
    <i r="3">
      <x v="1"/>
    </i>
    <i r="3">
      <x v="2"/>
    </i>
    <i r="2">
      <x v="8"/>
    </i>
    <i r="3">
      <x v="1"/>
    </i>
    <i r="3">
      <x v="2"/>
    </i>
    <i r="2">
      <x v="9"/>
    </i>
    <i r="3">
      <x v="2"/>
    </i>
    <i>
      <x v="27"/>
    </i>
    <i r="1">
      <x v="2"/>
    </i>
    <i r="2">
      <x v="201"/>
    </i>
    <i r="3">
      <x v="1"/>
    </i>
    <i r="3">
      <x v="2"/>
    </i>
    <i r="3">
      <x v="3"/>
    </i>
    <i r="2">
      <x v="161"/>
    </i>
    <i r="3">
      <x v="1"/>
    </i>
    <i r="3">
      <x v="2"/>
    </i>
    <i r="3">
      <x v="3"/>
    </i>
    <i>
      <x v="50"/>
    </i>
    <i r="1">
      <x v="2"/>
    </i>
    <i r="2">
      <x v="414"/>
    </i>
    <i r="3">
      <x v="1"/>
    </i>
    <i r="3">
      <x v="2"/>
    </i>
    <i r="2">
      <x v="413"/>
    </i>
    <i r="3">
      <x v="1"/>
    </i>
    <i r="3">
      <x v="2"/>
    </i>
    <i r="2">
      <x v="72"/>
    </i>
    <i r="3">
      <x v="1"/>
    </i>
    <i r="3">
      <x v="2"/>
    </i>
    <i r="2">
      <x v="412"/>
    </i>
    <i r="3">
      <x v="1"/>
    </i>
    <i r="3">
      <x v="2"/>
    </i>
    <i r="2">
      <x v="330"/>
    </i>
    <i r="3">
      <x v="2"/>
    </i>
    <i>
      <x v="26"/>
    </i>
    <i r="1">
      <x v="2"/>
    </i>
    <i r="2">
      <x v="484"/>
    </i>
    <i r="3">
      <x v="1"/>
    </i>
    <i r="3">
      <x v="2"/>
    </i>
    <i r="3">
      <x v="3"/>
    </i>
    <i r="2">
      <x v="68"/>
    </i>
    <i r="3">
      <x v="1"/>
    </i>
    <i r="3">
      <x v="2"/>
    </i>
    <i r="2">
      <x v="483"/>
    </i>
    <i r="3">
      <x v="2"/>
    </i>
    <i r="2">
      <x v="8"/>
    </i>
    <i r="3">
      <x v="1"/>
    </i>
    <i r="3">
      <x v="2"/>
    </i>
    <i r="2">
      <x v="9"/>
    </i>
    <i r="3">
      <x v="2"/>
    </i>
    <i r="2">
      <x v="482"/>
    </i>
    <i r="3">
      <x v="3"/>
    </i>
    <i>
      <x v="17"/>
    </i>
    <i r="1">
      <x v="2"/>
    </i>
    <i r="2">
      <x v="201"/>
    </i>
    <i r="3">
      <x v="1"/>
    </i>
    <i r="3">
      <x v="2"/>
    </i>
    <i r="3">
      <x v="3"/>
    </i>
    <i r="2">
      <x v="161"/>
    </i>
    <i r="3">
      <x v="1"/>
    </i>
    <i r="3">
      <x v="2"/>
    </i>
    <i r="3">
      <x v="3"/>
    </i>
    <i>
      <x v="20"/>
    </i>
    <i r="1">
      <x v="2"/>
    </i>
    <i r="2">
      <x v="201"/>
    </i>
    <i r="3">
      <x v="1"/>
    </i>
    <i r="3">
      <x v="2"/>
    </i>
    <i r="3">
      <x v="3"/>
    </i>
    <i r="2">
      <x v="161"/>
    </i>
    <i r="3">
      <x v="1"/>
    </i>
    <i r="3">
      <x v="2"/>
    </i>
    <i r="3">
      <x v="3"/>
    </i>
    <i r="1">
      <x v="1"/>
    </i>
    <i r="2">
      <x v="448"/>
    </i>
    <i r="3">
      <x v="2"/>
    </i>
    <i>
      <x v="34"/>
    </i>
    <i r="1">
      <x v="2"/>
    </i>
    <i r="2">
      <x v="239"/>
    </i>
    <i r="3">
      <x v="2"/>
    </i>
    <i r="3">
      <x v="3"/>
    </i>
    <i>
      <x v="55"/>
    </i>
    <i r="1">
      <x v="2"/>
    </i>
    <i r="2">
      <x v="68"/>
    </i>
    <i r="3">
      <x v="1"/>
    </i>
    <i r="3">
      <x v="2"/>
    </i>
    <i r="2">
      <x v="8"/>
    </i>
    <i r="3">
      <x v="1"/>
    </i>
    <i r="3">
      <x v="2"/>
    </i>
    <i r="2">
      <x v="9"/>
    </i>
    <i r="3">
      <x v="2"/>
    </i>
    <i>
      <x v="60"/>
    </i>
    <i r="1">
      <x v="1"/>
    </i>
    <i r="2">
      <x v="114"/>
    </i>
    <i r="3">
      <x v="2"/>
    </i>
    <i>
      <x v="79"/>
    </i>
    <i r="1">
      <x v="2"/>
    </i>
    <i r="2">
      <x v="127"/>
    </i>
    <i r="3">
      <x v="2"/>
    </i>
    <i r="3">
      <x v="3"/>
    </i>
    <i r="2">
      <x v="126"/>
    </i>
    <i r="3">
      <x v="3"/>
    </i>
    <i>
      <x v="87"/>
    </i>
    <i r="1">
      <x v="2"/>
    </i>
    <i r="2">
      <x v="126"/>
    </i>
    <i r="3">
      <x v="1"/>
    </i>
    <i r="3">
      <x v="2"/>
    </i>
    <i r="3">
      <x v="3"/>
    </i>
    <i r="2">
      <x v="127"/>
    </i>
    <i r="3">
      <x v="3"/>
    </i>
    <i>
      <x v="39"/>
    </i>
    <i r="1">
      <x v="2"/>
    </i>
    <i r="2">
      <x v="240"/>
    </i>
    <i r="3">
      <x v="1"/>
    </i>
    <i r="3">
      <x v="2"/>
    </i>
    <i r="2">
      <x v="86"/>
    </i>
    <i r="3">
      <x v="1"/>
    </i>
    <i r="3">
      <x v="2"/>
    </i>
    <i r="2">
      <x v="339"/>
    </i>
    <i r="3">
      <x v="2"/>
    </i>
    <i>
      <x v="45"/>
    </i>
    <i r="1">
      <x v="2"/>
    </i>
    <i r="2">
      <x v="126"/>
    </i>
    <i r="3">
      <x v="1"/>
    </i>
    <i r="3">
      <x v="2"/>
    </i>
    <i r="3">
      <x v="3"/>
    </i>
    <i r="2">
      <x v="127"/>
    </i>
    <i r="3">
      <x v="1"/>
    </i>
    <i r="3">
      <x v="2"/>
    </i>
    <i r="3">
      <x v="3"/>
    </i>
    <i>
      <x v="31"/>
    </i>
    <i r="1">
      <x v="2"/>
    </i>
    <i r="2">
      <x v="485"/>
    </i>
    <i r="3">
      <x v="2"/>
    </i>
    <i>
      <x v="62"/>
    </i>
    <i r="1">
      <x v="2"/>
    </i>
    <i r="2">
      <x v="68"/>
    </i>
    <i r="3">
      <x v="1"/>
    </i>
    <i r="3">
      <x v="2"/>
    </i>
    <i r="2">
      <x v="8"/>
    </i>
    <i r="3">
      <x v="1"/>
    </i>
    <i r="3">
      <x v="2"/>
    </i>
    <i r="2">
      <x v="9"/>
    </i>
    <i r="3">
      <x v="2"/>
    </i>
    <i>
      <x v="89"/>
    </i>
    <i r="1">
      <x v="1"/>
    </i>
    <i r="2">
      <x v="466"/>
    </i>
    <i r="3">
      <x v="2"/>
    </i>
    <i t="grand">
      <x/>
    </i>
  </rowItems>
  <colFields count="1">
    <field x="-2"/>
  </colFields>
  <colItems count="3">
    <i>
      <x/>
    </i>
    <i i="1">
      <x v="1"/>
    </i>
    <i i="2">
      <x v="2"/>
    </i>
  </colItems>
  <pageFields count="1">
    <pageField fld="11" item="0" hier="-1"/>
  </pageFields>
  <dataFields count="3">
    <dataField name="Sum of Audience" fld="5" baseField="0" baseItem="0" numFmtId="3"/>
    <dataField name="Sum of Broadcast Duration" fld="4" baseField="0" baseItem="0" numFmtId="46"/>
    <dataField name="Sum of Rolex N"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 cacheId="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3:D229" firstHeaderRow="0" firstDataRow="1" firstDataCol="1" rowPageCount="1" colPageCount="1"/>
  <pivotFields count="20">
    <pivotField showAll="0"/>
    <pivotField axis="axisRow" showAll="0" sortType="descending">
      <items count="86">
        <item x="2"/>
        <item x="3"/>
        <item m="1" x="68"/>
        <item m="1" x="62"/>
        <item x="5"/>
        <item x="6"/>
        <item m="1" x="54"/>
        <item x="7"/>
        <item x="8"/>
        <item x="42"/>
        <item m="1" x="46"/>
        <item m="1" x="80"/>
        <item x="9"/>
        <item x="10"/>
        <item x="11"/>
        <item m="1" x="82"/>
        <item x="14"/>
        <item m="1" x="73"/>
        <item x="16"/>
        <item m="1" x="63"/>
        <item m="1" x="60"/>
        <item x="18"/>
        <item x="19"/>
        <item m="1" x="81"/>
        <item x="20"/>
        <item m="1" x="61"/>
        <item m="1" x="52"/>
        <item m="1" x="75"/>
        <item x="22"/>
        <item x="26"/>
        <item x="31"/>
        <item m="1" x="66"/>
        <item m="1" x="48"/>
        <item m="1" x="51"/>
        <item x="35"/>
        <item x="36"/>
        <item x="37"/>
        <item m="1" x="55"/>
        <item x="38"/>
        <item x="39"/>
        <item m="1" x="70"/>
        <item m="1" x="65"/>
        <item x="40"/>
        <item x="41"/>
        <item m="1" x="83"/>
        <item x="1"/>
        <item x="12"/>
        <item x="23"/>
        <item m="1" x="74"/>
        <item x="32"/>
        <item x="33"/>
        <item x="34"/>
        <item m="1" x="56"/>
        <item m="1" x="43"/>
        <item m="1" x="79"/>
        <item m="1" x="84"/>
        <item x="15"/>
        <item m="1" x="78"/>
        <item m="1" x="45"/>
        <item m="1" x="47"/>
        <item x="13"/>
        <item m="1" x="59"/>
        <item x="25"/>
        <item x="30"/>
        <item m="1" x="77"/>
        <item m="1" x="71"/>
        <item x="28"/>
        <item x="0"/>
        <item x="4"/>
        <item m="1" x="64"/>
        <item m="1" x="72"/>
        <item m="1" x="67"/>
        <item m="1" x="58"/>
        <item m="1" x="57"/>
        <item m="1" x="49"/>
        <item x="17"/>
        <item x="24"/>
        <item x="27"/>
        <item m="1" x="53"/>
        <item m="1" x="69"/>
        <item m="1" x="44"/>
        <item x="21"/>
        <item m="1" x="76"/>
        <item m="1" x="50"/>
        <item x="29"/>
        <item t="default"/>
      </items>
      <autoSortScope>
        <pivotArea dataOnly="0" outline="0" fieldPosition="0">
          <references count="1">
            <reference field="4294967294" count="1" selected="0">
              <x v="1"/>
            </reference>
          </references>
        </pivotArea>
      </autoSortScope>
    </pivotField>
    <pivotField axis="axisRow" showAll="0" sortType="descending">
      <items count="399">
        <item sd="0" m="1" x="286"/>
        <item sd="0" m="1" x="374"/>
        <item sd="0" m="1" x="153"/>
        <item sd="0" m="1" x="130"/>
        <item sd="0" m="1" x="170"/>
        <item sd="0" m="1" x="257"/>
        <item sd="0" x="64"/>
        <item sd="0" m="1" x="389"/>
        <item sd="0" x="4"/>
        <item sd="0" x="7"/>
        <item sd="0" m="1" x="198"/>
        <item sd="0" m="1" x="245"/>
        <item sd="0" m="1" x="323"/>
        <item sd="0" m="1" x="167"/>
        <item sd="0" m="1" x="86"/>
        <item sd="0" m="1" x="346"/>
        <item sd="0" m="1" x="131"/>
        <item sd="0" m="1" x="204"/>
        <item sd="0" m="1" x="367"/>
        <item sd="0" m="1" x="331"/>
        <item sd="0" m="1" x="326"/>
        <item sd="0" m="1" x="254"/>
        <item sd="0" m="1" x="392"/>
        <item sd="0" m="1" x="351"/>
        <item sd="0" x="13"/>
        <item sd="0" m="1" x="210"/>
        <item sd="0" m="1" x="266"/>
        <item sd="0" m="1" x="362"/>
        <item sd="0" m="1" x="363"/>
        <item sd="0" m="1" x="366"/>
        <item sd="0" m="1" x="369"/>
        <item sd="0" m="1" x="384"/>
        <item sd="0" m="1" x="359"/>
        <item sd="0" m="1" x="92"/>
        <item sd="0" m="1" x="83"/>
        <item sd="0" m="1" x="258"/>
        <item sd="0" m="1" x="296"/>
        <item sd="0" m="1" x="327"/>
        <item sd="0" m="1" x="377"/>
        <item sd="0" m="1" x="187"/>
        <item sd="0" m="1" x="189"/>
        <item sd="0" m="1" x="229"/>
        <item sd="0" x="15"/>
        <item sd="0" m="1" x="368"/>
        <item sd="0" m="1" x="285"/>
        <item sd="0" m="1" x="99"/>
        <item sd="0" m="1" x="336"/>
        <item sd="0" m="1" x="268"/>
        <item sd="0" m="1" x="290"/>
        <item sd="0" m="1" x="150"/>
        <item sd="0" m="1" x="200"/>
        <item sd="0" m="1" x="176"/>
        <item sd="0" m="1" x="134"/>
        <item sd="0" m="1" x="348"/>
        <item sd="0" x="14"/>
        <item sd="0" x="16"/>
        <item sd="0" m="1" x="173"/>
        <item sd="0" m="1" x="66"/>
        <item sd="0" m="1" x="249"/>
        <item sd="0" x="24"/>
        <item sd="0" m="1" x="278"/>
        <item sd="0" m="1" x="190"/>
        <item sd="0" m="1" x="159"/>
        <item sd="0" m="1" x="353"/>
        <item sd="0" m="1" x="129"/>
        <item sd="0" x="31"/>
        <item sd="0" x="32"/>
        <item sd="0" x="45"/>
        <item sd="0" m="1" x="304"/>
        <item sd="0" m="1" x="386"/>
        <item sd="0" m="1" x="224"/>
        <item sd="0" m="1" x="194"/>
        <item sd="0" m="1" x="347"/>
        <item sd="0" m="1" x="65"/>
        <item sd="0" x="25"/>
        <item sd="0" m="1" x="143"/>
        <item sd="0" m="1" x="350"/>
        <item sd="0" m="1" x="314"/>
        <item sd="0" m="1" x="246"/>
        <item sd="0" m="1" x="103"/>
        <item sd="0" m="1" x="345"/>
        <item sd="0" m="1" x="383"/>
        <item sd="0" m="1" x="74"/>
        <item sd="0" m="1" x="205"/>
        <item sd="0" m="1" x="358"/>
        <item sd="0" m="1" x="378"/>
        <item sd="0" m="1" x="388"/>
        <item sd="0" m="1" x="114"/>
        <item sd="0" m="1" x="118"/>
        <item sd="0" m="1" x="251"/>
        <item sd="0" m="1" x="287"/>
        <item sd="0" m="1" x="96"/>
        <item sd="0" m="1" x="93"/>
        <item sd="0" m="1" x="220"/>
        <item sd="0" m="1" x="332"/>
        <item sd="0" x="34"/>
        <item sd="0" m="1" x="203"/>
        <item sd="0" m="1" x="226"/>
        <item sd="0" m="1" x="355"/>
        <item sd="0" x="23"/>
        <item sd="0" x="36"/>
        <item sd="0" m="1" x="147"/>
        <item sd="0" m="1" x="195"/>
        <item sd="0" x="30"/>
        <item sd="0" m="1" x="201"/>
        <item sd="0" m="1" x="223"/>
        <item sd="0" m="1" x="155"/>
        <item sd="0" m="1" x="81"/>
        <item sd="0" m="1" x="125"/>
        <item sd="0" m="1" x="395"/>
        <item sd="0" m="1" x="70"/>
        <item sd="0" x="17"/>
        <item sd="0" x="19"/>
        <item sd="0" m="1" x="282"/>
        <item sd="0" x="48"/>
        <item sd="0" x="22"/>
        <item sd="0" m="1" x="242"/>
        <item sd="0" m="1" x="231"/>
        <item sd="0" m="1" x="158"/>
        <item sd="0" m="1" x="319"/>
        <item sd="0" x="6"/>
        <item sd="0" m="1" x="230"/>
        <item sd="0" m="1" x="276"/>
        <item sd="0" m="1" x="393"/>
        <item sd="0" m="1" x="293"/>
        <item sd="0" m="1" x="373"/>
        <item sd="0" m="1" x="379"/>
        <item sd="0" m="1" x="120"/>
        <item sd="0" m="1" x="302"/>
        <item sd="0" x="39"/>
        <item sd="0" x="43"/>
        <item sd="0" x="46"/>
        <item sd="0" x="0"/>
        <item sd="0" x="1"/>
        <item sd="0" x="2"/>
        <item sd="0" m="1" x="307"/>
        <item sd="0" m="1" x="135"/>
        <item sd="0" x="56"/>
        <item sd="0" m="1" x="361"/>
        <item sd="0" m="1" x="297"/>
        <item sd="0" m="1" x="289"/>
        <item sd="0" m="1" x="177"/>
        <item sd="0" m="1" x="273"/>
        <item sd="0" m="1" x="333"/>
        <item sd="0" m="1" x="188"/>
        <item sd="0" m="1" x="324"/>
        <item sd="0" m="1" x="85"/>
        <item sd="0" m="1" x="387"/>
        <item sd="0" m="1" x="123"/>
        <item sd="0" m="1" x="284"/>
        <item sd="0" m="1" x="261"/>
        <item sd="0" m="1" x="267"/>
        <item sd="0" m="1" x="76"/>
        <item sd="0" m="1" x="218"/>
        <item sd="0" m="1" x="91"/>
        <item sd="0" m="1" x="288"/>
        <item sd="0" m="1" x="216"/>
        <item sd="0" x="9"/>
        <item sd="0" m="1" x="270"/>
        <item sd="0" m="1" x="184"/>
        <item sd="0" m="1" x="233"/>
        <item sd="0" m="1" x="277"/>
        <item sd="0" m="1" x="308"/>
        <item sd="0" m="1" x="228"/>
        <item sd="0" m="1" x="295"/>
        <item sd="0" m="1" x="281"/>
        <item sd="0" m="1" x="202"/>
        <item sd="0" m="1" x="156"/>
        <item sd="0" m="1" x="197"/>
        <item sd="0" m="1" x="357"/>
        <item sd="0" m="1" x="301"/>
        <item sd="0" m="1" x="174"/>
        <item sd="0" m="1" x="127"/>
        <item sd="0" m="1" x="136"/>
        <item sd="0" m="1" x="162"/>
        <item sd="0" m="1" x="182"/>
        <item sd="0" m="1" x="124"/>
        <item sd="0" m="1" x="126"/>
        <item sd="0" m="1" x="236"/>
        <item sd="0" m="1" x="305"/>
        <item sd="0" m="1" x="321"/>
        <item sd="0" m="1" x="78"/>
        <item sd="0" m="1" x="252"/>
        <item sd="0" m="1" x="149"/>
        <item sd="0" m="1" x="68"/>
        <item sd="0" m="1" x="279"/>
        <item sd="0" m="1" x="309"/>
        <item sd="0" m="1" x="151"/>
        <item sd="0" m="1" x="185"/>
        <item sd="0" x="50"/>
        <item sd="0" x="51"/>
        <item sd="0" m="1" x="298"/>
        <item sd="0" x="52"/>
        <item sd="0" x="53"/>
        <item sd="0" x="54"/>
        <item sd="0" m="1" x="255"/>
        <item sd="0" m="1" x="161"/>
        <item sd="0" m="1" x="178"/>
        <item sd="0" m="1" x="291"/>
        <item sd="0" m="1" x="300"/>
        <item sd="0" m="1" x="117"/>
        <item sd="0" x="58"/>
        <item sd="0" m="1" x="116"/>
        <item sd="0" m="1" x="75"/>
        <item sd="0" x="60"/>
        <item sd="0" m="1" x="339"/>
        <item sd="0" m="1" x="341"/>
        <item sd="0" x="62"/>
        <item sd="0" m="1" x="354"/>
        <item sd="0" m="1" x="244"/>
        <item sd="0" m="1" x="325"/>
        <item sd="0" x="18"/>
        <item sd="0" m="1" x="259"/>
        <item sd="0" m="1" x="243"/>
        <item sd="0" m="1" x="133"/>
        <item sd="0" m="1" x="211"/>
        <item sd="0" m="1" x="80"/>
        <item sd="0" m="1" x="250"/>
        <item sd="0" m="1" x="365"/>
        <item sd="0" m="1" x="240"/>
        <item sd="0" m="1" x="253"/>
        <item sd="0" m="1" x="396"/>
        <item sd="0" m="1" x="247"/>
        <item sd="0" m="1" x="391"/>
        <item sd="0" m="1" x="239"/>
        <item sd="0" m="1" x="382"/>
        <item sd="0" m="1" x="262"/>
        <item sd="0" m="1" x="269"/>
        <item sd="0" m="1" x="232"/>
        <item sd="0" m="1" x="214"/>
        <item sd="0" x="35"/>
        <item sd="0" m="1" x="179"/>
        <item sd="0" m="1" x="208"/>
        <item sd="0" m="1" x="171"/>
        <item sd="0" m="1" x="349"/>
        <item sd="0" x="49"/>
        <item sd="0" m="1" x="315"/>
        <item sd="0" m="1" x="69"/>
        <item sd="0" m="1" x="227"/>
        <item sd="0" m="1" x="95"/>
        <item sd="0" m="1" x="292"/>
        <item sd="0" m="1" x="306"/>
        <item sd="0" x="61"/>
        <item sd="0" m="1" x="73"/>
        <item sd="0" m="1" x="97"/>
        <item sd="0" m="1" x="77"/>
        <item sd="0" m="1" x="322"/>
        <item sd="0" m="1" x="144"/>
        <item sd="0" m="1" x="376"/>
        <item sd="0" m="1" x="196"/>
        <item sd="0" m="1" x="110"/>
        <item sd="0" m="1" x="168"/>
        <item sd="0" m="1" x="256"/>
        <item sd="0" m="1" x="79"/>
        <item sd="0" m="1" x="381"/>
        <item sd="0" m="1" x="160"/>
        <item sd="0" m="1" x="154"/>
        <item sd="0" m="1" x="175"/>
        <item sd="0" m="1" x="148"/>
        <item sd="0" m="1" x="157"/>
        <item sd="0" x="5"/>
        <item sd="0" m="1" x="98"/>
        <item sd="0" x="8"/>
        <item sd="0" m="1" x="234"/>
        <item sd="0" m="1" x="111"/>
        <item sd="0" m="1" x="67"/>
        <item sd="0" m="1" x="89"/>
        <item sd="0" m="1" x="166"/>
        <item sd="0" x="12"/>
        <item sd="0" m="1" x="260"/>
        <item sd="0" x="20"/>
        <item sd="0" x="21"/>
        <item sd="0" m="1" x="342"/>
        <item sd="0" m="1" x="385"/>
        <item sd="0" m="1" x="310"/>
        <item sd="0" m="1" x="186"/>
        <item sd="0" m="1" x="107"/>
        <item sd="0" m="1" x="280"/>
        <item sd="0" m="1" x="215"/>
        <item sd="0" m="1" x="238"/>
        <item sd="0" m="1" x="263"/>
        <item sd="0" m="1" x="330"/>
        <item sd="0" m="1" x="335"/>
        <item sd="0" m="1" x="329"/>
        <item sd="0" m="1" x="274"/>
        <item sd="0" m="1" x="119"/>
        <item sd="0" x="26"/>
        <item sd="0" x="27"/>
        <item sd="0" x="28"/>
        <item sd="0" x="29"/>
        <item sd="0" m="1" x="165"/>
        <item sd="0" m="1" x="108"/>
        <item sd="0" m="1" x="334"/>
        <item sd="0" m="1" x="338"/>
        <item sd="0" x="33"/>
        <item sd="0" x="37"/>
        <item sd="0" x="41"/>
        <item sd="0" x="44"/>
        <item sd="0" m="1" x="340"/>
        <item sd="0" x="3"/>
        <item sd="0" m="1" x="337"/>
        <item sd="0" m="1" x="106"/>
        <item sd="0" m="1" x="222"/>
        <item sd="0" m="1" x="312"/>
        <item sd="0" m="1" x="164"/>
        <item sd="0" m="1" x="94"/>
        <item sd="0" m="1" x="311"/>
        <item sd="0" m="1" x="320"/>
        <item sd="0" m="1" x="183"/>
        <item sd="0" m="1" x="217"/>
        <item sd="0" m="1" x="101"/>
        <item sd="0" x="63"/>
        <item sd="0" x="57"/>
        <item sd="0" m="1" x="283"/>
        <item sd="0" m="1" x="122"/>
        <item sd="0" m="1" x="237"/>
        <item sd="0" m="1" x="265"/>
        <item sd="0" m="1" x="372"/>
        <item sd="0" m="1" x="90"/>
        <item sd="0" m="1" x="113"/>
        <item sd="0" m="1" x="209"/>
        <item sd="0" x="10"/>
        <item sd="0" m="1" x="318"/>
        <item sd="0" m="1" x="169"/>
        <item sd="0" m="1" x="343"/>
        <item sd="0" m="1" x="71"/>
        <item sd="0" m="1" x="105"/>
        <item sd="0" m="1" x="145"/>
        <item sd="0" m="1" x="191"/>
        <item sd="0" m="1" x="100"/>
        <item sd="0" m="1" x="146"/>
        <item sd="0" m="1" x="88"/>
        <item sd="0" m="1" x="316"/>
        <item sd="0" m="1" x="137"/>
        <item sd="0" m="1" x="138"/>
        <item sd="0" m="1" x="139"/>
        <item sd="0" m="1" x="140"/>
        <item sd="0" m="1" x="141"/>
        <item sd="0" m="1" x="142"/>
        <item sd="0" m="1" x="181"/>
        <item sd="0" m="1" x="199"/>
        <item sd="0" m="1" x="206"/>
        <item sd="0" m="1" x="84"/>
        <item sd="0" m="1" x="102"/>
        <item sd="0" m="1" x="132"/>
        <item sd="0" m="1" x="152"/>
        <item sd="0" m="1" x="264"/>
        <item sd="0" m="1" x="172"/>
        <item sd="0" m="1" x="193"/>
        <item sd="0" m="1" x="221"/>
        <item sd="0" m="1" x="212"/>
        <item sd="0" m="1" x="213"/>
        <item sd="0" m="1" x="180"/>
        <item sd="0" m="1" x="207"/>
        <item sd="0" m="1" x="192"/>
        <item sd="0" m="1" x="241"/>
        <item sd="0" m="1" x="275"/>
        <item sd="0" m="1" x="248"/>
        <item sd="0" m="1" x="356"/>
        <item sd="0" m="1" x="360"/>
        <item sd="0" m="1" x="364"/>
        <item sd="0" m="1" x="370"/>
        <item sd="0" m="1" x="375"/>
        <item sd="0" m="1" x="380"/>
        <item sd="0" m="1" x="235"/>
        <item sd="0" m="1" x="219"/>
        <item sd="0" m="1" x="272"/>
        <item sd="0" m="1" x="352"/>
        <item sd="0" m="1" x="394"/>
        <item sd="0" m="1" x="397"/>
        <item sd="0" m="1" x="72"/>
        <item sd="0" m="1" x="294"/>
        <item sd="0" m="1" x="371"/>
        <item sd="0" m="1" x="390"/>
        <item sd="0" m="1" x="109"/>
        <item sd="0" m="1" x="271"/>
        <item sd="0" m="1" x="299"/>
        <item sd="0" m="1" x="104"/>
        <item sd="0" m="1" x="128"/>
        <item sd="0" m="1" x="163"/>
        <item sd="0" m="1" x="87"/>
        <item sd="0" m="1" x="313"/>
        <item sd="0" m="1" x="303"/>
        <item sd="0" m="1" x="317"/>
        <item sd="0" m="1" x="112"/>
        <item sd="0" m="1" x="225"/>
        <item sd="0" m="1" x="121"/>
        <item sd="0" x="59"/>
        <item sd="0" m="1" x="328"/>
        <item sd="0" m="1" x="82"/>
        <item sd="0" m="1" x="115"/>
        <item sd="0" m="1" x="344"/>
        <item sd="0" x="11"/>
        <item sd="0" x="38"/>
        <item sd="0" x="40"/>
        <item sd="0" x="42"/>
        <item sd="0" x="47"/>
        <item sd="0" x="55"/>
        <item t="default" sd="0"/>
      </items>
      <autoSortScope>
        <pivotArea dataOnly="0" outline="0" fieldPosition="0">
          <references count="1">
            <reference field="4294967294" count="1" selected="0">
              <x v="0"/>
            </reference>
          </references>
        </pivotArea>
      </autoSortScope>
    </pivotField>
    <pivotField axis="axisRow" showAll="0">
      <items count="6">
        <item x="3"/>
        <item x="2"/>
        <item x="0"/>
        <item x="1"/>
        <item m="1" x="4"/>
        <item t="default"/>
      </items>
    </pivotField>
    <pivotField dataField="1" numFmtId="46" showAll="0"/>
    <pivotField dataField="1" showAll="0"/>
    <pivotField numFmtId="46" showAll="0"/>
    <pivotField showAll="0"/>
    <pivotField dataField="1" showAll="0"/>
    <pivotField showAll="0"/>
    <pivotField showAll="0"/>
    <pivotField axis="axisPage" showAll="0">
      <items count="4">
        <item x="0"/>
        <item x="1"/>
        <item m="1" x="2"/>
        <item t="default"/>
      </items>
    </pivotField>
    <pivotField showAll="0"/>
    <pivotField axis="axisRow" showAll="0" sortType="descending">
      <items count="5">
        <item x="2"/>
        <item x="1"/>
        <item x="0"/>
        <item m="1" x="3"/>
        <item t="default"/>
      </items>
      <autoSortScope>
        <pivotArea dataOnly="0" outline="0" fieldPosition="0">
          <references count="1">
            <reference field="4294967294" count="1" selected="0">
              <x v="0"/>
            </reference>
          </references>
        </pivotArea>
      </autoSortScope>
    </pivotField>
    <pivotField showAll="0"/>
    <pivotField numFmtId="165" showAll="0"/>
    <pivotField showAll="0"/>
    <pivotField showAll="0"/>
    <pivotField showAll="0"/>
    <pivotField dragToRow="0" dragToCol="0" dragToPage="0" showAll="0" defaultSubtotal="0"/>
  </pivotFields>
  <rowFields count="4">
    <field x="1"/>
    <field x="13"/>
    <field x="2"/>
    <field x="3"/>
  </rowFields>
  <rowItems count="226">
    <i>
      <x v="47"/>
    </i>
    <i r="1">
      <x v="2"/>
    </i>
    <i r="2">
      <x v="100"/>
    </i>
    <i r="2">
      <x v="99"/>
    </i>
    <i r="2">
      <x v="59"/>
    </i>
    <i r="2">
      <x v="95"/>
    </i>
    <i r="2">
      <x v="74"/>
    </i>
    <i r="2">
      <x v="230"/>
    </i>
    <i>
      <x v="21"/>
    </i>
    <i r="1">
      <x v="2"/>
    </i>
    <i r="2">
      <x v="100"/>
    </i>
    <i r="2">
      <x v="99"/>
    </i>
    <i r="2">
      <x v="95"/>
    </i>
    <i r="2">
      <x v="230"/>
    </i>
    <i r="2">
      <x v="74"/>
    </i>
    <i r="2">
      <x v="59"/>
    </i>
    <i>
      <x v="76"/>
    </i>
    <i r="1">
      <x v="2"/>
    </i>
    <i r="2">
      <x v="289"/>
    </i>
    <i r="2">
      <x v="287"/>
    </i>
    <i r="2">
      <x v="288"/>
    </i>
    <i r="2">
      <x v="286"/>
    </i>
    <i>
      <x v="60"/>
    </i>
    <i r="1">
      <x v="2"/>
    </i>
    <i r="2">
      <x v="289"/>
    </i>
    <i r="2">
      <x v="287"/>
    </i>
    <i r="2">
      <x v="288"/>
    </i>
    <i r="2">
      <x v="286"/>
    </i>
    <i>
      <x v="66"/>
    </i>
    <i r="1">
      <x v="2"/>
    </i>
    <i r="2">
      <x v="194"/>
    </i>
    <i r="2">
      <x v="189"/>
    </i>
    <i r="2">
      <x v="193"/>
    </i>
    <i r="2">
      <x v="192"/>
    </i>
    <i r="2">
      <x v="235"/>
    </i>
    <i r="2">
      <x v="190"/>
    </i>
    <i>
      <x v="28"/>
    </i>
    <i r="1">
      <x v="2"/>
    </i>
    <i r="2">
      <x v="296"/>
    </i>
    <i r="2">
      <x v="129"/>
    </i>
    <i r="2">
      <x v="67"/>
    </i>
    <i r="2">
      <x v="130"/>
    </i>
    <i r="2">
      <x v="297"/>
    </i>
    <i r="2">
      <x v="395"/>
    </i>
    <i r="2">
      <x v="394"/>
    </i>
    <i>
      <x v="34"/>
    </i>
    <i r="1">
      <x v="2"/>
    </i>
    <i r="2">
      <x v="296"/>
    </i>
    <i r="2">
      <x v="297"/>
    </i>
    <i r="2">
      <x v="129"/>
    </i>
    <i r="2">
      <x v="67"/>
    </i>
    <i r="2">
      <x v="395"/>
    </i>
    <i r="2">
      <x v="130"/>
    </i>
    <i r="2">
      <x v="394"/>
    </i>
    <i>
      <x v="42"/>
    </i>
    <i r="1">
      <x v="2"/>
    </i>
    <i r="2">
      <x v="8"/>
    </i>
    <i r="2">
      <x v="133"/>
    </i>
    <i r="2">
      <x v="207"/>
    </i>
    <i r="2">
      <x v="134"/>
    </i>
    <i r="2">
      <x v="242"/>
    </i>
    <i>
      <x v="38"/>
    </i>
    <i r="1">
      <x v="2"/>
    </i>
    <i r="2">
      <x v="115"/>
    </i>
    <i r="2">
      <x v="9"/>
    </i>
    <i r="1">
      <x v="1"/>
    </i>
    <i r="2">
      <x v="204"/>
    </i>
    <i r="2">
      <x v="387"/>
    </i>
    <i r="2">
      <x v="201"/>
    </i>
    <i>
      <x v="43"/>
    </i>
    <i r="1">
      <x v="2"/>
    </i>
    <i r="2">
      <x v="103"/>
    </i>
    <i r="2">
      <x v="311"/>
    </i>
    <i r="2">
      <x v="59"/>
    </i>
    <i>
      <x v="36"/>
    </i>
    <i r="1">
      <x v="2"/>
    </i>
    <i r="2">
      <x v="120"/>
    </i>
    <i r="2">
      <x v="9"/>
    </i>
    <i r="2">
      <x v="312"/>
    </i>
    <i>
      <x v="56"/>
    </i>
    <i r="1">
      <x v="2"/>
    </i>
    <i r="2">
      <x v="9"/>
    </i>
    <i r="2">
      <x v="120"/>
    </i>
    <i>
      <x v="5"/>
    </i>
    <i r="1">
      <x v="1"/>
    </i>
    <i r="2">
      <x v="211"/>
    </i>
    <i r="2">
      <x v="112"/>
    </i>
    <i r="1">
      <x v="2"/>
    </i>
    <i r="2">
      <x v="111"/>
    </i>
    <i r="2">
      <x v="270"/>
    </i>
    <i r="2">
      <x v="271"/>
    </i>
    <i>
      <x v="39"/>
    </i>
    <i r="1">
      <x v="2"/>
    </i>
    <i r="2">
      <x v="74"/>
    </i>
    <i r="2">
      <x v="99"/>
    </i>
    <i r="2">
      <x v="59"/>
    </i>
    <i>
      <x v="30"/>
    </i>
    <i r="1">
      <x v="2"/>
    </i>
    <i r="2">
      <x v="115"/>
    </i>
    <i r="2">
      <x v="9"/>
    </i>
    <i>
      <x/>
    </i>
    <i r="1">
      <x v="1"/>
    </i>
    <i r="2">
      <x v="157"/>
    </i>
    <i r="2">
      <x v="262"/>
    </i>
    <i r="1">
      <x v="2"/>
    </i>
    <i r="2">
      <x v="120"/>
    </i>
    <i r="2">
      <x v="9"/>
    </i>
    <i>
      <x v="7"/>
    </i>
    <i r="1">
      <x v="2"/>
    </i>
    <i r="2">
      <x v="115"/>
    </i>
    <i r="2">
      <x v="9"/>
    </i>
    <i>
      <x v="24"/>
    </i>
    <i r="1">
      <x v="2"/>
    </i>
    <i r="2">
      <x v="120"/>
    </i>
    <i r="2">
      <x v="9"/>
    </i>
    <i>
      <x v="12"/>
    </i>
    <i r="1">
      <x v="2"/>
    </i>
    <i r="2">
      <x v="9"/>
    </i>
    <i r="2">
      <x v="115"/>
    </i>
    <i>
      <x v="13"/>
    </i>
    <i r="1">
      <x v="1"/>
    </i>
    <i r="2">
      <x v="120"/>
    </i>
    <i r="1">
      <x v="2"/>
    </i>
    <i r="2">
      <x v="9"/>
    </i>
    <i>
      <x v="46"/>
    </i>
    <i r="1">
      <x v="2"/>
    </i>
    <i r="2">
      <x v="9"/>
    </i>
    <i r="2">
      <x v="120"/>
    </i>
    <i>
      <x v="49"/>
    </i>
    <i r="1">
      <x v="2"/>
    </i>
    <i r="2">
      <x v="120"/>
    </i>
    <i r="2">
      <x v="9"/>
    </i>
    <i>
      <x v="77"/>
    </i>
    <i r="1">
      <x v="2"/>
    </i>
    <i r="2">
      <x v="120"/>
    </i>
    <i r="2">
      <x v="9"/>
    </i>
    <i>
      <x v="4"/>
    </i>
    <i r="1">
      <x v="2"/>
    </i>
    <i r="2">
      <x v="42"/>
    </i>
    <i r="2">
      <x v="24"/>
    </i>
    <i r="2">
      <x v="55"/>
    </i>
    <i r="2">
      <x v="54"/>
    </i>
    <i>
      <x v="51"/>
    </i>
    <i r="1">
      <x v="2"/>
    </i>
    <i r="2">
      <x v="99"/>
    </i>
    <i r="2">
      <x v="59"/>
    </i>
    <i r="2">
      <x v="74"/>
    </i>
    <i>
      <x v="16"/>
    </i>
    <i r="1">
      <x v="2"/>
    </i>
    <i r="2">
      <x v="103"/>
    </i>
    <i r="2">
      <x v="59"/>
    </i>
    <i r="2">
      <x v="74"/>
    </i>
    <i>
      <x v="14"/>
    </i>
    <i r="1">
      <x v="2"/>
    </i>
    <i r="2">
      <x v="99"/>
    </i>
    <i r="2">
      <x v="59"/>
    </i>
    <i r="2">
      <x v="74"/>
    </i>
    <i>
      <x v="45"/>
    </i>
    <i r="1">
      <x v="2"/>
    </i>
    <i r="2">
      <x v="133"/>
    </i>
    <i r="2">
      <x v="8"/>
    </i>
    <i r="1">
      <x v="1"/>
    </i>
    <i r="2">
      <x v="260"/>
    </i>
    <i>
      <x v="29"/>
    </i>
    <i r="1">
      <x v="2"/>
    </i>
    <i r="2">
      <x v="299"/>
    </i>
    <i r="2">
      <x v="114"/>
    </i>
    <i r="2">
      <x v="134"/>
    </i>
    <i r="2">
      <x v="133"/>
    </i>
    <i r="2">
      <x v="132"/>
    </i>
    <i>
      <x v="84"/>
    </i>
    <i r="1">
      <x v="2"/>
    </i>
    <i r="2">
      <x v="133"/>
    </i>
    <i r="2">
      <x v="8"/>
    </i>
    <i>
      <x v="8"/>
    </i>
    <i r="1">
      <x v="2"/>
    </i>
    <i r="2">
      <x v="115"/>
    </i>
    <i r="2">
      <x v="9"/>
    </i>
    <i>
      <x v="63"/>
    </i>
    <i r="1">
      <x v="2"/>
    </i>
    <i r="2">
      <x v="99"/>
    </i>
    <i r="2">
      <x v="59"/>
    </i>
    <i r="2">
      <x v="74"/>
    </i>
    <i>
      <x v="18"/>
    </i>
    <i r="1">
      <x v="2"/>
    </i>
    <i r="2">
      <x v="65"/>
    </i>
    <i r="2">
      <x v="66"/>
    </i>
    <i>
      <x v="22"/>
    </i>
    <i r="1">
      <x v="2"/>
    </i>
    <i r="2">
      <x v="299"/>
    </i>
    <i r="2">
      <x v="134"/>
    </i>
    <i r="2">
      <x v="133"/>
    </i>
    <i r="2">
      <x v="132"/>
    </i>
    <i>
      <x v="67"/>
    </i>
    <i r="1">
      <x v="2"/>
    </i>
    <i r="2">
      <x v="299"/>
    </i>
    <i r="2">
      <x v="134"/>
    </i>
    <i r="2">
      <x v="133"/>
    </i>
    <i r="2">
      <x v="132"/>
    </i>
    <i>
      <x v="35"/>
    </i>
    <i r="1">
      <x v="2"/>
    </i>
    <i r="2">
      <x v="137"/>
    </i>
    <i>
      <x v="68"/>
    </i>
    <i r="1">
      <x v="2"/>
    </i>
    <i r="2">
      <x v="268"/>
    </i>
    <i r="2">
      <x v="8"/>
    </i>
    <i r="2">
      <x v="133"/>
    </i>
    <i r="2">
      <x v="392"/>
    </i>
    <i>
      <x v="62"/>
    </i>
    <i r="1">
      <x v="2"/>
    </i>
    <i r="2">
      <x v="396"/>
    </i>
    <i r="2">
      <x v="131"/>
    </i>
    <i>
      <x v="75"/>
    </i>
    <i r="1">
      <x v="1"/>
    </i>
    <i r="2">
      <x v="294"/>
    </i>
    <i>
      <x v="81"/>
    </i>
    <i r="1">
      <x v="2"/>
    </i>
    <i r="2">
      <x v="295"/>
    </i>
    <i r="2">
      <x v="393"/>
    </i>
    <i>
      <x v="50"/>
    </i>
    <i r="1">
      <x v="2"/>
    </i>
    <i r="2">
      <x v="397"/>
    </i>
    <i>
      <x v="1"/>
    </i>
    <i r="1">
      <x v="1"/>
    </i>
    <i r="2">
      <x v="321"/>
    </i>
    <i t="grand">
      <x/>
    </i>
  </rowItems>
  <colFields count="1">
    <field x="-2"/>
  </colFields>
  <colItems count="3">
    <i>
      <x/>
    </i>
    <i i="1">
      <x v="1"/>
    </i>
    <i i="2">
      <x v="2"/>
    </i>
  </colItems>
  <pageFields count="1">
    <pageField fld="11" item="0" hier="-1"/>
  </pageFields>
  <dataFields count="3">
    <dataField name="Sum of Audience" fld="5" baseField="0" baseItem="0"/>
    <dataField name="Sum of Broadcast Duration" fld="4" baseField="0" baseItem="0"/>
    <dataField name="Sum of Rolex N" fld="8" baseField="0" baseItem="0"/>
  </dataFields>
  <formats count="7">
    <format dxfId="168">
      <pivotArea dataOnly="0" outline="0" fieldPosition="0">
        <references count="2">
          <reference field="4294967294" count="1">
            <x v="0"/>
          </reference>
          <reference field="11" count="1" selected="0">
            <x v="0"/>
          </reference>
        </references>
      </pivotArea>
    </format>
    <format dxfId="167">
      <pivotArea dataOnly="0" outline="0" fieldPosition="0">
        <references count="2">
          <reference field="4294967294" count="1">
            <x v="0"/>
          </reference>
          <reference field="11" count="1" selected="0">
            <x v="0"/>
          </reference>
        </references>
      </pivotArea>
    </format>
    <format dxfId="166">
      <pivotArea dataOnly="0" outline="0" fieldPosition="0">
        <references count="2">
          <reference field="4294967294" count="1">
            <x v="0"/>
          </reference>
          <reference field="11" count="1" selected="0">
            <x v="0"/>
          </reference>
        </references>
      </pivotArea>
    </format>
    <format dxfId="165">
      <pivotArea dataOnly="0" outline="0" fieldPosition="0">
        <references count="2">
          <reference field="4294967294" count="1">
            <x v="1"/>
          </reference>
          <reference field="11" count="1" selected="0">
            <x v="0"/>
          </reference>
        </references>
      </pivotArea>
    </format>
    <format dxfId="164">
      <pivotArea dataOnly="0" outline="0" fieldPosition="0">
        <references count="2">
          <reference field="4294967294" count="1">
            <x v="2"/>
          </reference>
          <reference field="11" count="1" selected="0">
            <x v="0"/>
          </reference>
        </references>
      </pivotArea>
    </format>
    <format dxfId="163">
      <pivotArea dataOnly="0" outline="0" fieldPosition="0">
        <references count="2">
          <reference field="4294967294" count="1">
            <x v="2"/>
          </reference>
          <reference field="11" count="1" selected="0">
            <x v="0"/>
          </reference>
        </references>
      </pivotArea>
    </format>
    <format dxfId="162">
      <pivotArea dataOnly="0" outline="0" fieldPosition="0">
        <references count="2">
          <reference field="4294967294" count="1">
            <x v="2"/>
          </reference>
          <reference field="11"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PivotTable3" cacheId="1"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location ref="P4:U14" firstHeaderRow="0" firstDataRow="1" firstDataCol="1" rowPageCount="2" colPageCount="1"/>
  <pivotFields count="25">
    <pivotField showAll="0"/>
    <pivotField axis="axisRow" showAll="0" measureFilter="1" sortType="descending">
      <items count="92">
        <item x="46"/>
        <item x="11"/>
        <item x="18"/>
        <item x="20"/>
        <item x="29"/>
        <item m="1" x="76"/>
        <item m="1" x="89"/>
        <item x="0"/>
        <item x="1"/>
        <item x="2"/>
        <item m="1" x="67"/>
        <item x="3"/>
        <item m="1" x="75"/>
        <item x="4"/>
        <item m="1" x="69"/>
        <item x="5"/>
        <item m="1" x="71"/>
        <item x="6"/>
        <item m="1" x="51"/>
        <item m="1" x="58"/>
        <item m="1" x="85"/>
        <item x="7"/>
        <item x="8"/>
        <item m="1" x="50"/>
        <item x="9"/>
        <item x="10"/>
        <item m="1" x="90"/>
        <item m="1" x="59"/>
        <item x="12"/>
        <item x="13"/>
        <item m="1" x="88"/>
        <item x="14"/>
        <item x="16"/>
        <item m="1" x="74"/>
        <item x="17"/>
        <item m="1" x="72"/>
        <item m="1" x="70"/>
        <item m="1" x="66"/>
        <item m="1" x="54"/>
        <item m="1" x="65"/>
        <item x="21"/>
        <item m="1" x="87"/>
        <item m="1" x="86"/>
        <item x="22"/>
        <item x="23"/>
        <item m="1" x="82"/>
        <item x="25"/>
        <item x="26"/>
        <item x="27"/>
        <item m="1" x="63"/>
        <item x="31"/>
        <item m="1" x="62"/>
        <item x="33"/>
        <item x="34"/>
        <item m="1" x="81"/>
        <item m="1" x="68"/>
        <item x="35"/>
        <item x="36"/>
        <item m="1" x="73"/>
        <item x="37"/>
        <item m="1" x="52"/>
        <item m="1" x="55"/>
        <item x="38"/>
        <item x="39"/>
        <item x="40"/>
        <item m="1" x="60"/>
        <item x="41"/>
        <item x="42"/>
        <item m="1" x="61"/>
        <item m="1" x="83"/>
        <item m="1" x="57"/>
        <item x="43"/>
        <item x="44"/>
        <item m="1" x="64"/>
        <item m="1" x="47"/>
        <item m="1" x="78"/>
        <item x="45"/>
        <item m="1" x="56"/>
        <item x="15"/>
        <item x="28"/>
        <item x="24"/>
        <item m="1" x="79"/>
        <item x="30"/>
        <item m="1" x="77"/>
        <item m="1" x="80"/>
        <item m="1" x="84"/>
        <item m="1" x="49"/>
        <item x="32"/>
        <item m="1" x="53"/>
        <item x="19"/>
        <item m="1" x="48"/>
        <item t="default"/>
      </items>
      <autoSortScope>
        <pivotArea dataOnly="0" outline="0" fieldPosition="0">
          <references count="1">
            <reference field="4294967294" count="1" selected="0">
              <x v="4"/>
            </reference>
          </references>
        </pivotArea>
      </autoSortScope>
    </pivotField>
    <pivotField showAll="0"/>
    <pivotField showAll="0"/>
    <pivotField dataField="1" numFmtId="21" showAll="0"/>
    <pivotField dataField="1" numFmtId="3" showAll="0"/>
    <pivotField numFmtId="165" showAll="0" defaultSubtotal="0"/>
    <pivotField dataField="1" showAll="0"/>
    <pivotField dataField="1" showAll="0"/>
    <pivotField showAll="0" defaultSubtotal="0"/>
    <pivotField showAll="0"/>
    <pivotField axis="axisPage" showAll="0">
      <items count="4">
        <item x="0"/>
        <item x="1"/>
        <item m="1" x="2"/>
        <item t="default"/>
      </items>
    </pivotField>
    <pivotField axis="axisPage" showAll="0">
      <items count="3">
        <item x="0"/>
        <item x="1"/>
        <item t="default"/>
      </items>
    </pivotField>
    <pivotField showAll="0"/>
    <pivotField showAll="0"/>
    <pivotField showAll="0"/>
    <pivotField showAll="0" defaultSubtotal="0"/>
    <pivotField showAll="0" defaultSubtotal="0"/>
    <pivotField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0">
    <i>
      <x v="72"/>
    </i>
    <i>
      <x v="15"/>
    </i>
    <i>
      <x v="1"/>
    </i>
    <i>
      <x v="13"/>
    </i>
    <i>
      <x v="71"/>
    </i>
    <i>
      <x v="17"/>
    </i>
    <i>
      <x v="80"/>
    </i>
    <i>
      <x v="56"/>
    </i>
    <i>
      <x v="40"/>
    </i>
    <i>
      <x v="66"/>
    </i>
  </rowItems>
  <colFields count="1">
    <field x="-2"/>
  </colFields>
  <colItems count="5">
    <i>
      <x/>
    </i>
    <i i="1">
      <x v="1"/>
    </i>
    <i i="2">
      <x v="2"/>
    </i>
    <i i="3">
      <x v="3"/>
    </i>
    <i i="4">
      <x v="4"/>
    </i>
  </colItems>
  <pageFields count="2">
    <pageField fld="11" item="0" hier="-1"/>
    <pageField fld="12" item="0" hier="-1"/>
  </pageFields>
  <dataFields count="5">
    <dataField name="Sum of Audience" fld="5" baseField="0" baseItem="0"/>
    <dataField name="Sum of Broadcast Duration" fld="4" baseField="0" baseItem="0"/>
    <dataField name="Sum of Rolex EXP (hh:mm:ss)" fld="19" baseField="0" baseItem="0"/>
    <dataField name="Sum of Rolex G" fld="7" baseField="0" baseItem="0"/>
    <dataField name="Sum of Rolex N" fld="8" baseField="0" baseItem="0"/>
  </dataFields>
  <pivotTableStyleInfo name="PivotStyleLight16" showRowHeaders="1" showColHeaders="1" showRowStripes="0" showColStripes="0" showLastColumn="1"/>
  <filters count="1">
    <filter fld="1" type="count" evalOrder="-1" id="2" iMeasureFld="4">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C00-000001000000}" name="PivotTable4" cacheId="1"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location ref="P22:U27" firstHeaderRow="0" firstDataRow="1" firstDataCol="1" rowPageCount="1" colPageCount="1"/>
  <pivotFields count="25">
    <pivotField showAll="0"/>
    <pivotField showAll="0" measureFilter="1" sortType="descending">
      <autoSortScope>
        <pivotArea dataOnly="0" outline="0" fieldPosition="0">
          <references count="1">
            <reference field="4294967294" count="1" selected="0">
              <x v="4"/>
            </reference>
          </references>
        </pivotArea>
      </autoSortScope>
    </pivotField>
    <pivotField showAll="0"/>
    <pivotField showAll="0"/>
    <pivotField dataField="1" numFmtId="21" showAll="0"/>
    <pivotField dataField="1" numFmtId="3" showAll="0"/>
    <pivotField numFmtId="165" showAll="0" defaultSubtotal="0"/>
    <pivotField dataField="1" showAll="0"/>
    <pivotField dataField="1" showAll="0"/>
    <pivotField showAll="0" defaultSubtotal="0"/>
    <pivotField axis="axisRow" showAll="0" sortType="descending">
      <items count="10">
        <item x="1"/>
        <item x="0"/>
        <item x="5"/>
        <item x="2"/>
        <item x="3"/>
        <item x="4"/>
        <item m="1" x="6"/>
        <item m="1" x="7"/>
        <item m="1" x="8"/>
        <item t="default"/>
      </items>
      <autoSortScope>
        <pivotArea dataOnly="0" outline="0" fieldPosition="0">
          <references count="1">
            <reference field="4294967294" count="1" selected="0">
              <x v="4"/>
            </reference>
          </references>
        </pivotArea>
      </autoSortScope>
    </pivotField>
    <pivotField axis="axisPage" showAll="0">
      <items count="4">
        <item x="0"/>
        <item x="1"/>
        <item m="1" x="2"/>
        <item t="default"/>
      </items>
    </pivotField>
    <pivotField showAll="0"/>
    <pivotField showAll="0"/>
    <pivotField showAll="0"/>
    <pivotField showAll="0"/>
    <pivotField showAll="0" defaultSubtotal="0"/>
    <pivotField showAll="0" defaultSubtotal="0"/>
    <pivotField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0"/>
  </rowFields>
  <rowItems count="5">
    <i>
      <x v="4"/>
    </i>
    <i>
      <x v="3"/>
    </i>
    <i>
      <x/>
    </i>
    <i>
      <x v="1"/>
    </i>
    <i>
      <x v="5"/>
    </i>
  </rowItems>
  <colFields count="1">
    <field x="-2"/>
  </colFields>
  <colItems count="5">
    <i>
      <x/>
    </i>
    <i i="1">
      <x v="1"/>
    </i>
    <i i="2">
      <x v="2"/>
    </i>
    <i i="3">
      <x v="3"/>
    </i>
    <i i="4">
      <x v="4"/>
    </i>
  </colItems>
  <pageFields count="1">
    <pageField fld="11" item="0" hier="-1"/>
  </pageFields>
  <dataFields count="5">
    <dataField name="Sum of Audience" fld="5" baseField="0" baseItem="0"/>
    <dataField name="Sum of Broadcast Duration" fld="4" baseField="0" baseItem="0"/>
    <dataField name="Sum of Rolex EXP (hh:mm:ss)" fld="19" baseField="0" baseItem="0"/>
    <dataField name="Sum of Rolex G" fld="7" baseField="0" baseItem="0"/>
    <dataField name="Sum of Rolex N" fld="8" baseField="0" baseItem="0"/>
  </dataFields>
  <pivotTableStyleInfo name="PivotStyleLight16" showRowHeaders="1" showColHeaders="1" showRowStripes="0" showColStripes="0" showLastColumn="1"/>
  <filters count="1">
    <filter fld="1" type="count" evalOrder="-1" id="2" iMeasureFld="4">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1000-000001000000}" name="PivotTable4"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G4:J15" firstHeaderRow="0" firstDataRow="1" firstDataCol="1" rowPageCount="2" colPageCount="1"/>
  <pivotFields count="25">
    <pivotField showAll="0">
      <extLst>
        <ext xmlns:x14="http://schemas.microsoft.com/office/spreadsheetml/2009/9/main" uri="{2946ED86-A175-432a-8AC1-64E0C546D7DE}">
          <x14:pivotField fillDownLabels="1"/>
        </ext>
      </extLst>
    </pivotField>
    <pivotField axis="axisRow" showAll="0" sortType="descending">
      <items count="92">
        <item sd="0" m="1" x="76"/>
        <item sd="0" m="1" x="89"/>
        <item sd="0" x="0"/>
        <item sd="0" x="1"/>
        <item sd="0" x="2"/>
        <item sd="0" m="1" x="67"/>
        <item sd="0" x="3"/>
        <item sd="0" m="1" x="75"/>
        <item sd="0" x="4"/>
        <item sd="0" m="1" x="69"/>
        <item sd="0" x="5"/>
        <item sd="0" m="1" x="71"/>
        <item sd="0" x="6"/>
        <item sd="0" m="1" x="51"/>
        <item sd="0" m="1" x="58"/>
        <item sd="0" m="1" x="85"/>
        <item sd="0" x="7"/>
        <item sd="0" x="8"/>
        <item sd="0" x="46"/>
        <item sd="0" m="1" x="50"/>
        <item sd="0" x="9"/>
        <item sd="0" x="10"/>
        <item sd="0" x="11"/>
        <item sd="0" m="1" x="64"/>
        <item sd="0" m="1" x="90"/>
        <item sd="0" m="1" x="59"/>
        <item sd="0" x="12"/>
        <item sd="0" x="13"/>
        <item sd="0" m="1" x="88"/>
        <item sd="0" x="14"/>
        <item sd="0" x="15"/>
        <item sd="0" x="16"/>
        <item sd="0" m="1" x="74"/>
        <item sd="0" x="17"/>
        <item sd="0" x="18"/>
        <item sd="0" m="1" x="72"/>
        <item sd="0" m="1" x="70"/>
        <item sd="0" m="1" x="66"/>
        <item sd="0" m="1" x="54"/>
        <item sd="0" x="20"/>
        <item sd="0" m="1" x="65"/>
        <item sd="0" x="21"/>
        <item sd="0" m="1" x="87"/>
        <item sd="0" m="1" x="86"/>
        <item sd="0" x="22"/>
        <item sd="0" x="23"/>
        <item sd="0" m="1" x="56"/>
        <item sd="0" m="1" x="82"/>
        <item sd="0" x="25"/>
        <item sd="0" x="26"/>
        <item sd="0" x="27"/>
        <item sd="0" x="29"/>
        <item sd="0" m="1" x="63"/>
        <item sd="0" x="31"/>
        <item sd="0" m="1" x="62"/>
        <item sd="0" x="33"/>
        <item sd="0" x="34"/>
        <item sd="0" m="1" x="81"/>
        <item sd="0" m="1" x="68"/>
        <item sd="0" x="35"/>
        <item sd="0" x="36"/>
        <item sd="0" m="1" x="73"/>
        <item sd="0" x="37"/>
        <item sd="0" m="1" x="52"/>
        <item sd="0" m="1" x="55"/>
        <item sd="0" x="38"/>
        <item sd="0" x="39"/>
        <item sd="0" x="40"/>
        <item sd="0" m="1" x="60"/>
        <item sd="0" x="41"/>
        <item sd="0" x="42"/>
        <item sd="0" m="1" x="78"/>
        <item sd="0" m="1" x="61"/>
        <item sd="0" m="1" x="83"/>
        <item sd="0" m="1" x="57"/>
        <item sd="0" x="43"/>
        <item sd="0" x="44"/>
        <item sd="0" x="45"/>
        <item sd="0" m="1" x="47"/>
        <item sd="0" x="28"/>
        <item sd="0" x="24"/>
        <item sd="0" m="1" x="79"/>
        <item sd="0" x="30"/>
        <item sd="0" m="1" x="77"/>
        <item sd="0" m="1" x="80"/>
        <item sd="0" m="1" x="84"/>
        <item sd="0" m="1" x="49"/>
        <item sd="0" x="32"/>
        <item sd="0" m="1" x="53"/>
        <item sd="0" x="19"/>
        <item sd="0" m="1" x="48"/>
        <item t="default" sd="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showAll="0">
      <items count="491">
        <item sd="0" m="1" x="269"/>
        <item sd="0" m="1" x="142"/>
        <item sd="0" x="59"/>
        <item sd="0" m="1" x="166"/>
        <item sd="0" m="1" x="221"/>
        <item sd="0" m="1" x="251"/>
        <item sd="0" m="1" x="286"/>
        <item sd="0" m="1" x="259"/>
        <item sd="0" m="1" x="488"/>
        <item sd="0" m="1" x="327"/>
        <item sd="0" m="1" x="214"/>
        <item sd="0" m="1" x="485"/>
        <item sd="0" m="1" x="135"/>
        <item sd="0" m="1" x="358"/>
        <item sd="0" m="1" x="140"/>
        <item sd="0" m="1" x="295"/>
        <item sd="0" m="1" x="280"/>
        <item sd="0" m="1" x="184"/>
        <item sd="0" m="1" x="343"/>
        <item sd="0" m="1" x="267"/>
        <item sd="0" m="1" x="274"/>
        <item sd="0" m="1" x="464"/>
        <item sd="0" m="1" x="176"/>
        <item sd="0" m="1" x="163"/>
        <item sd="0" m="1" x="150"/>
        <item sd="0" m="1" x="199"/>
        <item sd="0" m="1" x="190"/>
        <item sd="0" m="1" x="203"/>
        <item sd="0" x="15"/>
        <item sd="0" m="1" x="171"/>
        <item sd="0" m="1" x="131"/>
        <item sd="0" m="1" x="443"/>
        <item sd="0" m="1" x="128"/>
        <item sd="0" m="1" x="141"/>
        <item sd="0" m="1" x="428"/>
        <item sd="0" m="1" x="348"/>
        <item sd="0" m="1" x="137"/>
        <item sd="0" m="1" x="72"/>
        <item sd="0" m="1" x="83"/>
        <item sd="0" m="1" x="100"/>
        <item sd="0" m="1" x="379"/>
        <item sd="0" m="1" x="484"/>
        <item sd="0" m="1" x="98"/>
        <item sd="0" m="1" x="102"/>
        <item sd="0" m="1" x="105"/>
        <item sd="0" m="1" x="109"/>
        <item sd="0" x="65"/>
        <item sd="0" m="1" x="169"/>
        <item sd="0" m="1" x="167"/>
        <item sd="0" m="1" x="416"/>
        <item sd="0" m="1" x="418"/>
        <item sd="0" m="1" x="289"/>
        <item sd="0" x="0"/>
        <item sd="0" x="2"/>
        <item sd="0" x="3"/>
        <item sd="0" m="1" x="75"/>
        <item sd="0" m="1" x="94"/>
        <item sd="0" x="5"/>
        <item sd="0" x="6"/>
        <item sd="0" m="1" x="278"/>
        <item sd="0" m="1" x="136"/>
        <item sd="0" m="1" x="264"/>
        <item sd="0" m="1" x="177"/>
        <item sd="0" x="20"/>
        <item sd="0" x="21"/>
        <item sd="0" x="22"/>
        <item sd="0" m="1" x="117"/>
        <item sd="0" m="1" x="237"/>
        <item sd="0" m="1" x="207"/>
        <item sd="0" m="1" x="168"/>
        <item sd="0" x="36"/>
        <item sd="0" m="1" x="429"/>
        <item sd="0" m="1" x="272"/>
        <item sd="0" m="1" x="126"/>
        <item sd="0" m="1" x="113"/>
        <item sd="0" m="1" x="235"/>
        <item sd="0" x="60"/>
        <item sd="0" m="1" x="301"/>
        <item sd="0" m="1" x="161"/>
        <item sd="0" m="1" x="253"/>
        <item sd="0" m="1" x="387"/>
        <item sd="0" m="1" x="196"/>
        <item sd="0" m="1" x="335"/>
        <item sd="0" m="1" x="383"/>
        <item sd="0" m="1" x="287"/>
        <item sd="0" m="1" x="206"/>
        <item sd="0" m="1" x="281"/>
        <item sd="0" m="1" x="476"/>
        <item sd="0" x="51"/>
        <item sd="0" m="1" x="71"/>
        <item sd="0" m="1" x="134"/>
        <item sd="0" m="1" x="403"/>
        <item sd="0" m="1" x="382"/>
        <item sd="0" m="1" x="116"/>
        <item sd="0" m="1" x="317"/>
        <item sd="0" x="50"/>
        <item sd="0" m="1" x="241"/>
        <item sd="0" m="1" x="243"/>
        <item sd="0" m="1" x="192"/>
        <item sd="0" m="1" x="417"/>
        <item sd="0" m="1" x="455"/>
        <item sd="0" m="1" x="449"/>
        <item sd="0" m="1" x="261"/>
        <item sd="0" m="1" x="225"/>
        <item sd="0" m="1" x="400"/>
        <item sd="0" m="1" x="347"/>
        <item sd="0" m="1" x="396"/>
        <item sd="0" m="1" x="204"/>
        <item sd="0" m="1" x="218"/>
        <item sd="0" m="1" x="373"/>
        <item sd="0" m="1" x="107"/>
        <item sd="0" m="1" x="78"/>
        <item sd="0" m="1" x="197"/>
        <item sd="0" m="1" x="263"/>
        <item sd="0" m="1" x="324"/>
        <item sd="0" m="1" x="359"/>
        <item sd="0" m="1" x="394"/>
        <item sd="0" m="1" x="475"/>
        <item sd="0" m="1" x="422"/>
        <item sd="0" m="1" x="310"/>
        <item sd="0" m="1" x="329"/>
        <item sd="0" m="1" x="349"/>
        <item sd="0" m="1" x="369"/>
        <item sd="0" m="1" x="380"/>
        <item sd="0" m="1" x="402"/>
        <item sd="0" m="1" x="431"/>
        <item sd="0" m="1" x="339"/>
        <item sd="0" x="11"/>
        <item sd="0" x="12"/>
        <item sd="0" x="52"/>
        <item sd="0" m="1" x="123"/>
        <item sd="0" m="1" x="77"/>
        <item sd="0" m="1" x="93"/>
        <item sd="0" m="1" x="216"/>
        <item sd="0" m="1" x="111"/>
        <item sd="0" m="1" x="164"/>
        <item sd="0" m="1" x="181"/>
        <item sd="0" m="1" x="202"/>
        <item sd="0" m="1" x="412"/>
        <item sd="0" m="1" x="323"/>
        <item sd="0" m="1" x="254"/>
        <item sd="0" m="1" x="155"/>
        <item sd="0" m="1" x="450"/>
        <item sd="0" m="1" x="125"/>
        <item sd="0" m="1" x="451"/>
        <item sd="0" m="1" x="303"/>
        <item sd="0" m="1" x="454"/>
        <item sd="0" m="1" x="458"/>
        <item sd="0" m="1" x="463"/>
        <item sd="0" m="1" x="157"/>
        <item sd="0" m="1" x="424"/>
        <item sd="0" m="1" x="472"/>
        <item sd="0" m="1" x="392"/>
        <item sd="0" m="1" x="68"/>
        <item sd="0" m="1" x="445"/>
        <item sd="0" m="1" x="474"/>
        <item sd="0" m="1" x="447"/>
        <item sd="0" m="1" x="156"/>
        <item sd="0" m="1" x="298"/>
        <item sd="0" m="1" x="330"/>
        <item sd="0" m="1" x="331"/>
        <item sd="0" m="1" x="334"/>
        <item sd="0" m="1" x="82"/>
        <item sd="0" m="1" x="430"/>
        <item sd="0" m="1" x="223"/>
        <item sd="0" m="1" x="337"/>
        <item sd="0" m="1" x="374"/>
        <item sd="0" m="1" x="96"/>
        <item sd="0" m="1" x="370"/>
        <item sd="0" m="1" x="364"/>
        <item sd="0" x="9"/>
        <item sd="0" x="10"/>
        <item sd="0" m="1" x="333"/>
        <item sd="0" x="55"/>
        <item sd="0" m="1" x="346"/>
        <item sd="0" x="29"/>
        <item sd="0" m="1" x="86"/>
        <item sd="0" m="1" x="144"/>
        <item sd="0" m="1" x="316"/>
        <item sd="0" m="1" x="357"/>
        <item sd="0" m="1" x="466"/>
        <item sd="0" m="1" x="226"/>
        <item sd="0" m="1" x="439"/>
        <item sd="0" m="1" x="308"/>
        <item sd="0" m="1" x="315"/>
        <item sd="0" m="1" x="227"/>
        <item sd="0" m="1" x="350"/>
        <item sd="0" x="13"/>
        <item sd="0" m="1" x="432"/>
        <item sd="0" m="1" x="456"/>
        <item sd="0" m="1" x="467"/>
        <item sd="0" m="1" x="477"/>
        <item sd="0" m="1" x="354"/>
        <item sd="0" x="14"/>
        <item sd="0" m="1" x="103"/>
        <item sd="0" m="1" x="217"/>
        <item sd="0" m="1" x="397"/>
        <item sd="0" m="1" x="145"/>
        <item sd="0" m="1" x="97"/>
        <item sd="0" m="1" x="399"/>
        <item sd="0" m="1" x="362"/>
        <item sd="0" m="1" x="338"/>
        <item sd="0" m="1" x="276"/>
        <item sd="0" m="1" x="342"/>
        <item sd="0" m="1" x="209"/>
        <item sd="0" m="1" x="108"/>
        <item sd="0" m="1" x="483"/>
        <item sd="0" m="1" x="314"/>
        <item sd="0" m="1" x="388"/>
        <item sd="0" m="1" x="89"/>
        <item sd="0" m="1" x="180"/>
        <item sd="0" m="1" x="148"/>
        <item sd="0" m="1" x="279"/>
        <item sd="0" m="1" x="124"/>
        <item sd="0" m="1" x="172"/>
        <item sd="0" m="1" x="326"/>
        <item sd="0" m="1" x="160"/>
        <item sd="0" m="1" x="351"/>
        <item sd="0" m="1" x="336"/>
        <item sd="0" m="1" x="174"/>
        <item sd="0" m="1" x="66"/>
        <item m="1" x="80"/>
        <item m="1" x="158"/>
        <item m="1" x="239"/>
        <item m="1" x="318"/>
        <item m="1" x="275"/>
        <item m="1" x="299"/>
        <item m="1" x="233"/>
        <item m="1" x="270"/>
        <item x="8"/>
        <item m="1" x="434"/>
        <item m="1" x="478"/>
        <item m="1" x="208"/>
        <item x="18"/>
        <item m="1" x="257"/>
        <item m="1" x="228"/>
        <item m="1" x="186"/>
        <item m="1" x="436"/>
        <item m="1" x="252"/>
        <item x="32"/>
        <item x="34"/>
        <item m="1" x="182"/>
        <item m="1" x="468"/>
        <item m="1" x="69"/>
        <item m="1" x="118"/>
        <item m="1" x="238"/>
        <item m="1" x="425"/>
        <item m="1" x="381"/>
        <item m="1" x="391"/>
        <item m="1" x="212"/>
        <item m="1" x="470"/>
        <item m="1" x="367"/>
        <item x="38"/>
        <item m="1" x="188"/>
        <item m="1" x="178"/>
        <item m="1" x="173"/>
        <item m="1" x="407"/>
        <item m="1" x="104"/>
        <item x="16"/>
        <item m="1" x="231"/>
        <item m="1" x="246"/>
        <item m="1" x="149"/>
        <item m="1" x="404"/>
        <item m="1" x="154"/>
        <item m="1" x="85"/>
        <item m="1" x="401"/>
        <item m="1" x="368"/>
        <item m="1" x="328"/>
        <item m="1" x="240"/>
        <item m="1" x="481"/>
        <item m="1" x="139"/>
        <item x="37"/>
        <item m="1" x="441"/>
        <item m="1" x="340"/>
        <item x="4"/>
        <item m="1" x="70"/>
        <item m="1" x="195"/>
        <item m="1" x="325"/>
        <item m="1" x="461"/>
        <item m="1" x="130"/>
        <item m="1" x="247"/>
        <item x="1"/>
        <item m="1" x="114"/>
        <item m="1" x="147"/>
        <item m="1" x="360"/>
        <item m="1" x="438"/>
        <item m="1" x="300"/>
        <item m="1" x="345"/>
        <item x="7"/>
        <item m="1" x="249"/>
        <item m="1" x="183"/>
        <item m="1" x="211"/>
        <item m="1" x="201"/>
        <item m="1" x="288"/>
        <item m="1" x="273"/>
        <item m="1" x="355"/>
        <item x="17"/>
        <item m="1" x="133"/>
        <item m="1" x="179"/>
        <item m="1" x="234"/>
        <item m="1" x="306"/>
        <item m="1" x="344"/>
        <item m="1" x="442"/>
        <item m="1" x="205"/>
        <item m="1" x="143"/>
        <item m="1" x="81"/>
        <item m="1" x="473"/>
        <item m="1" x="296"/>
        <item m="1" x="385"/>
        <item m="1" x="482"/>
        <item m="1" x="79"/>
        <item m="1" x="361"/>
        <item m="1" x="185"/>
        <item m="1" x="433"/>
        <item m="1" x="446"/>
        <item m="1" x="341"/>
        <item m="1" x="311"/>
        <item m="1" x="189"/>
        <item m="1" x="353"/>
        <item m="1" x="363"/>
        <item m="1" x="378"/>
        <item m="1" x="309"/>
        <item m="1" x="175"/>
        <item m="1" x="460"/>
        <item x="57"/>
        <item x="63"/>
        <item m="1" x="95"/>
        <item m="1" x="290"/>
        <item m="1" x="390"/>
        <item m="1" x="146"/>
        <item x="26"/>
        <item m="1" x="294"/>
        <item m="1" x="307"/>
        <item m="1" x="487"/>
        <item m="1" x="302"/>
        <item m="1" x="480"/>
        <item m="1" x="293"/>
        <item m="1" x="471"/>
        <item m="1" x="282"/>
        <item x="35"/>
        <item x="40"/>
        <item x="41"/>
        <item x="43"/>
        <item x="44"/>
        <item m="1" x="232"/>
        <item m="1" x="284"/>
        <item m="1" x="245"/>
        <item m="1" x="230"/>
        <item m="1" x="191"/>
        <item m="1" x="250"/>
        <item m="1" x="285"/>
        <item m="1" x="312"/>
        <item x="53"/>
        <item x="54"/>
        <item x="56"/>
        <item x="61"/>
        <item x="62"/>
        <item x="64"/>
        <item m="1" x="260"/>
        <item m="1" x="297"/>
        <item m="1" x="153"/>
        <item m="1" x="255"/>
        <item m="1" x="305"/>
        <item m="1" x="453"/>
        <item m="1" x="321"/>
        <item m="1" x="420"/>
        <item m="1" x="256"/>
        <item m="1" x="248"/>
        <item m="1" x="200"/>
        <item m="1" x="224"/>
        <item m="1" x="427"/>
        <item m="1" x="410"/>
        <item m="1" x="395"/>
        <item m="1" x="384"/>
        <item x="49"/>
        <item m="1" x="386"/>
        <item m="1" x="411"/>
        <item m="1" x="377"/>
        <item m="1" x="101"/>
        <item x="48"/>
        <item m="1" x="372"/>
        <item m="1" x="479"/>
        <item x="42"/>
        <item m="1" x="152"/>
        <item m="1" x="213"/>
        <item m="1" x="198"/>
        <item m="1" x="159"/>
        <item m="1" x="266"/>
        <item m="1" x="486"/>
        <item m="1" x="319"/>
        <item m="1" x="291"/>
        <item m="1" x="127"/>
        <item m="1" x="67"/>
        <item m="1" x="313"/>
        <item m="1" x="320"/>
        <item m="1" x="151"/>
        <item m="1" x="162"/>
        <item m="1" x="365"/>
        <item m="1" x="366"/>
        <item m="1" x="121"/>
        <item m="1" x="304"/>
        <item m="1" x="258"/>
        <item m="1" x="292"/>
        <item m="1" x="322"/>
        <item m="1" x="398"/>
        <item m="1" x="193"/>
        <item m="1" x="406"/>
        <item m="1" x="393"/>
        <item m="1" x="408"/>
        <item m="1" x="426"/>
        <item m="1" x="389"/>
        <item m="1" x="332"/>
        <item x="27"/>
        <item x="28"/>
        <item x="30"/>
        <item m="1" x="122"/>
        <item m="1" x="405"/>
        <item m="1" x="414"/>
        <item m="1" x="76"/>
        <item m="1" x="215"/>
        <item m="1" x="222"/>
        <item x="47"/>
        <item m="1" x="120"/>
        <item m="1" x="138"/>
        <item m="1" x="268"/>
        <item m="1" x="376"/>
        <item m="1" x="413"/>
        <item m="1" x="423"/>
        <item m="1" x="194"/>
        <item m="1" x="99"/>
        <item m="1" x="242"/>
        <item m="1" x="262"/>
        <item m="1" x="112"/>
        <item m="1" x="92"/>
        <item m="1" x="419"/>
        <item m="1" x="73"/>
        <item m="1" x="119"/>
        <item m="1" x="170"/>
        <item m="1" x="229"/>
        <item m="1" x="444"/>
        <item m="1" x="110"/>
        <item m="1" x="106"/>
        <item m="1" x="84"/>
        <item m="1" x="90"/>
        <item m="1" x="91"/>
        <item m="1" x="277"/>
        <item m="1" x="236"/>
        <item m="1" x="244"/>
        <item x="19"/>
        <item m="1" x="87"/>
        <item m="1" x="115"/>
        <item m="1" x="165"/>
        <item m="1" x="220"/>
        <item m="1" x="462"/>
        <item m="1" x="435"/>
        <item m="1" x="415"/>
        <item m="1" x="457"/>
        <item m="1" x="375"/>
        <item m="1" x="371"/>
        <item m="1" x="440"/>
        <item m="1" x="448"/>
        <item m="1" x="452"/>
        <item m="1" x="459"/>
        <item m="1" x="465"/>
        <item m="1" x="469"/>
        <item m="1" x="265"/>
        <item x="33"/>
        <item m="1" x="489"/>
        <item m="1" x="74"/>
        <item m="1" x="219"/>
        <item m="1" x="352"/>
        <item m="1" x="356"/>
        <item m="1" x="187"/>
        <item m="1" x="283"/>
        <item m="1" x="88"/>
        <item m="1" x="210"/>
        <item m="1" x="129"/>
        <item m="1" x="271"/>
        <item m="1" x="437"/>
        <item m="1" x="421"/>
        <item m="1" x="409"/>
        <item m="1" x="132"/>
        <item x="23"/>
        <item x="24"/>
        <item x="25"/>
        <item x="31"/>
        <item x="39"/>
        <item x="45"/>
        <item x="46"/>
        <item x="58"/>
        <item t="default" sd="0"/>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numFmtId="21" showAll="0">
      <extLst>
        <ext xmlns:x14="http://schemas.microsoft.com/office/spreadsheetml/2009/9/main" uri="{2946ED86-A175-432a-8AC1-64E0C546D7DE}">
          <x14:pivotField fillDownLabels="1"/>
        </ext>
      </extLst>
    </pivotField>
    <pivotField dataField="1" numFmtId="3" showAll="0">
      <extLst>
        <ext xmlns:x14="http://schemas.microsoft.com/office/spreadsheetml/2009/9/main" uri="{2946ED86-A175-432a-8AC1-64E0C546D7DE}">
          <x14:pivotField fillDownLabels="1"/>
        </ext>
      </extLst>
    </pivotField>
    <pivotField numFmtId="165"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showAll="0">
      <items count="4">
        <item x="0"/>
        <item x="1"/>
        <item m="1"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showAll="0">
      <items count="5">
        <item x="2"/>
        <item x="1"/>
        <item x="0"/>
        <item m="1"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2">
    <field x="1"/>
    <field x="2"/>
  </rowFields>
  <rowItems count="11">
    <i>
      <x v="22"/>
    </i>
    <i>
      <x v="12"/>
    </i>
    <i>
      <x v="75"/>
    </i>
    <i>
      <x v="69"/>
    </i>
    <i>
      <x v="3"/>
    </i>
    <i>
      <x v="4"/>
    </i>
    <i>
      <x v="60"/>
    </i>
    <i>
      <x v="20"/>
    </i>
    <i>
      <x v="89"/>
    </i>
    <i>
      <x v="29"/>
    </i>
    <i t="grand">
      <x/>
    </i>
  </rowItems>
  <colFields count="1">
    <field x="-2"/>
  </colFields>
  <colItems count="3">
    <i>
      <x/>
    </i>
    <i i="1">
      <x v="1"/>
    </i>
    <i i="2">
      <x v="2"/>
    </i>
  </colItems>
  <pageFields count="2">
    <pageField fld="11" item="0" hier="-1"/>
    <pageField fld="13" item="1" hier="-1"/>
  </pageFields>
  <dataFields count="3">
    <dataField name="Sum of Audience" fld="5" baseField="0" baseItem="0" numFmtId="3"/>
    <dataField name="Sum of Broadcast Duration" fld="4" baseField="0" baseItem="0" numFmtId="46"/>
    <dataField name="Sum of Rolex N"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1000-000002000000}" name="PivotTable5"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M4:P6" firstHeaderRow="0" firstDataRow="1" firstDataCol="1" rowPageCount="2" colPageCount="1"/>
  <pivotFields count="25">
    <pivotField showAll="0">
      <extLst>
        <ext xmlns:x14="http://schemas.microsoft.com/office/spreadsheetml/2009/9/main" uri="{2946ED86-A175-432a-8AC1-64E0C546D7DE}">
          <x14:pivotField fillDownLabels="1"/>
        </ext>
      </extLst>
    </pivotField>
    <pivotField axis="axisRow" showAll="0" sortType="descending">
      <items count="92">
        <item sd="0" m="1" x="76"/>
        <item sd="0" m="1" x="89"/>
        <item sd="0" x="0"/>
        <item sd="0" x="1"/>
        <item sd="0" x="2"/>
        <item sd="0" m="1" x="67"/>
        <item sd="0" x="3"/>
        <item sd="0" m="1" x="75"/>
        <item sd="0" x="4"/>
        <item sd="0" m="1" x="69"/>
        <item sd="0" x="5"/>
        <item sd="0" m="1" x="71"/>
        <item sd="0" x="6"/>
        <item sd="0" m="1" x="51"/>
        <item sd="0" m="1" x="58"/>
        <item sd="0" m="1" x="85"/>
        <item sd="0" x="7"/>
        <item sd="0" x="8"/>
        <item sd="0" x="46"/>
        <item sd="0" m="1" x="50"/>
        <item sd="0" x="9"/>
        <item sd="0" x="10"/>
        <item sd="0" x="11"/>
        <item sd="0" m="1" x="64"/>
        <item sd="0" m="1" x="90"/>
        <item sd="0" m="1" x="59"/>
        <item sd="0" x="12"/>
        <item sd="0" x="13"/>
        <item sd="0" m="1" x="88"/>
        <item sd="0" x="14"/>
        <item sd="0" x="15"/>
        <item sd="0" x="16"/>
        <item sd="0" m="1" x="74"/>
        <item sd="0" x="17"/>
        <item sd="0" x="18"/>
        <item sd="0" m="1" x="72"/>
        <item sd="0" m="1" x="70"/>
        <item sd="0" m="1" x="66"/>
        <item sd="0" m="1" x="54"/>
        <item sd="0" x="20"/>
        <item sd="0" m="1" x="65"/>
        <item sd="0" x="21"/>
        <item sd="0" m="1" x="87"/>
        <item sd="0" m="1" x="86"/>
        <item sd="0" x="22"/>
        <item sd="0" x="23"/>
        <item sd="0" m="1" x="56"/>
        <item sd="0" m="1" x="82"/>
        <item sd="0" x="25"/>
        <item sd="0" x="26"/>
        <item sd="0" x="27"/>
        <item sd="0" x="29"/>
        <item sd="0" m="1" x="63"/>
        <item sd="0" x="31"/>
        <item sd="0" m="1" x="62"/>
        <item sd="0" x="33"/>
        <item sd="0" x="34"/>
        <item sd="0" m="1" x="81"/>
        <item sd="0" m="1" x="68"/>
        <item sd="0" x="35"/>
        <item sd="0" x="36"/>
        <item sd="0" m="1" x="73"/>
        <item sd="0" x="37"/>
        <item sd="0" m="1" x="52"/>
        <item sd="0" m="1" x="55"/>
        <item sd="0" x="38"/>
        <item sd="0" x="39"/>
        <item sd="0" x="40"/>
        <item sd="0" m="1" x="60"/>
        <item sd="0" x="41"/>
        <item sd="0" x="42"/>
        <item sd="0" m="1" x="78"/>
        <item sd="0" m="1" x="61"/>
        <item sd="0" m="1" x="83"/>
        <item sd="0" m="1" x="57"/>
        <item sd="0" x="43"/>
        <item sd="0" x="44"/>
        <item sd="0" x="45"/>
        <item sd="0" m="1" x="47"/>
        <item sd="0" x="28"/>
        <item sd="0" x="24"/>
        <item sd="0" m="1" x="79"/>
        <item sd="0" x="30"/>
        <item sd="0" m="1" x="77"/>
        <item sd="0" m="1" x="80"/>
        <item sd="0" m="1" x="84"/>
        <item sd="0" m="1" x="49"/>
        <item sd="0" x="32"/>
        <item sd="0" m="1" x="53"/>
        <item sd="0" x="19"/>
        <item sd="0" m="1" x="48"/>
        <item t="default" sd="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showAll="0">
      <items count="491">
        <item sd="0" m="1" x="269"/>
        <item sd="0" m="1" x="142"/>
        <item sd="0" x="59"/>
        <item sd="0" m="1" x="166"/>
        <item sd="0" m="1" x="221"/>
        <item sd="0" m="1" x="251"/>
        <item sd="0" m="1" x="286"/>
        <item sd="0" m="1" x="259"/>
        <item sd="0" m="1" x="488"/>
        <item sd="0" m="1" x="327"/>
        <item sd="0" m="1" x="214"/>
        <item sd="0" m="1" x="485"/>
        <item sd="0" m="1" x="135"/>
        <item sd="0" m="1" x="358"/>
        <item sd="0" m="1" x="140"/>
        <item sd="0" m="1" x="295"/>
        <item sd="0" m="1" x="280"/>
        <item sd="0" m="1" x="184"/>
        <item sd="0" m="1" x="343"/>
        <item sd="0" m="1" x="267"/>
        <item sd="0" m="1" x="274"/>
        <item sd="0" m="1" x="464"/>
        <item sd="0" m="1" x="176"/>
        <item sd="0" m="1" x="163"/>
        <item sd="0" m="1" x="150"/>
        <item sd="0" m="1" x="199"/>
        <item sd="0" m="1" x="190"/>
        <item sd="0" m="1" x="203"/>
        <item sd="0" x="15"/>
        <item sd="0" m="1" x="171"/>
        <item sd="0" m="1" x="131"/>
        <item sd="0" m="1" x="443"/>
        <item sd="0" m="1" x="128"/>
        <item sd="0" m="1" x="141"/>
        <item sd="0" m="1" x="428"/>
        <item sd="0" m="1" x="348"/>
        <item sd="0" m="1" x="137"/>
        <item sd="0" m="1" x="72"/>
        <item sd="0" m="1" x="83"/>
        <item sd="0" m="1" x="100"/>
        <item sd="0" m="1" x="379"/>
        <item sd="0" m="1" x="484"/>
        <item sd="0" m="1" x="98"/>
        <item sd="0" m="1" x="102"/>
        <item sd="0" m="1" x="105"/>
        <item sd="0" m="1" x="109"/>
        <item sd="0" x="65"/>
        <item sd="0" m="1" x="169"/>
        <item sd="0" m="1" x="167"/>
        <item sd="0" m="1" x="416"/>
        <item sd="0" m="1" x="418"/>
        <item sd="0" m="1" x="289"/>
        <item sd="0" x="0"/>
        <item sd="0" x="2"/>
        <item sd="0" x="3"/>
        <item sd="0" m="1" x="75"/>
        <item sd="0" m="1" x="94"/>
        <item sd="0" x="5"/>
        <item sd="0" x="6"/>
        <item sd="0" m="1" x="278"/>
        <item sd="0" m="1" x="136"/>
        <item sd="0" m="1" x="264"/>
        <item sd="0" m="1" x="177"/>
        <item sd="0" x="20"/>
        <item sd="0" x="21"/>
        <item sd="0" x="22"/>
        <item sd="0" m="1" x="117"/>
        <item sd="0" m="1" x="237"/>
        <item sd="0" m="1" x="207"/>
        <item sd="0" m="1" x="168"/>
        <item sd="0" x="36"/>
        <item sd="0" m="1" x="429"/>
        <item sd="0" m="1" x="272"/>
        <item sd="0" m="1" x="126"/>
        <item sd="0" m="1" x="113"/>
        <item sd="0" m="1" x="235"/>
        <item sd="0" x="60"/>
        <item sd="0" m="1" x="301"/>
        <item sd="0" m="1" x="161"/>
        <item sd="0" m="1" x="253"/>
        <item sd="0" m="1" x="387"/>
        <item sd="0" m="1" x="196"/>
        <item sd="0" m="1" x="335"/>
        <item sd="0" m="1" x="383"/>
        <item sd="0" m="1" x="287"/>
        <item sd="0" m="1" x="206"/>
        <item sd="0" m="1" x="281"/>
        <item sd="0" m="1" x="476"/>
        <item sd="0" x="51"/>
        <item sd="0" m="1" x="71"/>
        <item sd="0" m="1" x="134"/>
        <item sd="0" m="1" x="403"/>
        <item sd="0" m="1" x="382"/>
        <item sd="0" m="1" x="116"/>
        <item sd="0" m="1" x="317"/>
        <item sd="0" x="50"/>
        <item sd="0" m="1" x="241"/>
        <item sd="0" m="1" x="243"/>
        <item sd="0" m="1" x="192"/>
        <item sd="0" m="1" x="417"/>
        <item sd="0" m="1" x="455"/>
        <item sd="0" m="1" x="449"/>
        <item sd="0" m="1" x="261"/>
        <item sd="0" m="1" x="225"/>
        <item sd="0" m="1" x="400"/>
        <item sd="0" m="1" x="347"/>
        <item sd="0" m="1" x="396"/>
        <item sd="0" m="1" x="204"/>
        <item sd="0" m="1" x="218"/>
        <item sd="0" m="1" x="373"/>
        <item sd="0" m="1" x="107"/>
        <item sd="0" m="1" x="78"/>
        <item sd="0" m="1" x="197"/>
        <item sd="0" m="1" x="263"/>
        <item sd="0" m="1" x="324"/>
        <item sd="0" m="1" x="359"/>
        <item sd="0" m="1" x="394"/>
        <item sd="0" m="1" x="475"/>
        <item sd="0" m="1" x="422"/>
        <item sd="0" m="1" x="310"/>
        <item sd="0" m="1" x="329"/>
        <item sd="0" m="1" x="349"/>
        <item sd="0" m="1" x="369"/>
        <item sd="0" m="1" x="380"/>
        <item sd="0" m="1" x="402"/>
        <item sd="0" m="1" x="431"/>
        <item sd="0" m="1" x="339"/>
        <item sd="0" x="11"/>
        <item sd="0" x="12"/>
        <item sd="0" x="52"/>
        <item sd="0" m="1" x="123"/>
        <item sd="0" m="1" x="77"/>
        <item sd="0" m="1" x="93"/>
        <item sd="0" m="1" x="216"/>
        <item sd="0" m="1" x="111"/>
        <item sd="0" m="1" x="164"/>
        <item sd="0" m="1" x="181"/>
        <item sd="0" m="1" x="202"/>
        <item sd="0" m="1" x="412"/>
        <item sd="0" m="1" x="323"/>
        <item sd="0" m="1" x="254"/>
        <item sd="0" m="1" x="155"/>
        <item sd="0" m="1" x="450"/>
        <item sd="0" m="1" x="125"/>
        <item sd="0" m="1" x="451"/>
        <item sd="0" m="1" x="303"/>
        <item sd="0" m="1" x="454"/>
        <item sd="0" m="1" x="458"/>
        <item sd="0" m="1" x="463"/>
        <item sd="0" m="1" x="157"/>
        <item sd="0" m="1" x="424"/>
        <item sd="0" m="1" x="472"/>
        <item sd="0" m="1" x="392"/>
        <item sd="0" m="1" x="68"/>
        <item sd="0" m="1" x="445"/>
        <item sd="0" m="1" x="474"/>
        <item sd="0" m="1" x="447"/>
        <item sd="0" m="1" x="156"/>
        <item sd="0" m="1" x="298"/>
        <item sd="0" m="1" x="330"/>
        <item sd="0" m="1" x="331"/>
        <item sd="0" m="1" x="334"/>
        <item sd="0" m="1" x="82"/>
        <item sd="0" m="1" x="430"/>
        <item sd="0" m="1" x="223"/>
        <item sd="0" m="1" x="337"/>
        <item sd="0" m="1" x="374"/>
        <item sd="0" m="1" x="96"/>
        <item sd="0" m="1" x="370"/>
        <item sd="0" m="1" x="364"/>
        <item sd="0" x="9"/>
        <item sd="0" x="10"/>
        <item sd="0" m="1" x="333"/>
        <item sd="0" x="55"/>
        <item sd="0" m="1" x="346"/>
        <item sd="0" x="29"/>
        <item sd="0" m="1" x="86"/>
        <item sd="0" m="1" x="144"/>
        <item sd="0" m="1" x="316"/>
        <item sd="0" m="1" x="357"/>
        <item sd="0" m="1" x="466"/>
        <item sd="0" m="1" x="226"/>
        <item sd="0" m="1" x="439"/>
        <item sd="0" m="1" x="308"/>
        <item sd="0" m="1" x="315"/>
        <item sd="0" m="1" x="227"/>
        <item sd="0" m="1" x="350"/>
        <item sd="0" x="13"/>
        <item sd="0" m="1" x="432"/>
        <item sd="0" m="1" x="456"/>
        <item sd="0" m="1" x="467"/>
        <item sd="0" m="1" x="477"/>
        <item sd="0" m="1" x="354"/>
        <item sd="0" x="14"/>
        <item sd="0" m="1" x="103"/>
        <item sd="0" m="1" x="217"/>
        <item sd="0" m="1" x="397"/>
        <item sd="0" m="1" x="145"/>
        <item sd="0" m="1" x="97"/>
        <item sd="0" m="1" x="399"/>
        <item sd="0" m="1" x="362"/>
        <item sd="0" m="1" x="338"/>
        <item sd="0" m="1" x="276"/>
        <item sd="0" m="1" x="342"/>
        <item sd="0" m="1" x="209"/>
        <item sd="0" m="1" x="108"/>
        <item sd="0" m="1" x="483"/>
        <item sd="0" m="1" x="314"/>
        <item sd="0" m="1" x="388"/>
        <item sd="0" m="1" x="89"/>
        <item sd="0" m="1" x="180"/>
        <item sd="0" m="1" x="148"/>
        <item sd="0" m="1" x="279"/>
        <item sd="0" m="1" x="124"/>
        <item sd="0" m="1" x="172"/>
        <item sd="0" m="1" x="326"/>
        <item sd="0" m="1" x="160"/>
        <item sd="0" m="1" x="351"/>
        <item sd="0" m="1" x="336"/>
        <item sd="0" m="1" x="174"/>
        <item sd="0" m="1" x="66"/>
        <item m="1" x="80"/>
        <item m="1" x="158"/>
        <item m="1" x="239"/>
        <item m="1" x="318"/>
        <item m="1" x="275"/>
        <item m="1" x="299"/>
        <item m="1" x="233"/>
        <item m="1" x="270"/>
        <item x="8"/>
        <item m="1" x="434"/>
        <item m="1" x="478"/>
        <item m="1" x="208"/>
        <item x="18"/>
        <item m="1" x="257"/>
        <item m="1" x="228"/>
        <item m="1" x="186"/>
        <item m="1" x="436"/>
        <item m="1" x="252"/>
        <item x="32"/>
        <item x="34"/>
        <item m="1" x="182"/>
        <item m="1" x="468"/>
        <item m="1" x="69"/>
        <item m="1" x="118"/>
        <item m="1" x="238"/>
        <item m="1" x="425"/>
        <item m="1" x="381"/>
        <item m="1" x="391"/>
        <item m="1" x="212"/>
        <item m="1" x="470"/>
        <item m="1" x="367"/>
        <item x="38"/>
        <item m="1" x="188"/>
        <item m="1" x="178"/>
        <item m="1" x="173"/>
        <item m="1" x="407"/>
        <item m="1" x="104"/>
        <item x="16"/>
        <item m="1" x="231"/>
        <item m="1" x="246"/>
        <item m="1" x="149"/>
        <item m="1" x="404"/>
        <item m="1" x="154"/>
        <item m="1" x="85"/>
        <item m="1" x="401"/>
        <item m="1" x="368"/>
        <item m="1" x="328"/>
        <item m="1" x="240"/>
        <item m="1" x="481"/>
        <item m="1" x="139"/>
        <item x="37"/>
        <item m="1" x="441"/>
        <item m="1" x="340"/>
        <item x="4"/>
        <item m="1" x="70"/>
        <item m="1" x="195"/>
        <item m="1" x="325"/>
        <item m="1" x="461"/>
        <item m="1" x="130"/>
        <item m="1" x="247"/>
        <item x="1"/>
        <item m="1" x="114"/>
        <item m="1" x="147"/>
        <item m="1" x="360"/>
        <item m="1" x="438"/>
        <item m="1" x="300"/>
        <item m="1" x="345"/>
        <item x="7"/>
        <item m="1" x="249"/>
        <item m="1" x="183"/>
        <item m="1" x="211"/>
        <item m="1" x="201"/>
        <item m="1" x="288"/>
        <item m="1" x="273"/>
        <item m="1" x="355"/>
        <item x="17"/>
        <item m="1" x="133"/>
        <item m="1" x="179"/>
        <item m="1" x="234"/>
        <item m="1" x="306"/>
        <item m="1" x="344"/>
        <item m="1" x="442"/>
        <item m="1" x="205"/>
        <item m="1" x="143"/>
        <item m="1" x="81"/>
        <item m="1" x="473"/>
        <item m="1" x="296"/>
        <item m="1" x="385"/>
        <item m="1" x="482"/>
        <item m="1" x="79"/>
        <item m="1" x="361"/>
        <item m="1" x="185"/>
        <item m="1" x="433"/>
        <item m="1" x="446"/>
        <item m="1" x="341"/>
        <item m="1" x="311"/>
        <item m="1" x="189"/>
        <item m="1" x="353"/>
        <item m="1" x="363"/>
        <item m="1" x="378"/>
        <item m="1" x="309"/>
        <item m="1" x="175"/>
        <item m="1" x="460"/>
        <item x="57"/>
        <item x="63"/>
        <item m="1" x="95"/>
        <item m="1" x="290"/>
        <item m="1" x="390"/>
        <item m="1" x="146"/>
        <item x="26"/>
        <item m="1" x="294"/>
        <item m="1" x="307"/>
        <item m="1" x="487"/>
        <item m="1" x="302"/>
        <item m="1" x="480"/>
        <item m="1" x="293"/>
        <item m="1" x="471"/>
        <item m="1" x="282"/>
        <item x="35"/>
        <item x="40"/>
        <item x="41"/>
        <item x="43"/>
        <item x="44"/>
        <item m="1" x="232"/>
        <item m="1" x="284"/>
        <item m="1" x="245"/>
        <item m="1" x="230"/>
        <item m="1" x="191"/>
        <item m="1" x="250"/>
        <item m="1" x="285"/>
        <item m="1" x="312"/>
        <item x="53"/>
        <item x="54"/>
        <item x="56"/>
        <item x="61"/>
        <item x="62"/>
        <item x="64"/>
        <item m="1" x="260"/>
        <item m="1" x="297"/>
        <item m="1" x="153"/>
        <item m="1" x="255"/>
        <item m="1" x="305"/>
        <item m="1" x="453"/>
        <item m="1" x="321"/>
        <item m="1" x="420"/>
        <item m="1" x="256"/>
        <item m="1" x="248"/>
        <item m="1" x="200"/>
        <item m="1" x="224"/>
        <item m="1" x="427"/>
        <item m="1" x="410"/>
        <item m="1" x="395"/>
        <item m="1" x="384"/>
        <item x="49"/>
        <item m="1" x="386"/>
        <item m="1" x="411"/>
        <item m="1" x="377"/>
        <item m="1" x="101"/>
        <item x="48"/>
        <item m="1" x="372"/>
        <item m="1" x="479"/>
        <item x="42"/>
        <item m="1" x="152"/>
        <item m="1" x="213"/>
        <item m="1" x="198"/>
        <item m="1" x="159"/>
        <item m="1" x="266"/>
        <item m="1" x="486"/>
        <item m="1" x="319"/>
        <item m="1" x="291"/>
        <item m="1" x="127"/>
        <item m="1" x="67"/>
        <item m="1" x="313"/>
        <item m="1" x="320"/>
        <item m="1" x="151"/>
        <item m="1" x="162"/>
        <item m="1" x="365"/>
        <item m="1" x="366"/>
        <item m="1" x="121"/>
        <item m="1" x="304"/>
        <item m="1" x="258"/>
        <item m="1" x="292"/>
        <item m="1" x="322"/>
        <item m="1" x="398"/>
        <item m="1" x="193"/>
        <item m="1" x="406"/>
        <item m="1" x="393"/>
        <item m="1" x="408"/>
        <item m="1" x="426"/>
        <item m="1" x="389"/>
        <item m="1" x="332"/>
        <item x="27"/>
        <item x="28"/>
        <item x="30"/>
        <item m="1" x="122"/>
        <item m="1" x="405"/>
        <item m="1" x="414"/>
        <item m="1" x="76"/>
        <item m="1" x="215"/>
        <item m="1" x="222"/>
        <item x="47"/>
        <item m="1" x="120"/>
        <item m="1" x="138"/>
        <item m="1" x="268"/>
        <item m="1" x="376"/>
        <item m="1" x="413"/>
        <item m="1" x="423"/>
        <item m="1" x="194"/>
        <item m="1" x="99"/>
        <item m="1" x="242"/>
        <item m="1" x="262"/>
        <item m="1" x="112"/>
        <item m="1" x="92"/>
        <item m="1" x="419"/>
        <item m="1" x="73"/>
        <item m="1" x="119"/>
        <item m="1" x="170"/>
        <item m="1" x="229"/>
        <item m="1" x="444"/>
        <item m="1" x="110"/>
        <item m="1" x="106"/>
        <item m="1" x="84"/>
        <item m="1" x="90"/>
        <item m="1" x="91"/>
        <item m="1" x="277"/>
        <item m="1" x="236"/>
        <item m="1" x="244"/>
        <item x="19"/>
        <item m="1" x="87"/>
        <item m="1" x="115"/>
        <item m="1" x="165"/>
        <item m="1" x="220"/>
        <item m="1" x="462"/>
        <item m="1" x="435"/>
        <item m="1" x="415"/>
        <item m="1" x="457"/>
        <item m="1" x="375"/>
        <item m="1" x="371"/>
        <item m="1" x="440"/>
        <item m="1" x="448"/>
        <item m="1" x="452"/>
        <item m="1" x="459"/>
        <item m="1" x="465"/>
        <item m="1" x="469"/>
        <item m="1" x="265"/>
        <item x="33"/>
        <item m="1" x="489"/>
        <item m="1" x="74"/>
        <item m="1" x="219"/>
        <item m="1" x="352"/>
        <item m="1" x="356"/>
        <item m="1" x="187"/>
        <item m="1" x="283"/>
        <item m="1" x="88"/>
        <item m="1" x="210"/>
        <item m="1" x="129"/>
        <item m="1" x="271"/>
        <item m="1" x="437"/>
        <item m="1" x="421"/>
        <item m="1" x="409"/>
        <item m="1" x="132"/>
        <item x="23"/>
        <item x="24"/>
        <item x="25"/>
        <item x="31"/>
        <item x="39"/>
        <item x="45"/>
        <item x="46"/>
        <item x="58"/>
        <item t="default" sd="0"/>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numFmtId="21" showAll="0">
      <extLst>
        <ext xmlns:x14="http://schemas.microsoft.com/office/spreadsheetml/2009/9/main" uri="{2946ED86-A175-432a-8AC1-64E0C546D7DE}">
          <x14:pivotField fillDownLabels="1"/>
        </ext>
      </extLst>
    </pivotField>
    <pivotField dataField="1" numFmtId="3" showAll="0">
      <extLst>
        <ext xmlns:x14="http://schemas.microsoft.com/office/spreadsheetml/2009/9/main" uri="{2946ED86-A175-432a-8AC1-64E0C546D7DE}">
          <x14:pivotField fillDownLabels="1"/>
        </ext>
      </extLst>
    </pivotField>
    <pivotField numFmtId="165"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showAll="0">
      <items count="4">
        <item x="0"/>
        <item x="1"/>
        <item m="1"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showAll="0">
      <items count="5">
        <item x="2"/>
        <item x="1"/>
        <item x="0"/>
        <item m="1"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2">
    <field x="1"/>
    <field x="2"/>
  </rowFields>
  <rowItems count="2">
    <i>
      <x v="18"/>
    </i>
    <i t="grand">
      <x/>
    </i>
  </rowItems>
  <colFields count="1">
    <field x="-2"/>
  </colFields>
  <colItems count="3">
    <i>
      <x/>
    </i>
    <i i="1">
      <x v="1"/>
    </i>
    <i i="2">
      <x v="2"/>
    </i>
  </colItems>
  <pageFields count="2">
    <pageField fld="11" item="1" hier="-1"/>
    <pageField fld="13" item="0" hier="-1"/>
  </pageFields>
  <dataFields count="3">
    <dataField name="Sum of Audience" fld="5" baseField="0" baseItem="0" numFmtId="3"/>
    <dataField name="Sum of Broadcast Duration" fld="4" baseField="0" baseItem="0" numFmtId="46"/>
    <dataField name="Sum of Rolex N"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1000-000000000000}" name="PivotTable3"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D58" firstHeaderRow="0" firstDataRow="1" firstDataCol="1" rowPageCount="2" colPageCount="1"/>
  <pivotFields count="25">
    <pivotField showAll="0">
      <extLst>
        <ext xmlns:x14="http://schemas.microsoft.com/office/spreadsheetml/2009/9/main" uri="{2946ED86-A175-432a-8AC1-64E0C546D7DE}">
          <x14:pivotField fillDownLabels="1"/>
        </ext>
      </extLst>
    </pivotField>
    <pivotField axis="axisRow" showAll="0" sortType="descending">
      <items count="92">
        <item m="1" x="76"/>
        <item m="1" x="89"/>
        <item x="0"/>
        <item x="1"/>
        <item x="2"/>
        <item m="1" x="67"/>
        <item x="3"/>
        <item m="1" x="75"/>
        <item x="4"/>
        <item m="1" x="69"/>
        <item x="5"/>
        <item m="1" x="71"/>
        <item x="6"/>
        <item m="1" x="51"/>
        <item m="1" x="58"/>
        <item m="1" x="85"/>
        <item x="7"/>
        <item x="8"/>
        <item x="46"/>
        <item m="1" x="50"/>
        <item x="9"/>
        <item x="10"/>
        <item x="11"/>
        <item m="1" x="64"/>
        <item m="1" x="90"/>
        <item m="1" x="59"/>
        <item x="12"/>
        <item x="13"/>
        <item m="1" x="88"/>
        <item x="14"/>
        <item x="15"/>
        <item x="16"/>
        <item m="1" x="74"/>
        <item x="17"/>
        <item x="18"/>
        <item m="1" x="72"/>
        <item m="1" x="70"/>
        <item m="1" x="66"/>
        <item m="1" x="54"/>
        <item x="20"/>
        <item m="1" x="65"/>
        <item x="21"/>
        <item m="1" x="87"/>
        <item m="1" x="86"/>
        <item x="22"/>
        <item x="23"/>
        <item m="1" x="56"/>
        <item m="1" x="82"/>
        <item x="25"/>
        <item x="26"/>
        <item x="27"/>
        <item x="29"/>
        <item m="1" x="63"/>
        <item x="31"/>
        <item m="1" x="62"/>
        <item x="33"/>
        <item x="34"/>
        <item m="1" x="81"/>
        <item m="1" x="68"/>
        <item x="35"/>
        <item x="36"/>
        <item m="1" x="73"/>
        <item x="37"/>
        <item m="1" x="52"/>
        <item m="1" x="55"/>
        <item x="38"/>
        <item x="39"/>
        <item x="40"/>
        <item m="1" x="60"/>
        <item x="41"/>
        <item x="42"/>
        <item m="1" x="78"/>
        <item m="1" x="61"/>
        <item m="1" x="83"/>
        <item m="1" x="57"/>
        <item x="43"/>
        <item x="44"/>
        <item x="45"/>
        <item m="1" x="47"/>
        <item x="28"/>
        <item x="24"/>
        <item m="1" x="79"/>
        <item x="30"/>
        <item m="1" x="77"/>
        <item m="1" x="80"/>
        <item m="1" x="84"/>
        <item m="1" x="49"/>
        <item x="32"/>
        <item m="1" x="53"/>
        <item x="19"/>
        <item m="1" x="48"/>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showAll="0" sortType="descending">
      <items count="491">
        <item sd="0" m="1" x="269"/>
        <item sd="0" m="1" x="142"/>
        <item sd="0" m="1" x="186"/>
        <item sd="0" x="59"/>
        <item sd="0" x="60"/>
        <item sd="0" m="1" x="166"/>
        <item sd="0" m="1" x="221"/>
        <item sd="0" m="1" x="251"/>
        <item sd="0" m="1" x="286"/>
        <item sd="0" m="1" x="259"/>
        <item sd="0" m="1" x="488"/>
        <item sd="0" m="1" x="327"/>
        <item sd="0" m="1" x="214"/>
        <item sd="0" m="1" x="228"/>
        <item sd="0" m="1" x="485"/>
        <item sd="0" m="1" x="135"/>
        <item sd="0" m="1" x="173"/>
        <item sd="0" m="1" x="358"/>
        <item sd="0" m="1" x="140"/>
        <item sd="0" m="1" x="295"/>
        <item sd="0" m="1" x="280"/>
        <item sd="0" m="1" x="154"/>
        <item sd="0" m="1" x="85"/>
        <item sd="0" m="1" x="184"/>
        <item sd="0" m="1" x="340"/>
        <item sd="0" m="1" x="343"/>
        <item sd="0" m="1" x="267"/>
        <item sd="0" m="1" x="274"/>
        <item sd="0" m="1" x="464"/>
        <item sd="0" m="1" x="176"/>
        <item sd="0" m="1" x="163"/>
        <item sd="0" m="1" x="150"/>
        <item sd="0" m="1" x="199"/>
        <item sd="0" m="1" x="190"/>
        <item sd="0" m="1" x="203"/>
        <item sd="0" m="1" x="381"/>
        <item sd="0" x="15"/>
        <item sd="0" m="1" x="171"/>
        <item sd="0" m="1" x="131"/>
        <item sd="0" x="16"/>
        <item sd="0" m="1" x="443"/>
        <item sd="0" m="1" x="128"/>
        <item sd="0" m="1" x="141"/>
        <item sd="0" m="1" x="428"/>
        <item sd="0" m="1" x="348"/>
        <item sd="0" m="1" x="299"/>
        <item sd="0" m="1" x="137"/>
        <item sd="0" m="1" x="72"/>
        <item sd="0" m="1" x="83"/>
        <item sd="0" m="1" x="100"/>
        <item sd="0" m="1" x="379"/>
        <item sd="0" m="1" x="484"/>
        <item sd="0" m="1" x="98"/>
        <item sd="0" m="1" x="102"/>
        <item sd="0" m="1" x="105"/>
        <item sd="0" m="1" x="109"/>
        <item sd="0" x="65"/>
        <item sd="0" m="1" x="169"/>
        <item sd="0" m="1" x="167"/>
        <item sd="0" m="1" x="416"/>
        <item sd="0" m="1" x="418"/>
        <item sd="0" m="1" x="434"/>
        <item sd="0" m="1" x="478"/>
        <item sd="0" m="1" x="289"/>
        <item sd="0" x="0"/>
        <item sd="0" x="2"/>
        <item sd="0" x="3"/>
        <item sd="0" x="8"/>
        <item sd="0" m="1" x="270"/>
        <item sd="0" m="1" x="75"/>
        <item sd="0" m="1" x="94"/>
        <item sd="0" x="5"/>
        <item sd="0" x="6"/>
        <item sd="0" m="1" x="278"/>
        <item sd="0" m="1" x="136"/>
        <item sd="0" m="1" x="264"/>
        <item sd="0" m="1" x="177"/>
        <item sd="0" x="20"/>
        <item sd="0" x="21"/>
        <item sd="0" x="34"/>
        <item sd="0" x="22"/>
        <item sd="0" m="1" x="117"/>
        <item sd="0" m="1" x="237"/>
        <item sd="0" m="1" x="207"/>
        <item sd="0" m="1" x="168"/>
        <item sd="0" x="36"/>
        <item sd="0" m="1" x="429"/>
        <item sd="0" m="1" x="272"/>
        <item sd="0" m="1" x="126"/>
        <item sd="0" m="1" x="113"/>
        <item sd="0" m="1" x="235"/>
        <item sd="0" m="1" x="301"/>
        <item sd="0" m="1" x="161"/>
        <item sd="0" m="1" x="253"/>
        <item sd="0" m="1" x="387"/>
        <item sd="0" m="1" x="196"/>
        <item sd="0" m="1" x="335"/>
        <item sd="0" m="1" x="481"/>
        <item sd="0" m="1" x="383"/>
        <item sd="0" m="1" x="318"/>
        <item sd="0" m="1" x="287"/>
        <item sd="0" m="1" x="206"/>
        <item sd="0" m="1" x="281"/>
        <item sd="0" m="1" x="238"/>
        <item sd="0" m="1" x="476"/>
        <item sd="0" x="51"/>
        <item sd="0" m="1" x="71"/>
        <item sd="0" m="1" x="134"/>
        <item sd="0" m="1" x="403"/>
        <item sd="0" m="1" x="382"/>
        <item sd="0" m="1" x="116"/>
        <item sd="0" m="1" x="317"/>
        <item sd="0" x="50"/>
        <item sd="0" m="1" x="239"/>
        <item sd="0" m="1" x="241"/>
        <item sd="0" m="1" x="243"/>
        <item sd="0" m="1" x="192"/>
        <item sd="0" m="1" x="208"/>
        <item sd="0" m="1" x="417"/>
        <item sd="0" m="1" x="455"/>
        <item sd="0" m="1" x="449"/>
        <item sd="0" m="1" x="261"/>
        <item sd="0" m="1" x="425"/>
        <item sd="0" m="1" x="436"/>
        <item sd="0" m="1" x="225"/>
        <item sd="0" m="1" x="400"/>
        <item sd="0" m="1" x="231"/>
        <item sd="0" m="1" x="347"/>
        <item sd="0" m="1" x="401"/>
        <item sd="0" m="1" x="396"/>
        <item sd="0" m="1" x="391"/>
        <item sd="0" m="1" x="204"/>
        <item sd="0" m="1" x="218"/>
        <item sd="0" m="1" x="373"/>
        <item sd="0" m="1" x="107"/>
        <item sd="0" m="1" x="78"/>
        <item sd="0" m="1" x="197"/>
        <item sd="0" m="1" x="263"/>
        <item sd="0" m="1" x="324"/>
        <item sd="0" m="1" x="359"/>
        <item sd="0" m="1" x="394"/>
        <item sd="0" m="1" x="475"/>
        <item sd="0" m="1" x="422"/>
        <item sd="0" m="1" x="158"/>
        <item sd="0" m="1" x="310"/>
        <item sd="0" m="1" x="329"/>
        <item sd="0" m="1" x="349"/>
        <item sd="0" m="1" x="369"/>
        <item sd="0" m="1" x="380"/>
        <item sd="0" m="1" x="402"/>
        <item sd="0" m="1" x="431"/>
        <item sd="0" m="1" x="339"/>
        <item sd="0" m="1" x="212"/>
        <item sd="0" x="37"/>
        <item sd="0" x="11"/>
        <item sd="0" x="12"/>
        <item sd="0" x="52"/>
        <item sd="0" m="1" x="123"/>
        <item sd="0" m="1" x="77"/>
        <item sd="0" m="1" x="93"/>
        <item sd="0" m="1" x="216"/>
        <item sd="0" m="1" x="111"/>
        <item sd="0" m="1" x="164"/>
        <item sd="0" m="1" x="181"/>
        <item sd="0" m="1" x="202"/>
        <item sd="0" x="4"/>
        <item sd="0" m="1" x="70"/>
        <item sd="0" m="1" x="412"/>
        <item sd="0" m="1" x="323"/>
        <item sd="0" m="1" x="254"/>
        <item sd="0" m="1" x="155"/>
        <item sd="0" m="1" x="450"/>
        <item sd="0" m="1" x="125"/>
        <item sd="0" m="1" x="451"/>
        <item sd="0" m="1" x="303"/>
        <item sd="0" m="1" x="368"/>
        <item sd="0" m="1" x="454"/>
        <item sd="0" m="1" x="458"/>
        <item sd="0" m="1" x="463"/>
        <item sd="0" m="1" x="468"/>
        <item sd="0" m="1" x="470"/>
        <item sd="0" m="1" x="328"/>
        <item sd="0" m="1" x="157"/>
        <item sd="0" m="1" x="240"/>
        <item sd="0" m="1" x="424"/>
        <item sd="0" m="1" x="472"/>
        <item sd="0" m="1" x="80"/>
        <item sd="0" m="1" x="392"/>
        <item sd="0" m="1" x="68"/>
        <item sd="0" m="1" x="445"/>
        <item sd="0" m="1" x="474"/>
        <item sd="0" m="1" x="447"/>
        <item sd="0" m="1" x="233"/>
        <item sd="0" m="1" x="156"/>
        <item sd="0" m="1" x="298"/>
        <item sd="0" m="1" x="330"/>
        <item sd="0" m="1" x="331"/>
        <item sd="0" m="1" x="334"/>
        <item sd="0" m="1" x="82"/>
        <item sd="0" m="1" x="430"/>
        <item sd="0" m="1" x="223"/>
        <item sd="0" m="1" x="337"/>
        <item sd="0" m="1" x="374"/>
        <item sd="0" m="1" x="96"/>
        <item sd="0" m="1" x="188"/>
        <item sd="0" m="1" x="178"/>
        <item sd="0" m="1" x="370"/>
        <item sd="0" m="1" x="364"/>
        <item sd="0" x="9"/>
        <item sd="0" x="10"/>
        <item sd="0" m="1" x="333"/>
        <item sd="0" x="55"/>
        <item sd="0" m="1" x="69"/>
        <item sd="0" m="1" x="367"/>
        <item sd="0" x="38"/>
        <item sd="0" x="18"/>
        <item sd="0" m="1" x="346"/>
        <item sd="0" x="29"/>
        <item sd="0" m="1" x="257"/>
        <item sd="0" m="1" x="86"/>
        <item sd="0" m="1" x="118"/>
        <item sd="0" m="1" x="144"/>
        <item sd="0" m="1" x="316"/>
        <item sd="0" m="1" x="357"/>
        <item sd="0" m="1" x="466"/>
        <item sd="0" m="1" x="226"/>
        <item sd="0" m="1" x="439"/>
        <item sd="0" m="1" x="308"/>
        <item sd="0" m="1" x="315"/>
        <item sd="0" m="1" x="441"/>
        <item sd="0" m="1" x="227"/>
        <item sd="0" m="1" x="275"/>
        <item sd="0" m="1" x="350"/>
        <item sd="0" x="13"/>
        <item sd="0" m="1" x="432"/>
        <item sd="0" m="1" x="456"/>
        <item sd="0" m="1" x="467"/>
        <item sd="0" m="1" x="477"/>
        <item sd="0" m="1" x="354"/>
        <item sd="0" x="14"/>
        <item sd="0" m="1" x="103"/>
        <item sd="0" m="1" x="217"/>
        <item sd="0" m="1" x="397"/>
        <item sd="0" m="1" x="145"/>
        <item sd="0" m="1" x="246"/>
        <item sd="0" m="1" x="97"/>
        <item sd="0" m="1" x="149"/>
        <item sd="0" m="1" x="399"/>
        <item sd="0" m="1" x="252"/>
        <item sd="0" m="1" x="362"/>
        <item sd="0" m="1" x="338"/>
        <item sd="0" m="1" x="276"/>
        <item sd="0" m="1" x="342"/>
        <item sd="0" m="1" x="209"/>
        <item sd="0" m="1" x="108"/>
        <item sd="0" m="1" x="404"/>
        <item sd="0" m="1" x="139"/>
        <item sd="0" m="1" x="407"/>
        <item sd="0" m="1" x="483"/>
        <item sd="0" m="1" x="104"/>
        <item sd="0" m="1" x="314"/>
        <item sd="0" m="1" x="388"/>
        <item sd="0" m="1" x="89"/>
        <item sd="0" m="1" x="180"/>
        <item sd="0" m="1" x="148"/>
        <item sd="0" x="32"/>
        <item sd="0" m="1" x="279"/>
        <item sd="0" m="1" x="124"/>
        <item sd="0" m="1" x="172"/>
        <item sd="0" m="1" x="326"/>
        <item sd="0" m="1" x="160"/>
        <item sd="0" m="1" x="182"/>
        <item sd="0" m="1" x="351"/>
        <item sd="0" m="1" x="336"/>
        <item sd="0" m="1" x="174"/>
        <item sd="0" m="1" x="66"/>
        <item sd="0" m="1" x="195"/>
        <item sd="0" m="1" x="325"/>
        <item sd="0" m="1" x="461"/>
        <item sd="0" m="1" x="130"/>
        <item sd="0" m="1" x="247"/>
        <item sd="0" x="1"/>
        <item sd="0" m="1" x="114"/>
        <item sd="0" m="1" x="147"/>
        <item sd="0" m="1" x="360"/>
        <item sd="0" m="1" x="438"/>
        <item sd="0" m="1" x="300"/>
        <item sd="0" m="1" x="345"/>
        <item sd="0" x="7"/>
        <item sd="0" m="1" x="249"/>
        <item sd="0" m="1" x="183"/>
        <item sd="0" m="1" x="211"/>
        <item sd="0" m="1" x="201"/>
        <item sd="0" m="1" x="288"/>
        <item sd="0" m="1" x="273"/>
        <item sd="0" m="1" x="355"/>
        <item sd="0" x="17"/>
        <item sd="0" m="1" x="133"/>
        <item sd="0" m="1" x="179"/>
        <item sd="0" m="1" x="234"/>
        <item sd="0" m="1" x="306"/>
        <item sd="0" m="1" x="344"/>
        <item sd="0" m="1" x="442"/>
        <item sd="0" m="1" x="205"/>
        <item sd="0" m="1" x="143"/>
        <item sd="0" m="1" x="81"/>
        <item sd="0" m="1" x="473"/>
        <item sd="0" m="1" x="296"/>
        <item sd="0" m="1" x="385"/>
        <item sd="0" m="1" x="482"/>
        <item sd="0" m="1" x="79"/>
        <item sd="0" m="1" x="361"/>
        <item sd="0" m="1" x="185"/>
        <item sd="0" m="1" x="433"/>
        <item sd="0" m="1" x="446"/>
        <item sd="0" m="1" x="341"/>
        <item sd="0" m="1" x="311"/>
        <item sd="0" m="1" x="189"/>
        <item sd="0" m="1" x="353"/>
        <item sd="0" m="1" x="363"/>
        <item sd="0" m="1" x="378"/>
        <item sd="0" m="1" x="309"/>
        <item sd="0" m="1" x="175"/>
        <item sd="0" m="1" x="460"/>
        <item sd="0" x="57"/>
        <item sd="0" x="63"/>
        <item sd="0" m="1" x="95"/>
        <item sd="0" m="1" x="290"/>
        <item sd="0" m="1" x="390"/>
        <item sd="0" m="1" x="146"/>
        <item sd="0" x="26"/>
        <item sd="0" m="1" x="294"/>
        <item sd="0" m="1" x="307"/>
        <item sd="0" m="1" x="487"/>
        <item sd="0" m="1" x="302"/>
        <item sd="0" m="1" x="480"/>
        <item sd="0" m="1" x="293"/>
        <item sd="0" m="1" x="471"/>
        <item sd="0" m="1" x="282"/>
        <item sd="0" x="35"/>
        <item sd="0" x="40"/>
        <item sd="0" x="41"/>
        <item sd="0" x="43"/>
        <item sd="0" x="44"/>
        <item sd="0" m="1" x="232"/>
        <item sd="0" m="1" x="284"/>
        <item sd="0" m="1" x="245"/>
        <item sd="0" m="1" x="230"/>
        <item sd="0" m="1" x="191"/>
        <item sd="0" m="1" x="250"/>
        <item sd="0" m="1" x="285"/>
        <item sd="0" m="1" x="312"/>
        <item sd="0" x="53"/>
        <item sd="0" x="54"/>
        <item sd="0" x="56"/>
        <item sd="0" x="61"/>
        <item sd="0" x="62"/>
        <item sd="0" x="64"/>
        <item sd="0" m="1" x="260"/>
        <item sd="0" m="1" x="297"/>
        <item sd="0" m="1" x="153"/>
        <item sd="0" m="1" x="255"/>
        <item sd="0" m="1" x="305"/>
        <item sd="0" m="1" x="453"/>
        <item sd="0" m="1" x="321"/>
        <item sd="0" m="1" x="420"/>
        <item sd="0" m="1" x="256"/>
        <item sd="0" m="1" x="248"/>
        <item sd="0" m="1" x="200"/>
        <item sd="0" m="1" x="224"/>
        <item sd="0" m="1" x="427"/>
        <item sd="0" m="1" x="410"/>
        <item sd="0" m="1" x="395"/>
        <item sd="0" m="1" x="384"/>
        <item sd="0" x="49"/>
        <item sd="0" m="1" x="386"/>
        <item sd="0" m="1" x="411"/>
        <item sd="0" m="1" x="377"/>
        <item sd="0" m="1" x="101"/>
        <item sd="0" x="48"/>
        <item sd="0" m="1" x="372"/>
        <item sd="0" m="1" x="479"/>
        <item sd="0" x="42"/>
        <item sd="0" m="1" x="152"/>
        <item sd="0" m="1" x="213"/>
        <item sd="0" m="1" x="198"/>
        <item sd="0" m="1" x="159"/>
        <item sd="0" m="1" x="266"/>
        <item sd="0" m="1" x="486"/>
        <item sd="0" m="1" x="319"/>
        <item sd="0" m="1" x="291"/>
        <item sd="0" m="1" x="127"/>
        <item sd="0" m="1" x="67"/>
        <item sd="0" m="1" x="313"/>
        <item sd="0" m="1" x="320"/>
        <item sd="0" m="1" x="151"/>
        <item sd="0" m="1" x="162"/>
        <item sd="0" m="1" x="365"/>
        <item sd="0" m="1" x="366"/>
        <item sd="0" m="1" x="121"/>
        <item sd="0" m="1" x="304"/>
        <item sd="0" m="1" x="258"/>
        <item sd="0" m="1" x="292"/>
        <item sd="0" m="1" x="322"/>
        <item sd="0" m="1" x="398"/>
        <item sd="0" m="1" x="193"/>
        <item sd="0" m="1" x="406"/>
        <item sd="0" m="1" x="393"/>
        <item sd="0" m="1" x="408"/>
        <item sd="0" m="1" x="426"/>
        <item sd="0" m="1" x="389"/>
        <item sd="0" m="1" x="332"/>
        <item sd="0" x="27"/>
        <item sd="0" x="28"/>
        <item sd="0" x="30"/>
        <item sd="0" m="1" x="122"/>
        <item sd="0" m="1" x="405"/>
        <item sd="0" m="1" x="414"/>
        <item sd="0" m="1" x="76"/>
        <item sd="0" m="1" x="215"/>
        <item sd="0" m="1" x="222"/>
        <item sd="0" x="47"/>
        <item sd="0" m="1" x="120"/>
        <item sd="0" m="1" x="138"/>
        <item sd="0" m="1" x="268"/>
        <item sd="0" m="1" x="376"/>
        <item sd="0" m="1" x="413"/>
        <item sd="0" m="1" x="423"/>
        <item sd="0" m="1" x="194"/>
        <item sd="0" m="1" x="99"/>
        <item sd="0" m="1" x="242"/>
        <item sd="0" m="1" x="262"/>
        <item sd="0" m="1" x="112"/>
        <item sd="0" m="1" x="92"/>
        <item sd="0" m="1" x="419"/>
        <item sd="0" m="1" x="73"/>
        <item sd="0" m="1" x="119"/>
        <item sd="0" m="1" x="170"/>
        <item sd="0" m="1" x="229"/>
        <item sd="0" m="1" x="444"/>
        <item sd="0" m="1" x="110"/>
        <item sd="0" m="1" x="106"/>
        <item sd="0" m="1" x="84"/>
        <item sd="0" m="1" x="90"/>
        <item sd="0" m="1" x="91"/>
        <item sd="0" m="1" x="277"/>
        <item sd="0" m="1" x="236"/>
        <item sd="0" m="1" x="244"/>
        <item sd="0" x="19"/>
        <item sd="0" m="1" x="87"/>
        <item sd="0" m="1" x="115"/>
        <item sd="0" m="1" x="165"/>
        <item sd="0" m="1" x="220"/>
        <item sd="0" m="1" x="462"/>
        <item sd="0" m="1" x="435"/>
        <item sd="0" m="1" x="415"/>
        <item sd="0" m="1" x="457"/>
        <item sd="0" m="1" x="375"/>
        <item sd="0" m="1" x="371"/>
        <item sd="0" m="1" x="440"/>
        <item sd="0" m="1" x="448"/>
        <item sd="0" m="1" x="452"/>
        <item sd="0" m="1" x="459"/>
        <item sd="0" m="1" x="465"/>
        <item sd="0" m="1" x="469"/>
        <item sd="0" m="1" x="265"/>
        <item sd="0" x="33"/>
        <item sd="0" m="1" x="489"/>
        <item sd="0" m="1" x="74"/>
        <item sd="0" m="1" x="219"/>
        <item sd="0" m="1" x="352"/>
        <item sd="0" m="1" x="356"/>
        <item sd="0" m="1" x="187"/>
        <item sd="0" m="1" x="283"/>
        <item sd="0" m="1" x="88"/>
        <item sd="0" m="1" x="210"/>
        <item sd="0" m="1" x="129"/>
        <item sd="0" m="1" x="271"/>
        <item sd="0" m="1" x="437"/>
        <item sd="0" m="1" x="421"/>
        <item sd="0" m="1" x="409"/>
        <item sd="0" m="1" x="132"/>
        <item sd="0" x="23"/>
        <item sd="0" x="24"/>
        <item sd="0" x="25"/>
        <item sd="0" x="31"/>
        <item sd="0" x="39"/>
        <item sd="0" x="45"/>
        <item sd="0" x="46"/>
        <item sd="0" x="58"/>
        <item t="default" sd="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numFmtId="21" showAll="0">
      <extLst>
        <ext xmlns:x14="http://schemas.microsoft.com/office/spreadsheetml/2009/9/main" uri="{2946ED86-A175-432a-8AC1-64E0C546D7DE}">
          <x14:pivotField fillDownLabels="1"/>
        </ext>
      </extLst>
    </pivotField>
    <pivotField dataField="1" numFmtId="3" showAll="0">
      <extLst>
        <ext xmlns:x14="http://schemas.microsoft.com/office/spreadsheetml/2009/9/main" uri="{2946ED86-A175-432a-8AC1-64E0C546D7DE}">
          <x14:pivotField fillDownLabels="1"/>
        </ext>
      </extLst>
    </pivotField>
    <pivotField numFmtId="165"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multipleItemSelectionAllowed="1" showAll="0">
      <items count="4">
        <item x="0"/>
        <item h="1" x="1"/>
        <item m="1"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multipleItemSelectionAllowed="1" showAll="0">
      <items count="5">
        <item h="1" x="2"/>
        <item h="1" x="1"/>
        <item x="0"/>
        <item m="1"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2">
    <field x="2"/>
    <field x="1"/>
  </rowFields>
  <rowItems count="54">
    <i>
      <x v="71"/>
    </i>
    <i>
      <x v="72"/>
    </i>
    <i>
      <x v="64"/>
    </i>
    <i>
      <x v="356"/>
    </i>
    <i>
      <x v="233"/>
    </i>
    <i>
      <x v="209"/>
    </i>
    <i>
      <x v="154"/>
    </i>
    <i>
      <x v="77"/>
    </i>
    <i>
      <x v="153"/>
    </i>
    <i>
      <x v="325"/>
    </i>
    <i>
      <x v="65"/>
    </i>
    <i>
      <x v="421"/>
    </i>
    <i>
      <x v="85"/>
    </i>
    <i>
      <x v="66"/>
    </i>
    <i>
      <x v="296"/>
    </i>
    <i>
      <x v="340"/>
    </i>
    <i>
      <x v="414"/>
    </i>
    <i>
      <x v="105"/>
    </i>
    <i>
      <x v="379"/>
    </i>
    <i>
      <x v="281"/>
    </i>
    <i>
      <x v="413"/>
    </i>
    <i>
      <x v="374"/>
    </i>
    <i>
      <x v="78"/>
    </i>
    <i>
      <x v="354"/>
    </i>
    <i>
      <x v="484"/>
    </i>
    <i>
      <x v="324"/>
    </i>
    <i>
      <x v="79"/>
    </i>
    <i>
      <x v="155"/>
    </i>
    <i>
      <x v="239"/>
    </i>
    <i>
      <x v="265"/>
    </i>
    <i>
      <x v="342"/>
    </i>
    <i>
      <x v="339"/>
    </i>
    <i>
      <x v="355"/>
    </i>
    <i>
      <x v="357"/>
    </i>
    <i>
      <x v="217"/>
    </i>
    <i>
      <x v="412"/>
    </i>
    <i>
      <x v="80"/>
    </i>
    <i>
      <x v="214"/>
    </i>
    <i>
      <x v="483"/>
    </i>
    <i>
      <x v="208"/>
    </i>
    <i>
      <x v="215"/>
    </i>
    <i>
      <x v="67"/>
    </i>
    <i>
      <x v="485"/>
    </i>
    <i>
      <x v="488"/>
    </i>
    <i>
      <x v="343"/>
    </i>
    <i>
      <x v="3"/>
    </i>
    <i>
      <x v="382"/>
    </i>
    <i>
      <x v="341"/>
    </i>
    <i>
      <x v="4"/>
    </i>
    <i>
      <x v="487"/>
    </i>
    <i>
      <x v="482"/>
    </i>
    <i>
      <x v="486"/>
    </i>
    <i>
      <x v="330"/>
    </i>
    <i t="grand">
      <x/>
    </i>
  </rowItems>
  <colFields count="1">
    <field x="-2"/>
  </colFields>
  <colItems count="3">
    <i>
      <x/>
    </i>
    <i i="1">
      <x v="1"/>
    </i>
    <i i="2">
      <x v="2"/>
    </i>
  </colItems>
  <pageFields count="2">
    <pageField fld="11" hier="-1"/>
    <pageField fld="13" hier="-1"/>
  </pageFields>
  <dataFields count="3">
    <dataField name="Sum of Audience" fld="5" baseField="0" baseItem="0" numFmtId="3"/>
    <dataField name="Sum of Broadcast Duration" fld="4" baseField="0" baseItem="0" numFmtId="46"/>
    <dataField name="Sum of Rolex N"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18A4F4C-5A6C-4E34-B250-A05A0E2936C2}" name="PivotTable4" cacheId="4"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D14" firstHeaderRow="0" firstDataRow="1" firstDataCol="1" rowPageCount="1" colPageCount="1"/>
  <pivotFields count="17">
    <pivotField subtotalTop="0" showAll="0"/>
    <pivotField axis="axisPage" subtotalTop="0" multipleItemSelectionAllowed="1" showAll="0">
      <items count="188">
        <item m="1" x="139"/>
        <item m="1" x="151"/>
        <item x="14"/>
        <item m="1" x="57"/>
        <item m="1" x="177"/>
        <item m="1" x="176"/>
        <item m="1" x="160"/>
        <item m="1" x="70"/>
        <item m="1" x="175"/>
        <item m="1" x="45"/>
        <item m="1" x="68"/>
        <item h="1" x="6"/>
        <item m="1" x="155"/>
        <item m="1" x="82"/>
        <item m="1" x="101"/>
        <item m="1" x="179"/>
        <item m="1" x="148"/>
        <item m="1" x="163"/>
        <item m="1" x="99"/>
        <item m="1" x="104"/>
        <item m="1" x="66"/>
        <item m="1" x="77"/>
        <item m="1" x="125"/>
        <item m="1" x="129"/>
        <item m="1" x="59"/>
        <item m="1" x="22"/>
        <item m="1" x="80"/>
        <item m="1" x="43"/>
        <item m="1" x="84"/>
        <item m="1" x="94"/>
        <item m="1" x="51"/>
        <item m="1" x="182"/>
        <item m="1" x="21"/>
        <item m="1" x="131"/>
        <item m="1" x="36"/>
        <item m="1" x="128"/>
        <item m="1" x="67"/>
        <item m="1" x="167"/>
        <item m="1" x="138"/>
        <item m="1" x="37"/>
        <item m="1" x="117"/>
        <item m="1" x="78"/>
        <item m="1" x="91"/>
        <item m="1" x="32"/>
        <item m="1" x="118"/>
        <item m="1" x="103"/>
        <item m="1" x="171"/>
        <item m="1" x="27"/>
        <item m="1" x="166"/>
        <item m="1" x="158"/>
        <item m="1" x="112"/>
        <item m="1" x="95"/>
        <item m="1" x="62"/>
        <item m="1" x="75"/>
        <item m="1" x="121"/>
        <item m="1" x="23"/>
        <item m="1" x="152"/>
        <item m="1" x="71"/>
        <item m="1" x="102"/>
        <item m="1" x="29"/>
        <item m="1" x="140"/>
        <item m="1" x="56"/>
        <item m="1" x="156"/>
        <item m="1" x="150"/>
        <item m="1" x="154"/>
        <item m="1" x="172"/>
        <item m="1" x="40"/>
        <item m="1" x="58"/>
        <item m="1" x="135"/>
        <item m="1" x="88"/>
        <item m="1" x="142"/>
        <item m="1" x="122"/>
        <item m="1" x="96"/>
        <item m="1" x="60"/>
        <item m="1" x="178"/>
        <item m="1" x="64"/>
        <item m="1" x="153"/>
        <item m="1" x="90"/>
        <item m="1" x="183"/>
        <item m="1" x="98"/>
        <item m="1" x="132"/>
        <item m="1" x="52"/>
        <item m="1" x="92"/>
        <item m="1" x="113"/>
        <item m="1" x="164"/>
        <item m="1" x="136"/>
        <item m="1" x="127"/>
        <item m="1" x="79"/>
        <item m="1" x="65"/>
        <item m="1" x="30"/>
        <item m="1" x="41"/>
        <item m="1" x="134"/>
        <item m="1" x="72"/>
        <item m="1" x="85"/>
        <item m="1" x="111"/>
        <item m="1" x="180"/>
        <item m="1" x="157"/>
        <item m="1" x="137"/>
        <item m="1" x="109"/>
        <item m="1" x="49"/>
        <item m="1" x="87"/>
        <item m="1" x="107"/>
        <item m="1" x="55"/>
        <item m="1" x="74"/>
        <item m="1" x="83"/>
        <item m="1" x="38"/>
        <item m="1" x="185"/>
        <item m="1" x="47"/>
        <item m="1" x="145"/>
        <item m="1" x="81"/>
        <item m="1" x="146"/>
        <item m="1" x="159"/>
        <item m="1" x="26"/>
        <item m="1" x="33"/>
        <item m="1" x="173"/>
        <item m="1" x="54"/>
        <item m="1" x="50"/>
        <item m="1" x="119"/>
        <item m="1" x="53"/>
        <item m="1" x="170"/>
        <item m="1" x="34"/>
        <item m="1" x="39"/>
        <item m="1" x="89"/>
        <item m="1" x="162"/>
        <item m="1" x="143"/>
        <item m="1" x="24"/>
        <item m="1" x="28"/>
        <item m="1" x="161"/>
        <item m="1" x="35"/>
        <item m="1" x="184"/>
        <item m="1" x="48"/>
        <item m="1" x="106"/>
        <item m="1" x="46"/>
        <item m="1" x="86"/>
        <item m="1" x="114"/>
        <item h="1" x="0"/>
        <item m="1" x="141"/>
        <item h="1" x="5"/>
        <item m="1" x="31"/>
        <item m="1" x="73"/>
        <item m="1" x="174"/>
        <item m="1" x="149"/>
        <item m="1" x="130"/>
        <item m="1" x="108"/>
        <item m="1" x="63"/>
        <item m="1" x="186"/>
        <item m="1" x="44"/>
        <item m="1" x="69"/>
        <item m="1" x="133"/>
        <item m="1" x="120"/>
        <item m="1" x="147"/>
        <item m="1" x="93"/>
        <item m="1" x="165"/>
        <item h="1" x="2"/>
        <item m="1" x="169"/>
        <item m="1" x="105"/>
        <item h="1" x="13"/>
        <item m="1" x="76"/>
        <item m="1" x="126"/>
        <item m="1" x="61"/>
        <item m="1" x="100"/>
        <item m="1" x="42"/>
        <item m="1" x="123"/>
        <item m="1" x="116"/>
        <item m="1" x="97"/>
        <item m="1" x="25"/>
        <item h="1" m="1" x="168"/>
        <item m="1" x="144"/>
        <item m="1" x="181"/>
        <item h="1" x="20"/>
        <item h="1" x="8"/>
        <item h="1" x="9"/>
        <item h="1" m="1" x="124"/>
        <item h="1" m="1" x="110"/>
        <item h="1" m="1" x="115"/>
        <item h="1" x="1"/>
        <item h="1" x="3"/>
        <item h="1" x="4"/>
        <item h="1" x="7"/>
        <item h="1" x="10"/>
        <item h="1" x="11"/>
        <item h="1" x="12"/>
        <item h="1" x="15"/>
        <item h="1" x="16"/>
        <item h="1" x="17"/>
        <item h="1" x="18"/>
        <item h="1" x="19"/>
        <item t="default"/>
      </items>
    </pivotField>
    <pivotField axis="axisRow" subtotalTop="0" showAll="0" sortType="descending">
      <items count="366">
        <item x="32"/>
        <item x="0"/>
        <item x="21"/>
        <item x="4"/>
        <item m="1" x="114"/>
        <item x="43"/>
        <item m="1" x="90"/>
        <item m="1" x="299"/>
        <item x="17"/>
        <item m="1" x="213"/>
        <item m="1" x="286"/>
        <item m="1" x="118"/>
        <item m="1" x="357"/>
        <item m="1" x="351"/>
        <item m="1" x="216"/>
        <item m="1" x="168"/>
        <item m="1" x="332"/>
        <item m="1" x="170"/>
        <item m="1" x="70"/>
        <item m="1" x="217"/>
        <item m="1" x="358"/>
        <item m="1" x="176"/>
        <item m="1" x="346"/>
        <item m="1" x="117"/>
        <item m="1" x="293"/>
        <item m="1" x="89"/>
        <item m="1" x="128"/>
        <item m="1" x="175"/>
        <item m="1" x="224"/>
        <item m="1" x="211"/>
        <item m="1" x="338"/>
        <item m="1" x="314"/>
        <item m="1" x="238"/>
        <item m="1" x="124"/>
        <item m="1" x="227"/>
        <item m="1" x="85"/>
        <item m="1" x="325"/>
        <item m="1" x="150"/>
        <item m="1" x="330"/>
        <item m="1" x="335"/>
        <item m="1" x="51"/>
        <item m="1" x="297"/>
        <item m="1" x="56"/>
        <item m="1" x="58"/>
        <item m="1" x="63"/>
        <item m="1" x="143"/>
        <item m="1" x="147"/>
        <item m="1" x="172"/>
        <item m="1" x="131"/>
        <item m="1" x="134"/>
        <item m="1" x="144"/>
        <item m="1" x="126"/>
        <item m="1" x="221"/>
        <item m="1" x="146"/>
        <item m="1" x="361"/>
        <item m="1" x="237"/>
        <item m="1" x="234"/>
        <item m="1" x="305"/>
        <item m="1" x="298"/>
        <item m="1" x="273"/>
        <item m="1" x="52"/>
        <item m="1" x="188"/>
        <item m="1" x="95"/>
        <item m="1" x="300"/>
        <item m="1" x="53"/>
        <item m="1" x="132"/>
        <item m="1" x="189"/>
        <item m="1" x="96"/>
        <item m="1" x="54"/>
        <item m="1" x="133"/>
        <item m="1" x="190"/>
        <item m="1" x="97"/>
        <item m="1" x="55"/>
        <item m="1" x="191"/>
        <item m="1" x="98"/>
        <item m="1" x="135"/>
        <item m="1" x="192"/>
        <item m="1" x="99"/>
        <item m="1" x="57"/>
        <item m="1" x="136"/>
        <item m="1" x="193"/>
        <item m="1" x="100"/>
        <item m="1" x="137"/>
        <item m="1" x="194"/>
        <item m="1" x="101"/>
        <item m="1" x="59"/>
        <item m="1" x="138"/>
        <item m="1" x="195"/>
        <item m="1" x="102"/>
        <item m="1" x="60"/>
        <item m="1" x="139"/>
        <item m="1" x="196"/>
        <item m="1" x="103"/>
        <item m="1" x="61"/>
        <item m="1" x="140"/>
        <item m="1" x="197"/>
        <item m="1" x="104"/>
        <item m="1" x="141"/>
        <item m="1" x="198"/>
        <item m="1" x="105"/>
        <item m="1" x="199"/>
        <item m="1" x="106"/>
        <item m="1" x="200"/>
        <item m="1" x="107"/>
        <item m="1" x="201"/>
        <item m="1" x="108"/>
        <item m="1" x="66"/>
        <item m="1" x="145"/>
        <item m="1" x="202"/>
        <item m="1" x="109"/>
        <item m="1" x="67"/>
        <item m="1" x="203"/>
        <item m="1" x="110"/>
        <item m="1" x="68"/>
        <item m="1" x="204"/>
        <item m="1" x="111"/>
        <item m="1" x="285"/>
        <item m="1" x="69"/>
        <item m="1" x="148"/>
        <item m="1" x="205"/>
        <item m="1" x="112"/>
        <item m="1" x="342"/>
        <item m="1" x="242"/>
        <item m="1" x="278"/>
        <item m="1" x="212"/>
        <item m="1" x="80"/>
        <item m="1" x="62"/>
        <item m="1" x="246"/>
        <item m="1" x="79"/>
        <item m="1" x="94"/>
        <item m="1" x="322"/>
        <item m="1" x="74"/>
        <item m="1" x="309"/>
        <item m="1" x="320"/>
        <item m="1" x="87"/>
        <item m="1" x="319"/>
        <item m="1" x="249"/>
        <item m="1" x="254"/>
        <item m="1" x="256"/>
        <item m="1" x="258"/>
        <item m="1" x="261"/>
        <item m="1" x="263"/>
        <item m="1" x="267"/>
        <item m="1" x="268"/>
        <item m="1" x="270"/>
        <item m="1" x="331"/>
        <item m="1" x="271"/>
        <item m="1" x="315"/>
        <item m="1" x="339"/>
        <item m="1" x="316"/>
        <item m="1" x="241"/>
        <item m="1" x="343"/>
        <item m="1" x="251"/>
        <item m="1" x="334"/>
        <item m="1" x="310"/>
        <item m="1" x="229"/>
        <item m="1" x="287"/>
        <item m="1" x="349"/>
        <item m="1" x="279"/>
        <item m="1" x="169"/>
        <item m="1" x="228"/>
        <item m="1" x="245"/>
        <item m="1" x="291"/>
        <item x="48"/>
        <item m="1" x="333"/>
        <item x="2"/>
        <item x="35"/>
        <item m="1" x="296"/>
        <item m="1" x="231"/>
        <item m="1" x="328"/>
        <item m="1" x="236"/>
        <item m="1" x="149"/>
        <item m="1" x="123"/>
        <item m="1" x="362"/>
        <item m="1" x="355"/>
        <item m="1" x="240"/>
        <item m="1" x="303"/>
        <item m="1" x="295"/>
        <item m="1" x="65"/>
        <item m="1" x="151"/>
        <item m="1" x="209"/>
        <item m="1" x="272"/>
        <item m="1" x="208"/>
        <item m="1" x="64"/>
        <item m="1" x="306"/>
        <item m="1" x="275"/>
        <item m="1" x="264"/>
        <item m="1" x="269"/>
        <item m="1" x="210"/>
        <item m="1" x="252"/>
        <item m="1" x="218"/>
        <item m="1" x="219"/>
        <item m="1" x="301"/>
        <item m="1" x="121"/>
        <item m="1" x="142"/>
        <item x="47"/>
        <item m="1" x="161"/>
        <item m="1" x="222"/>
        <item m="1" x="344"/>
        <item x="8"/>
        <item m="1" x="73"/>
        <item m="1" x="88"/>
        <item m="1" x="220"/>
        <item m="1" x="167"/>
        <item m="1" x="323"/>
        <item m="1" x="276"/>
        <item m="1" x="226"/>
        <item m="1" x="125"/>
        <item m="1" x="127"/>
        <item m="1" x="166"/>
        <item m="1" x="288"/>
        <item m="1" x="341"/>
        <item m="1" x="321"/>
        <item x="28"/>
        <item m="1" x="76"/>
        <item m="1" x="93"/>
        <item m="1" x="152"/>
        <item m="1" x="156"/>
        <item m="1" x="159"/>
        <item m="1" x="164"/>
        <item m="1" x="165"/>
        <item m="1" x="82"/>
        <item m="1" x="302"/>
        <item m="1" x="153"/>
        <item m="1" x="154"/>
        <item m="1" x="155"/>
        <item m="1" x="158"/>
        <item m="1" x="160"/>
        <item m="1" x="163"/>
        <item m="1" x="289"/>
        <item m="1" x="122"/>
        <item m="1" x="86"/>
        <item m="1" x="281"/>
        <item m="1" x="282"/>
        <item m="1" x="283"/>
        <item m="1" x="284"/>
        <item m="1" x="230"/>
        <item m="1" x="292"/>
        <item m="1" x="223"/>
        <item m="1" x="177"/>
        <item m="1" x="178"/>
        <item m="1" x="179"/>
        <item m="1" x="180"/>
        <item m="1" x="182"/>
        <item m="1" x="183"/>
        <item m="1" x="184"/>
        <item m="1" x="185"/>
        <item m="1" x="186"/>
        <item m="1" x="187"/>
        <item m="1" x="311"/>
        <item m="1" x="317"/>
        <item m="1" x="257"/>
        <item m="1" x="260"/>
        <item m="1" x="262"/>
        <item m="1" x="265"/>
        <item m="1" x="352"/>
        <item m="1" x="72"/>
        <item m="1" x="120"/>
        <item m="1" x="233"/>
        <item m="1" x="232"/>
        <item m="1" x="280"/>
        <item m="1" x="340"/>
        <item m="1" x="181"/>
        <item m="1" x="248"/>
        <item m="1" x="290"/>
        <item m="1" x="81"/>
        <item m="1" x="336"/>
        <item m="1" x="243"/>
        <item m="1" x="84"/>
        <item m="1" x="318"/>
        <item m="1" x="253"/>
        <item m="1" x="71"/>
        <item m="1" x="327"/>
        <item x="24"/>
        <item m="1" x="364"/>
        <item m="1" x="215"/>
        <item m="1" x="255"/>
        <item m="1" x="259"/>
        <item m="1" x="266"/>
        <item m="1" x="207"/>
        <item m="1" x="326"/>
        <item m="1" x="354"/>
        <item m="1" x="92"/>
        <item x="13"/>
        <item m="1" x="214"/>
        <item m="1" x="157"/>
        <item m="1" x="162"/>
        <item m="1" x="359"/>
        <item m="1" x="129"/>
        <item m="1" x="113"/>
        <item x="37"/>
        <item m="1" x="313"/>
        <item m="1" x="91"/>
        <item m="1" x="345"/>
        <item m="1" x="171"/>
        <item m="1" x="347"/>
        <item m="1" x="250"/>
        <item m="1" x="348"/>
        <item m="1" x="337"/>
        <item m="1" x="353"/>
        <item x="6"/>
        <item x="1"/>
        <item m="1" x="130"/>
        <item m="1" x="116"/>
        <item x="40"/>
        <item m="1" x="277"/>
        <item m="1" x="329"/>
        <item m="1" x="308"/>
        <item x="29"/>
        <item m="1" x="235"/>
        <item m="1" x="77"/>
        <item x="12"/>
        <item m="1" x="78"/>
        <item x="10"/>
        <item m="1" x="363"/>
        <item x="49"/>
        <item x="25"/>
        <item x="22"/>
        <item x="23"/>
        <item m="1" x="294"/>
        <item m="1" x="115"/>
        <item x="33"/>
        <item m="1" x="307"/>
        <item x="19"/>
        <item m="1" x="274"/>
        <item m="1" x="304"/>
        <item m="1" x="174"/>
        <item m="1" x="324"/>
        <item m="1" x="225"/>
        <item m="1" x="360"/>
        <item m="1" x="244"/>
        <item m="1" x="350"/>
        <item m="1" x="119"/>
        <item x="50"/>
        <item x="11"/>
        <item x="30"/>
        <item x="46"/>
        <item x="18"/>
        <item m="1" x="312"/>
        <item m="1" x="75"/>
        <item m="1" x="83"/>
        <item m="1" x="356"/>
        <item m="1" x="247"/>
        <item m="1" x="239"/>
        <item m="1" x="173"/>
        <item m="1" x="206"/>
        <item x="3"/>
        <item x="5"/>
        <item x="7"/>
        <item x="9"/>
        <item x="14"/>
        <item x="15"/>
        <item x="16"/>
        <item x="20"/>
        <item x="26"/>
        <item x="27"/>
        <item x="31"/>
        <item x="34"/>
        <item x="36"/>
        <item x="38"/>
        <item x="39"/>
        <item x="41"/>
        <item x="42"/>
        <item x="44"/>
        <item x="45"/>
        <item t="default"/>
      </items>
      <autoSortScope>
        <pivotArea dataOnly="0" outline="0" fieldPosition="0">
          <references count="1">
            <reference field="4294967294" count="1" selected="0">
              <x v="1"/>
            </reference>
          </references>
        </pivotArea>
      </autoSortScope>
    </pivotField>
    <pivotField numFmtId="46" showAll="0" defaultSubtotal="0"/>
    <pivotField subtotalTop="0" showAll="0"/>
    <pivotField numFmtId="46" showAll="0" defaultSubtotal="0"/>
    <pivotField subtotalTop="0" showAll="0"/>
    <pivotField dataField="1" subtotalTop="0" showAll="0"/>
    <pivotField subtotalTop="0" showAll="0"/>
    <pivotField subtotalTop="0" showAll="0"/>
    <pivotField showAll="0" defaultSubtotal="0"/>
    <pivotField showAll="0" defaultSubtotal="0"/>
    <pivotField subtotalTop="0" showAll="0"/>
    <pivotField showAll="0" defaultSubtotal="0"/>
    <pivotField showAll="0" defaultSubtotal="0"/>
    <pivotField dataField="1" subtotalTop="0" dragToRow="0" dragToCol="0" dragToPage="0" showAll="0" defaultSubtotal="0"/>
    <pivotField dragToRow="0" dragToCol="0" dragToPage="0" showAll="0" defaultSubtotal="0"/>
  </pivotFields>
  <rowFields count="1">
    <field x="2"/>
  </rowFields>
  <rowItems count="10">
    <i>
      <x/>
    </i>
    <i>
      <x v="356"/>
    </i>
    <i>
      <x v="347"/>
    </i>
    <i>
      <x v="353"/>
    </i>
    <i>
      <x v="357"/>
    </i>
    <i>
      <x v="199"/>
    </i>
    <i>
      <x v="321"/>
    </i>
    <i>
      <x v="1"/>
    </i>
    <i>
      <x v="301"/>
    </i>
    <i t="grand">
      <x/>
    </i>
  </rowItems>
  <colFields count="1">
    <field x="-2"/>
  </colFields>
  <colItems count="3">
    <i>
      <x/>
    </i>
    <i i="1">
      <x v="1"/>
    </i>
    <i i="2">
      <x v="2"/>
    </i>
  </colItems>
  <pageFields count="1">
    <pageField fld="1" hier="-1"/>
  </pageFields>
  <dataFields count="3">
    <dataField name="Sum of Total EXP (hh:mm:ss)" fld="15" baseField="0" baseItem="0" numFmtId="46"/>
    <dataField name="Sum of Net" fld="7" baseField="0" baseItem="0" numFmtId="3"/>
    <dataField name="Sum of Net2" fld="7" showDataAs="percentOfTota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1600-000000000000}" name="PivotTable3" cacheId="3"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5:D12" firstHeaderRow="0" firstDataRow="1" firstDataCol="1" rowPageCount="1" colPageCount="1"/>
  <pivotFields count="17">
    <pivotField subtotalTop="0" showAll="0"/>
    <pivotField axis="axisPage" subtotalTop="0" showAll="0">
      <items count="144">
        <item m="1" x="123"/>
        <item m="1" x="130"/>
        <item m="1" x="32"/>
        <item m="1" x="52"/>
        <item m="1" x="107"/>
        <item m="1" x="33"/>
        <item m="1" x="70"/>
        <item m="1" x="37"/>
        <item m="1" x="109"/>
        <item m="1" x="111"/>
        <item m="1" x="134"/>
        <item m="1" x="61"/>
        <item m="1" x="87"/>
        <item m="1" x="51"/>
        <item m="1" x="34"/>
        <item m="1" x="30"/>
        <item m="1" x="63"/>
        <item m="1" x="133"/>
        <item m="1" x="142"/>
        <item m="1" x="117"/>
        <item m="1" x="24"/>
        <item m="1" x="60"/>
        <item m="1" x="29"/>
        <item m="1" x="59"/>
        <item x="7"/>
        <item m="1" x="122"/>
        <item m="1" x="81"/>
        <item m="1" x="53"/>
        <item m="1" x="73"/>
        <item m="1" x="68"/>
        <item m="1" x="100"/>
        <item m="1" x="84"/>
        <item m="1" x="136"/>
        <item m="1" x="65"/>
        <item m="1" x="95"/>
        <item m="1" x="131"/>
        <item m="1" x="118"/>
        <item m="1" x="23"/>
        <item m="1" x="124"/>
        <item m="1" x="57"/>
        <item m="1" x="78"/>
        <item m="1" x="83"/>
        <item m="1" x="93"/>
        <item m="1" x="47"/>
        <item m="1" x="74"/>
        <item m="1" x="58"/>
        <item m="1" x="69"/>
        <item m="1" x="104"/>
        <item m="1" x="49"/>
        <item m="1" x="94"/>
        <item m="1" x="88"/>
        <item m="1" x="42"/>
        <item m="1" x="114"/>
        <item m="1" x="105"/>
        <item m="1" x="54"/>
        <item m="1" x="106"/>
        <item m="1" x="55"/>
        <item m="1" x="135"/>
        <item m="1" x="115"/>
        <item m="1" x="76"/>
        <item m="1" x="126"/>
        <item m="1" x="96"/>
        <item m="1" x="71"/>
        <item m="1" x="38"/>
        <item m="1" x="40"/>
        <item m="1" x="119"/>
        <item m="1" x="77"/>
        <item x="15"/>
        <item m="1" x="110"/>
        <item m="1" x="45"/>
        <item m="1" x="102"/>
        <item m="1" x="39"/>
        <item m="1" x="128"/>
        <item m="1" x="44"/>
        <item m="1" x="121"/>
        <item m="1" x="139"/>
        <item m="1" x="75"/>
        <item m="1" x="80"/>
        <item m="1" x="120"/>
        <item m="1" x="48"/>
        <item m="1" x="46"/>
        <item m="1" x="25"/>
        <item m="1" x="85"/>
        <item m="1" x="113"/>
        <item m="1" x="138"/>
        <item m="1" x="36"/>
        <item m="1" x="89"/>
        <item m="1" x="21"/>
        <item x="0"/>
        <item m="1" x="112"/>
        <item x="6"/>
        <item m="1" x="27"/>
        <item m="1" x="50"/>
        <item m="1" x="35"/>
        <item m="1" x="90"/>
        <item m="1" x="91"/>
        <item m="1" x="56"/>
        <item m="1" x="141"/>
        <item m="1" x="28"/>
        <item m="1" x="41"/>
        <item m="1" x="62"/>
        <item m="1" x="108"/>
        <item m="1" x="64"/>
        <item m="1" x="66"/>
        <item m="1" x="125"/>
        <item m="1" x="79"/>
        <item m="1" x="129"/>
        <item m="1" x="86"/>
        <item m="1" x="72"/>
        <item m="1" x="99"/>
        <item m="1" x="26"/>
        <item m="1" x="31"/>
        <item m="1" x="132"/>
        <item m="1" x="101"/>
        <item m="1" x="67"/>
        <item m="1" x="140"/>
        <item m="1" x="43"/>
        <item m="1" x="98"/>
        <item x="3"/>
        <item m="1" x="82"/>
        <item m="1" x="22"/>
        <item m="1" x="127"/>
        <item m="1" x="116"/>
        <item m="1" x="137"/>
        <item x="20"/>
        <item x="9"/>
        <item x="10"/>
        <item m="1" x="103"/>
        <item x="14"/>
        <item m="1" x="92"/>
        <item m="1" x="97"/>
        <item x="1"/>
        <item x="2"/>
        <item x="4"/>
        <item x="5"/>
        <item x="8"/>
        <item x="11"/>
        <item x="12"/>
        <item x="13"/>
        <item x="16"/>
        <item x="17"/>
        <item x="18"/>
        <item x="19"/>
        <item t="default"/>
      </items>
    </pivotField>
    <pivotField axis="axisRow" subtotalTop="0" showAll="0" sortType="descending">
      <items count="241">
        <item m="1" x="138"/>
        <item m="1" x="178"/>
        <item m="1" x="66"/>
        <item m="1" x="155"/>
        <item m="1" x="94"/>
        <item m="1" x="195"/>
        <item m="1" x="69"/>
        <item m="1" x="95"/>
        <item m="1" x="197"/>
        <item m="1" x="71"/>
        <item m="1" x="96"/>
        <item m="1" x="198"/>
        <item m="1" x="57"/>
        <item m="1" x="86"/>
        <item m="1" x="127"/>
        <item m="1" x="97"/>
        <item m="1" x="199"/>
        <item m="1" x="58"/>
        <item m="1" x="88"/>
        <item m="1" x="158"/>
        <item m="1" x="98"/>
        <item m="1" x="200"/>
        <item m="1" x="59"/>
        <item m="1" x="89"/>
        <item m="1" x="128"/>
        <item m="1" x="99"/>
        <item m="1" x="201"/>
        <item m="1" x="111"/>
        <item m="1" x="159"/>
        <item m="1" x="100"/>
        <item m="1" x="202"/>
        <item m="1" x="60"/>
        <item m="1" x="215"/>
        <item m="1" x="129"/>
        <item m="1" x="160"/>
        <item m="1" x="101"/>
        <item m="1" x="216"/>
        <item m="1" x="130"/>
        <item m="1" x="102"/>
        <item m="1" x="204"/>
        <item m="1" x="175"/>
        <item m="1" x="205"/>
        <item m="1" x="217"/>
        <item m="1" x="103"/>
        <item m="1" x="206"/>
        <item m="1" x="218"/>
        <item m="1" x="104"/>
        <item m="1" x="207"/>
        <item m="1" x="61"/>
        <item m="1" x="105"/>
        <item m="1" x="208"/>
        <item m="1" x="62"/>
        <item m="1" x="131"/>
        <item m="1" x="222"/>
        <item m="1" x="117"/>
        <item m="1" x="132"/>
        <item m="1" x="106"/>
        <item m="1" x="210"/>
        <item m="1" x="165"/>
        <item m="1" x="118"/>
        <item m="1" x="176"/>
        <item m="1" x="133"/>
        <item m="1" x="164"/>
        <item m="1" x="107"/>
        <item m="1" x="211"/>
        <item m="1" x="63"/>
        <item m="1" x="123"/>
        <item m="1" x="184"/>
        <item m="1" x="142"/>
        <item m="1" x="225"/>
        <item m="1" x="226"/>
        <item m="1" x="140"/>
        <item x="39"/>
        <item m="1" x="177"/>
        <item x="6"/>
        <item m="1" x="192"/>
        <item m="1" x="72"/>
        <item x="53"/>
        <item m="1" x="137"/>
        <item m="1" x="228"/>
        <item x="47"/>
        <item m="1" x="64"/>
        <item m="1" x="144"/>
        <item m="1" x="147"/>
        <item m="1" x="194"/>
        <item m="1" x="236"/>
        <item m="1" x="124"/>
        <item m="1" x="169"/>
        <item m="1" x="145"/>
        <item m="1" x="151"/>
        <item m="1" x="149"/>
        <item m="1" x="229"/>
        <item m="1" x="179"/>
        <item m="1" x="122"/>
        <item m="1" x="156"/>
        <item m="1" x="157"/>
        <item m="1" x="163"/>
        <item m="1" x="68"/>
        <item m="1" x="224"/>
        <item m="1" x="235"/>
        <item m="1" x="134"/>
        <item m="1" x="65"/>
        <item m="1" x="221"/>
        <item m="1" x="214"/>
        <item m="1" x="56"/>
        <item m="1" x="90"/>
        <item x="46"/>
        <item m="1" x="73"/>
        <item m="1" x="186"/>
        <item m="1" x="187"/>
        <item m="1" x="188"/>
        <item m="1" x="189"/>
        <item m="1" x="190"/>
        <item m="1" x="191"/>
        <item m="1" x="212"/>
        <item m="1" x="87"/>
        <item m="1" x="136"/>
        <item m="1" x="220"/>
        <item m="1" x="183"/>
        <item m="1" x="170"/>
        <item m="1" x="168"/>
        <item m="1" x="167"/>
        <item m="1" x="171"/>
        <item x="28"/>
        <item x="18"/>
        <item x="29"/>
        <item m="1" x="230"/>
        <item x="4"/>
        <item m="1" x="234"/>
        <item m="1" x="139"/>
        <item x="54"/>
        <item m="1" x="70"/>
        <item m="1" x="238"/>
        <item m="1" x="141"/>
        <item m="1" x="108"/>
        <item x="35"/>
        <item x="16"/>
        <item m="1" x="239"/>
        <item x="42"/>
        <item m="1" x="154"/>
        <item m="1" x="213"/>
        <item m="1" x="92"/>
        <item x="12"/>
        <item m="1" x="219"/>
        <item m="1" x="231"/>
        <item m="1" x="109"/>
        <item m="1" x="125"/>
        <item m="1" x="146"/>
        <item m="1" x="150"/>
        <item m="1" x="166"/>
        <item x="36"/>
        <item m="1" x="227"/>
        <item m="1" x="233"/>
        <item m="1" x="135"/>
        <item m="1" x="174"/>
        <item m="1" x="152"/>
        <item m="1" x="182"/>
        <item m="1" x="67"/>
        <item m="1" x="153"/>
        <item m="1" x="93"/>
        <item m="1" x="180"/>
        <item m="1" x="193"/>
        <item m="1" x="232"/>
        <item m="1" x="74"/>
        <item m="1" x="196"/>
        <item m="1" x="75"/>
        <item m="1" x="76"/>
        <item m="1" x="77"/>
        <item m="1" x="78"/>
        <item m="1" x="79"/>
        <item m="1" x="203"/>
        <item m="1" x="173"/>
        <item m="1" x="80"/>
        <item m="1" x="112"/>
        <item m="1" x="113"/>
        <item m="1" x="81"/>
        <item m="1" x="114"/>
        <item m="1" x="82"/>
        <item m="1" x="115"/>
        <item m="1" x="83"/>
        <item m="1" x="116"/>
        <item m="1" x="209"/>
        <item m="1" x="84"/>
        <item m="1" x="85"/>
        <item m="1" x="185"/>
        <item m="1" x="161"/>
        <item m="1" x="181"/>
        <item m="1" x="148"/>
        <item m="1" x="223"/>
        <item m="1" x="119"/>
        <item m="1" x="162"/>
        <item m="1" x="121"/>
        <item m="1" x="120"/>
        <item m="1" x="172"/>
        <item m="1" x="110"/>
        <item x="13"/>
        <item m="1" x="237"/>
        <item m="1" x="91"/>
        <item x="33"/>
        <item x="22"/>
        <item m="1" x="143"/>
        <item m="1" x="126"/>
        <item x="0"/>
        <item x="1"/>
        <item x="2"/>
        <item x="3"/>
        <item x="5"/>
        <item x="7"/>
        <item x="8"/>
        <item x="9"/>
        <item x="10"/>
        <item x="11"/>
        <item x="14"/>
        <item x="15"/>
        <item x="17"/>
        <item x="19"/>
        <item x="20"/>
        <item x="21"/>
        <item x="23"/>
        <item x="24"/>
        <item x="25"/>
        <item x="26"/>
        <item x="27"/>
        <item x="30"/>
        <item x="31"/>
        <item x="32"/>
        <item x="34"/>
        <item x="37"/>
        <item x="38"/>
        <item x="40"/>
        <item x="41"/>
        <item x="43"/>
        <item x="44"/>
        <item x="45"/>
        <item x="48"/>
        <item x="49"/>
        <item x="50"/>
        <item x="51"/>
        <item x="52"/>
        <item x="55"/>
        <item t="default"/>
      </items>
      <autoSortScope>
        <pivotArea dataOnly="0" outline="0" fieldPosition="0">
          <references count="1">
            <reference field="4294967294" count="1" selected="0">
              <x v="1"/>
            </reference>
          </references>
        </pivotArea>
      </autoSortScope>
    </pivotField>
    <pivotField numFmtId="46" subtotalTop="0" showAll="0"/>
    <pivotField subtotalTop="0" showAll="0"/>
    <pivotField numFmtId="46" subtotalTop="0" showAll="0"/>
    <pivotField subtotalTop="0" showAll="0"/>
    <pivotField dataField="1" subtotalTop="0" showAll="0"/>
    <pivotField subtotalTop="0" showAll="0"/>
    <pivotField subtotalTop="0" showAll="0">
      <items count="8">
        <item x="0"/>
        <item m="1" x="5"/>
        <item x="1"/>
        <item m="1" x="4"/>
        <item m="1" x="3"/>
        <item m="1" x="6"/>
        <item x="2"/>
        <item t="default"/>
      </items>
    </pivotField>
    <pivotField subtotalTop="0" showAll="0"/>
    <pivotField subtotalTop="0" showAll="0"/>
    <pivotField numFmtId="165" subtotalTop="0" showAll="0"/>
    <pivotField subtotalTop="0" showAll="0"/>
    <pivotField showAll="0" defaultSubtotal="0"/>
    <pivotField dataField="1" subtotalTop="0" dragToRow="0" dragToCol="0" dragToPage="0" showAll="0" defaultSubtotal="0"/>
    <pivotField subtotalTop="0" dragToRow="0" dragToCol="0" dragToPage="0" showAll="0" defaultSubtotal="0"/>
  </pivotFields>
  <rowFields count="1">
    <field x="2"/>
  </rowFields>
  <rowItems count="7">
    <i>
      <x v="135"/>
    </i>
    <i>
      <x v="226"/>
    </i>
    <i>
      <x v="72"/>
    </i>
    <i>
      <x v="227"/>
    </i>
    <i>
      <x v="150"/>
    </i>
    <i>
      <x v="228"/>
    </i>
    <i t="grand">
      <x/>
    </i>
  </rowItems>
  <colFields count="1">
    <field x="-2"/>
  </colFields>
  <colItems count="3">
    <i>
      <x/>
    </i>
    <i i="1">
      <x v="1"/>
    </i>
    <i i="2">
      <x v="2"/>
    </i>
  </colItems>
  <pageFields count="1">
    <pageField fld="1" item="67" hier="-1"/>
  </pageFields>
  <dataFields count="3">
    <dataField name="Sum of Total EXP (hh:mm:ss)" fld="15" baseField="0" baseItem="0" numFmtId="46"/>
    <dataField name="Sum of Net" fld="7" baseField="0" baseItem="0" numFmtId="165"/>
    <dataField name="Sum of Net2" fld="7" showDataAs="percentOfTotal" baseField="0" baseItem="0" numFmtId="10"/>
  </dataFields>
  <formats count="6">
    <format dxfId="155">
      <pivotArea outline="0" collapsedLevelsAreSubtotals="1" fieldPosition="0"/>
    </format>
    <format dxfId="154">
      <pivotArea outline="0" collapsedLevelsAreSubtotals="1" fieldPosition="0">
        <references count="1">
          <reference field="4294967294" count="1" selected="0">
            <x v="1"/>
          </reference>
        </references>
      </pivotArea>
    </format>
    <format dxfId="153">
      <pivotArea outline="0" collapsedLevelsAreSubtotals="1" fieldPosition="0">
        <references count="1">
          <reference field="4294967294" count="1" selected="0">
            <x v="1"/>
          </reference>
        </references>
      </pivotArea>
    </format>
    <format dxfId="152">
      <pivotArea outline="0" collapsedLevelsAreSubtotals="1" fieldPosition="0">
        <references count="1">
          <reference field="4294967294" count="1" selected="0">
            <x v="1"/>
          </reference>
        </references>
      </pivotArea>
    </format>
    <format dxfId="151">
      <pivotArea outline="0" fieldPosition="0">
        <references count="1">
          <reference field="4294967294" count="1">
            <x v="2"/>
          </reference>
        </references>
      </pivotArea>
    </format>
    <format dxfId="150">
      <pivotArea field="9" grandRow="1" outline="0" collapsedLevelsAreSubtotals="1">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1700-000000000000}" name="PivotTable1" cacheId="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I4:M25" firstHeaderRow="0" firstDataRow="1" firstDataCol="1" rowPageCount="1" colPageCount="1"/>
  <pivotFields count="17">
    <pivotField subtotalTop="0" showAll="0"/>
    <pivotField axis="axisRow" subtotalTop="0" showAll="0" sortType="descending">
      <items count="188">
        <item m="1" x="139"/>
        <item m="1" x="151"/>
        <item x="14"/>
        <item m="1" x="57"/>
        <item m="1" x="177"/>
        <item m="1" x="176"/>
        <item m="1" x="160"/>
        <item m="1" x="70"/>
        <item m="1" x="175"/>
        <item m="1" x="45"/>
        <item m="1" x="68"/>
        <item x="6"/>
        <item m="1" x="155"/>
        <item m="1" x="82"/>
        <item m="1" x="101"/>
        <item m="1" x="179"/>
        <item m="1" x="148"/>
        <item m="1" x="163"/>
        <item m="1" x="99"/>
        <item m="1" x="104"/>
        <item m="1" x="66"/>
        <item m="1" x="77"/>
        <item m="1" x="125"/>
        <item m="1" x="129"/>
        <item m="1" x="59"/>
        <item m="1" x="22"/>
        <item m="1" x="80"/>
        <item m="1" x="43"/>
        <item m="1" x="84"/>
        <item m="1" x="94"/>
        <item m="1" x="51"/>
        <item m="1" x="182"/>
        <item m="1" x="21"/>
        <item m="1" x="131"/>
        <item m="1" x="36"/>
        <item m="1" x="128"/>
        <item m="1" x="67"/>
        <item m="1" x="167"/>
        <item m="1" x="138"/>
        <item m="1" x="37"/>
        <item m="1" x="117"/>
        <item m="1" x="78"/>
        <item m="1" x="91"/>
        <item m="1" x="32"/>
        <item m="1" x="118"/>
        <item m="1" x="103"/>
        <item m="1" x="171"/>
        <item m="1" x="27"/>
        <item m="1" x="166"/>
        <item m="1" x="158"/>
        <item m="1" x="112"/>
        <item m="1" x="95"/>
        <item m="1" x="62"/>
        <item m="1" x="75"/>
        <item m="1" x="121"/>
        <item m="1" x="23"/>
        <item m="1" x="152"/>
        <item m="1" x="71"/>
        <item m="1" x="102"/>
        <item m="1" x="29"/>
        <item m="1" x="140"/>
        <item m="1" x="56"/>
        <item m="1" x="156"/>
        <item m="1" x="150"/>
        <item m="1" x="154"/>
        <item m="1" x="172"/>
        <item m="1" x="40"/>
        <item m="1" x="58"/>
        <item m="1" x="135"/>
        <item m="1" x="88"/>
        <item m="1" x="142"/>
        <item m="1" x="122"/>
        <item m="1" x="96"/>
        <item m="1" x="60"/>
        <item m="1" x="178"/>
        <item m="1" x="64"/>
        <item m="1" x="153"/>
        <item m="1" x="90"/>
        <item m="1" x="183"/>
        <item m="1" x="98"/>
        <item m="1" x="132"/>
        <item m="1" x="52"/>
        <item m="1" x="92"/>
        <item m="1" x="113"/>
        <item m="1" x="164"/>
        <item m="1" x="136"/>
        <item m="1" x="127"/>
        <item m="1" x="79"/>
        <item m="1" x="65"/>
        <item m="1" x="30"/>
        <item m="1" x="41"/>
        <item m="1" x="134"/>
        <item m="1" x="72"/>
        <item m="1" x="85"/>
        <item m="1" x="111"/>
        <item m="1" x="180"/>
        <item m="1" x="157"/>
        <item m="1" x="137"/>
        <item m="1" x="109"/>
        <item m="1" x="49"/>
        <item m="1" x="87"/>
        <item m="1" x="107"/>
        <item m="1" x="55"/>
        <item m="1" x="74"/>
        <item m="1" x="83"/>
        <item m="1" x="38"/>
        <item m="1" x="185"/>
        <item m="1" x="47"/>
        <item m="1" x="145"/>
        <item m="1" x="81"/>
        <item m="1" x="146"/>
        <item m="1" x="159"/>
        <item m="1" x="26"/>
        <item m="1" x="33"/>
        <item m="1" x="173"/>
        <item m="1" x="54"/>
        <item m="1" x="50"/>
        <item m="1" x="119"/>
        <item m="1" x="53"/>
        <item m="1" x="170"/>
        <item m="1" x="34"/>
        <item m="1" x="39"/>
        <item m="1" x="89"/>
        <item m="1" x="162"/>
        <item m="1" x="143"/>
        <item m="1" x="24"/>
        <item m="1" x="28"/>
        <item m="1" x="161"/>
        <item m="1" x="35"/>
        <item m="1" x="184"/>
        <item m="1" x="48"/>
        <item m="1" x="106"/>
        <item m="1" x="46"/>
        <item m="1" x="86"/>
        <item m="1" x="114"/>
        <item x="0"/>
        <item m="1" x="141"/>
        <item x="5"/>
        <item m="1" x="31"/>
        <item m="1" x="73"/>
        <item m="1" x="174"/>
        <item m="1" x="149"/>
        <item m="1" x="130"/>
        <item m="1" x="108"/>
        <item m="1" x="63"/>
        <item m="1" x="186"/>
        <item m="1" x="44"/>
        <item m="1" x="69"/>
        <item m="1" x="133"/>
        <item m="1" x="120"/>
        <item m="1" x="147"/>
        <item m="1" x="93"/>
        <item m="1" x="165"/>
        <item x="2"/>
        <item m="1" x="169"/>
        <item m="1" x="105"/>
        <item x="13"/>
        <item m="1" x="76"/>
        <item m="1" x="126"/>
        <item m="1" x="61"/>
        <item m="1" x="100"/>
        <item m="1" x="42"/>
        <item m="1" x="123"/>
        <item m="1" x="116"/>
        <item m="1" x="97"/>
        <item m="1" x="25"/>
        <item m="1" x="168"/>
        <item m="1" x="144"/>
        <item m="1" x="181"/>
        <item x="20"/>
        <item x="8"/>
        <item x="9"/>
        <item m="1" x="124"/>
        <item m="1" x="110"/>
        <item m="1" x="115"/>
        <item x="1"/>
        <item x="3"/>
        <item x="4"/>
        <item x="7"/>
        <item x="10"/>
        <item x="11"/>
        <item x="12"/>
        <item x="15"/>
        <item x="16"/>
        <item x="17"/>
        <item x="18"/>
        <item x="19"/>
        <item t="default"/>
      </items>
      <autoSortScope>
        <pivotArea dataOnly="0" outline="0" fieldPosition="0">
          <references count="1">
            <reference field="4294967294" count="1" selected="0">
              <x v="0"/>
            </reference>
          </references>
        </pivotArea>
      </autoSortScope>
    </pivotField>
    <pivotField subtotalTop="0" showAll="0" sortType="descending">
      <autoSortScope>
        <pivotArea dataOnly="0" outline="0" fieldPosition="0">
          <references count="1">
            <reference field="4294967294" count="1" selected="0">
              <x v="2"/>
            </reference>
          </references>
        </pivotArea>
      </autoSortScope>
    </pivotField>
    <pivotField numFmtId="46" showAll="0" defaultSubtotal="0"/>
    <pivotField subtotalTop="0" showAll="0"/>
    <pivotField numFmtId="46" showAll="0" defaultSubtotal="0"/>
    <pivotField dataField="1" subtotalTop="0" showAll="0"/>
    <pivotField dataField="1" subtotalTop="0" showAll="0"/>
    <pivotField subtotalTop="0" showAll="0"/>
    <pivotField axis="axisPage" subtotalTop="0" showAll="0">
      <items count="8">
        <item x="0"/>
        <item x="1"/>
        <item m="1" x="4"/>
        <item m="1" x="3"/>
        <item m="1" x="5"/>
        <item m="1" x="6"/>
        <item x="2"/>
        <item t="default"/>
      </items>
    </pivotField>
    <pivotField showAll="0" defaultSubtotal="0"/>
    <pivotField showAll="0" defaultSubtotal="0"/>
    <pivotField subtotalTop="0" showAll="0"/>
    <pivotField showAll="0" defaultSubtotal="0"/>
    <pivotField showAll="0" defaultSubtotal="0"/>
    <pivotField dataField="1" subtotalTop="0" dragToRow="0" dragToCol="0" dragToPage="0" showAll="0" defaultSubtotal="0"/>
    <pivotField dragToRow="0" dragToCol="0" dragToPage="0" showAll="0" defaultSubtotal="0"/>
  </pivotFields>
  <rowFields count="1">
    <field x="1"/>
  </rowFields>
  <rowItems count="21">
    <i>
      <x v="184"/>
    </i>
    <i>
      <x v="11"/>
    </i>
    <i>
      <x v="181"/>
    </i>
    <i>
      <x v="135"/>
    </i>
    <i>
      <x v="180"/>
    </i>
    <i>
      <x v="171"/>
    </i>
    <i>
      <x v="156"/>
    </i>
    <i>
      <x v="176"/>
    </i>
    <i>
      <x v="177"/>
    </i>
    <i>
      <x v="179"/>
    </i>
    <i>
      <x v="185"/>
    </i>
    <i>
      <x v="182"/>
    </i>
    <i>
      <x v="175"/>
    </i>
    <i>
      <x v="137"/>
    </i>
    <i>
      <x v="2"/>
    </i>
    <i>
      <x v="178"/>
    </i>
    <i>
      <x v="169"/>
    </i>
    <i>
      <x v="170"/>
    </i>
    <i>
      <x v="186"/>
    </i>
    <i>
      <x v="183"/>
    </i>
    <i t="grand">
      <x/>
    </i>
  </rowItems>
  <colFields count="1">
    <field x="-2"/>
  </colFields>
  <colItems count="4">
    <i>
      <x/>
    </i>
    <i i="1">
      <x v="1"/>
    </i>
    <i i="2">
      <x v="2"/>
    </i>
    <i i="3">
      <x v="3"/>
    </i>
  </colItems>
  <pageFields count="1">
    <pageField fld="9" item="0" hier="-1"/>
  </pageFields>
  <dataFields count="4">
    <dataField name="Sum of Total EXP (hh:mm:ss)" fld="15" baseField="0" baseItem="0" numFmtId="46"/>
    <dataField name="Sum of Gross" fld="6" baseField="0" baseItem="0" numFmtId="3"/>
    <dataField name="Sum of Net" fld="7" baseField="0" baseItem="0" numFmtId="3"/>
    <dataField name="Sum of Net2" fld="7" showDataAs="percentOfTota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1800-000000000000}" name="PivotTable2" cacheId="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I3:M24" firstHeaderRow="0" firstDataRow="1" firstDataCol="1" rowPageCount="1" colPageCount="1"/>
  <pivotFields count="17">
    <pivotField subtotalTop="0" showAll="0"/>
    <pivotField axis="axisRow" subtotalTop="0" showAll="0" sortType="descending">
      <items count="188">
        <item m="1" x="139"/>
        <item m="1" x="151"/>
        <item x="14"/>
        <item m="1" x="57"/>
        <item m="1" x="177"/>
        <item m="1" x="176"/>
        <item m="1" x="160"/>
        <item m="1" x="70"/>
        <item m="1" x="175"/>
        <item m="1" x="45"/>
        <item m="1" x="68"/>
        <item x="6"/>
        <item m="1" x="155"/>
        <item m="1" x="82"/>
        <item m="1" x="101"/>
        <item m="1" x="179"/>
        <item m="1" x="148"/>
        <item m="1" x="163"/>
        <item m="1" x="99"/>
        <item m="1" x="104"/>
        <item m="1" x="66"/>
        <item m="1" x="77"/>
        <item m="1" x="125"/>
        <item m="1" x="129"/>
        <item m="1" x="59"/>
        <item m="1" x="22"/>
        <item m="1" x="80"/>
        <item m="1" x="43"/>
        <item m="1" x="84"/>
        <item m="1" x="94"/>
        <item m="1" x="51"/>
        <item m="1" x="182"/>
        <item m="1" x="21"/>
        <item m="1" x="131"/>
        <item m="1" x="36"/>
        <item m="1" x="128"/>
        <item m="1" x="67"/>
        <item m="1" x="167"/>
        <item m="1" x="138"/>
        <item m="1" x="37"/>
        <item m="1" x="117"/>
        <item m="1" x="78"/>
        <item m="1" x="91"/>
        <item m="1" x="32"/>
        <item m="1" x="118"/>
        <item m="1" x="103"/>
        <item m="1" x="171"/>
        <item m="1" x="27"/>
        <item m="1" x="166"/>
        <item m="1" x="158"/>
        <item m="1" x="112"/>
        <item m="1" x="95"/>
        <item m="1" x="62"/>
        <item m="1" x="75"/>
        <item m="1" x="121"/>
        <item m="1" x="23"/>
        <item m="1" x="152"/>
        <item m="1" x="71"/>
        <item m="1" x="102"/>
        <item m="1" x="29"/>
        <item m="1" x="140"/>
        <item m="1" x="56"/>
        <item m="1" x="156"/>
        <item m="1" x="150"/>
        <item m="1" x="154"/>
        <item m="1" x="172"/>
        <item m="1" x="40"/>
        <item m="1" x="58"/>
        <item m="1" x="135"/>
        <item m="1" x="88"/>
        <item m="1" x="142"/>
        <item m="1" x="122"/>
        <item m="1" x="96"/>
        <item m="1" x="60"/>
        <item m="1" x="178"/>
        <item m="1" x="64"/>
        <item m="1" x="153"/>
        <item m="1" x="90"/>
        <item m="1" x="183"/>
        <item m="1" x="98"/>
        <item m="1" x="132"/>
        <item m="1" x="52"/>
        <item m="1" x="92"/>
        <item m="1" x="113"/>
        <item m="1" x="164"/>
        <item m="1" x="136"/>
        <item m="1" x="127"/>
        <item m="1" x="79"/>
        <item m="1" x="65"/>
        <item m="1" x="30"/>
        <item m="1" x="41"/>
        <item m="1" x="134"/>
        <item m="1" x="72"/>
        <item m="1" x="85"/>
        <item m="1" x="111"/>
        <item m="1" x="180"/>
        <item m="1" x="157"/>
        <item m="1" x="137"/>
        <item m="1" x="109"/>
        <item m="1" x="49"/>
        <item m="1" x="87"/>
        <item m="1" x="107"/>
        <item m="1" x="55"/>
        <item m="1" x="74"/>
        <item m="1" x="83"/>
        <item m="1" x="38"/>
        <item m="1" x="185"/>
        <item m="1" x="47"/>
        <item m="1" x="145"/>
        <item m="1" x="81"/>
        <item m="1" x="146"/>
        <item m="1" x="159"/>
        <item m="1" x="26"/>
        <item m="1" x="33"/>
        <item m="1" x="173"/>
        <item m="1" x="54"/>
        <item m="1" x="50"/>
        <item m="1" x="119"/>
        <item m="1" x="53"/>
        <item m="1" x="170"/>
        <item m="1" x="34"/>
        <item m="1" x="39"/>
        <item m="1" x="89"/>
        <item m="1" x="162"/>
        <item m="1" x="143"/>
        <item m="1" x="24"/>
        <item m="1" x="28"/>
        <item m="1" x="161"/>
        <item m="1" x="35"/>
        <item m="1" x="184"/>
        <item m="1" x="48"/>
        <item m="1" x="106"/>
        <item m="1" x="46"/>
        <item m="1" x="86"/>
        <item m="1" x="114"/>
        <item x="0"/>
        <item m="1" x="141"/>
        <item x="5"/>
        <item m="1" x="31"/>
        <item m="1" x="73"/>
        <item m="1" x="174"/>
        <item m="1" x="149"/>
        <item m="1" x="130"/>
        <item m="1" x="108"/>
        <item m="1" x="63"/>
        <item m="1" x="186"/>
        <item m="1" x="44"/>
        <item m="1" x="69"/>
        <item m="1" x="133"/>
        <item m="1" x="120"/>
        <item m="1" x="147"/>
        <item m="1" x="93"/>
        <item m="1" x="165"/>
        <item x="2"/>
        <item m="1" x="169"/>
        <item m="1" x="105"/>
        <item x="13"/>
        <item m="1" x="76"/>
        <item m="1" x="126"/>
        <item m="1" x="61"/>
        <item m="1" x="100"/>
        <item m="1" x="42"/>
        <item m="1" x="123"/>
        <item m="1" x="116"/>
        <item m="1" x="97"/>
        <item m="1" x="25"/>
        <item m="1" x="168"/>
        <item m="1" x="144"/>
        <item m="1" x="181"/>
        <item x="20"/>
        <item x="8"/>
        <item x="9"/>
        <item m="1" x="124"/>
        <item m="1" x="110"/>
        <item m="1" x="115"/>
        <item x="1"/>
        <item x="3"/>
        <item x="4"/>
        <item x="7"/>
        <item x="10"/>
        <item x="11"/>
        <item x="12"/>
        <item x="15"/>
        <item x="16"/>
        <item x="17"/>
        <item x="18"/>
        <item x="19"/>
        <item t="default"/>
      </items>
      <autoSortScope>
        <pivotArea dataOnly="0" outline="0" fieldPosition="0">
          <references count="1">
            <reference field="4294967294" count="1" selected="0">
              <x v="0"/>
            </reference>
          </references>
        </pivotArea>
      </autoSortScope>
    </pivotField>
    <pivotField subtotalTop="0" showAll="0" sortType="descending">
      <autoSortScope>
        <pivotArea dataOnly="0" outline="0" fieldPosition="0">
          <references count="1">
            <reference field="4294967294" count="1" selected="0">
              <x v="2"/>
            </reference>
          </references>
        </pivotArea>
      </autoSortScope>
    </pivotField>
    <pivotField numFmtId="46" showAll="0" defaultSubtotal="0"/>
    <pivotField subtotalTop="0" showAll="0"/>
    <pivotField numFmtId="46" showAll="0" defaultSubtotal="0"/>
    <pivotField dataField="1" subtotalTop="0" showAll="0"/>
    <pivotField dataField="1" subtotalTop="0" showAll="0"/>
    <pivotField subtotalTop="0" showAll="0"/>
    <pivotField axis="axisPage" subtotalTop="0" showAll="0">
      <items count="8">
        <item x="0"/>
        <item x="1"/>
        <item m="1" x="4"/>
        <item m="1" x="3"/>
        <item m="1" x="5"/>
        <item m="1" x="6"/>
        <item x="2"/>
        <item t="default"/>
      </items>
    </pivotField>
    <pivotField showAll="0" defaultSubtotal="0"/>
    <pivotField showAll="0" defaultSubtotal="0"/>
    <pivotField subtotalTop="0" showAll="0"/>
    <pivotField showAll="0" defaultSubtotal="0"/>
    <pivotField showAll="0" defaultSubtotal="0"/>
    <pivotField dataField="1" subtotalTop="0" dragToRow="0" dragToCol="0" dragToPage="0" showAll="0" defaultSubtotal="0"/>
    <pivotField dragToRow="0" dragToCol="0" dragToPage="0" showAll="0" defaultSubtotal="0"/>
  </pivotFields>
  <rowFields count="1">
    <field x="1"/>
  </rowFields>
  <rowItems count="21">
    <i>
      <x v="184"/>
    </i>
    <i>
      <x v="11"/>
    </i>
    <i>
      <x v="181"/>
    </i>
    <i>
      <x v="135"/>
    </i>
    <i>
      <x v="180"/>
    </i>
    <i>
      <x v="171"/>
    </i>
    <i>
      <x v="156"/>
    </i>
    <i>
      <x v="176"/>
    </i>
    <i>
      <x v="177"/>
    </i>
    <i>
      <x v="179"/>
    </i>
    <i>
      <x v="185"/>
    </i>
    <i>
      <x v="182"/>
    </i>
    <i>
      <x v="175"/>
    </i>
    <i>
      <x v="137"/>
    </i>
    <i>
      <x v="2"/>
    </i>
    <i>
      <x v="178"/>
    </i>
    <i>
      <x v="169"/>
    </i>
    <i>
      <x v="170"/>
    </i>
    <i>
      <x v="186"/>
    </i>
    <i>
      <x v="183"/>
    </i>
    <i t="grand">
      <x/>
    </i>
  </rowItems>
  <colFields count="1">
    <field x="-2"/>
  </colFields>
  <colItems count="4">
    <i>
      <x/>
    </i>
    <i i="1">
      <x v="1"/>
    </i>
    <i i="2">
      <x v="2"/>
    </i>
    <i i="3">
      <x v="3"/>
    </i>
  </colItems>
  <pageFields count="1">
    <pageField fld="9" item="0" hier="-1"/>
  </pageFields>
  <dataFields count="4">
    <dataField name="Sum of Total EXP (hh:mm:ss)" fld="15" baseField="0" baseItem="0" numFmtId="46"/>
    <dataField name="Sum of Gross" fld="6" baseField="0" baseItem="0" numFmtId="3"/>
    <dataField name="Sum of Net" fld="7" baseField="0" baseItem="0" numFmtId="3"/>
    <dataField name="Sum of Net2" fld="7" showDataAs="percentOfTota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1900-000000000000}" name="PivotTable10" cacheId="4"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C124" firstHeaderRow="0" firstDataRow="1" firstDataCol="1" rowPageCount="1" colPageCount="1"/>
  <pivotFields count="17">
    <pivotField showAll="0" defaultSubtotal="0"/>
    <pivotField axis="axisRow" showAll="0" sortType="ascending" defaultSubtotal="0">
      <items count="187">
        <item m="1" x="161"/>
        <item m="1" x="170"/>
        <item m="1" x="34"/>
        <item m="1" x="113"/>
        <item m="1" x="164"/>
        <item m="1" x="57"/>
        <item m="1" x="131"/>
        <item x="0"/>
        <item m="1" x="35"/>
        <item m="1" x="78"/>
        <item m="1" x="63"/>
        <item m="1" x="39"/>
        <item m="1" x="81"/>
        <item m="1" x="177"/>
        <item m="1" x="136"/>
        <item m="1" x="186"/>
        <item m="1" x="139"/>
        <item m="1" x="176"/>
        <item m="1" x="160"/>
        <item x="1"/>
        <item m="1" x="56"/>
        <item m="1" x="36"/>
        <item m="1" x="116"/>
        <item m="1" x="156"/>
        <item m="1" x="165"/>
        <item m="1" x="128"/>
        <item x="2"/>
        <item m="1" x="91"/>
        <item m="1" x="70"/>
        <item m="1" x="175"/>
        <item m="1" x="55"/>
        <item m="1" x="150"/>
        <item m="1" x="45"/>
        <item x="3"/>
        <item x="4"/>
        <item m="1" x="154"/>
        <item m="1" x="141"/>
        <item m="1" x="127"/>
        <item m="1" x="172"/>
        <item m="1" x="184"/>
        <item m="1" x="146"/>
        <item x="5"/>
        <item m="1" x="68"/>
        <item m="1" x="32"/>
        <item m="1" x="79"/>
        <item m="1" x="65"/>
        <item m="1" x="67"/>
        <item m="1" x="30"/>
        <item m="1" x="44"/>
        <item x="6"/>
        <item m="1" x="97"/>
        <item m="1" x="73"/>
        <item m="1" x="40"/>
        <item x="7"/>
        <item m="1" x="118"/>
        <item m="1" x="117"/>
        <item m="1" x="74"/>
        <item x="8"/>
        <item m="1" x="155"/>
        <item m="1" x="58"/>
        <item m="1" x="159"/>
        <item m="1" x="82"/>
        <item m="1" x="41"/>
        <item m="1" x="134"/>
        <item m="1" x="135"/>
        <item m="1" x="61"/>
        <item m="1" x="88"/>
        <item m="1" x="103"/>
        <item m="1" x="169"/>
        <item m="1" x="101"/>
        <item m="1" x="179"/>
        <item m="1" x="72"/>
        <item m="1" x="85"/>
        <item m="1" x="171"/>
        <item m="1" x="148"/>
        <item m="1" x="26"/>
        <item m="1" x="163"/>
        <item x="9"/>
        <item x="10"/>
        <item m="1" x="105"/>
        <item m="1" x="27"/>
        <item m="1" x="166"/>
        <item m="1" x="89"/>
        <item m="1" x="33"/>
        <item m="1" x="48"/>
        <item m="1" x="99"/>
        <item m="1" x="124"/>
        <item m="1" x="173"/>
        <item m="1" x="104"/>
        <item x="11"/>
        <item m="1" x="111"/>
        <item m="1" x="69"/>
        <item m="1" x="25"/>
        <item m="1" x="31"/>
        <item m="1" x="133"/>
        <item m="1" x="83"/>
        <item m="1" x="158"/>
        <item m="1" x="66"/>
        <item m="1" x="180"/>
        <item m="1" x="77"/>
        <item m="1" x="125"/>
        <item x="12"/>
        <item m="1" x="54"/>
        <item m="1" x="112"/>
        <item m="1" x="95"/>
        <item m="1" x="106"/>
        <item m="1" x="38"/>
        <item m="1" x="46"/>
        <item m="1" x="142"/>
        <item m="1" x="122"/>
        <item m="1" x="96"/>
        <item m="1" x="62"/>
        <item m="1" x="75"/>
        <item m="1" x="168"/>
        <item m="1" x="129"/>
        <item m="1" x="100"/>
        <item m="1" x="120"/>
        <item m="1" x="144"/>
        <item m="1" x="181"/>
        <item m="1" x="59"/>
        <item m="1" x="60"/>
        <item m="1" x="178"/>
        <item m="1" x="86"/>
        <item m="1" x="167"/>
        <item m="1" x="22"/>
        <item x="13"/>
        <item m="1" x="114"/>
        <item m="1" x="80"/>
        <item m="1" x="157"/>
        <item m="1" x="43"/>
        <item m="1" x="151"/>
        <item m="1" x="64"/>
        <item m="1" x="110"/>
        <item m="1" x="42"/>
        <item x="14"/>
        <item m="1" x="138"/>
        <item m="1" x="121"/>
        <item m="1" x="76"/>
        <item m="1" x="147"/>
        <item m="1" x="162"/>
        <item m="1" x="115"/>
        <item m="1" x="174"/>
        <item m="1" x="143"/>
        <item x="15"/>
        <item m="1" x="23"/>
        <item m="1" x="50"/>
        <item m="1" x="185"/>
        <item m="1" x="153"/>
        <item m="1" x="90"/>
        <item m="1" x="183"/>
        <item m="1" x="98"/>
        <item m="1" x="119"/>
        <item m="1" x="24"/>
        <item m="1" x="132"/>
        <item m="1" x="84"/>
        <item m="1" x="94"/>
        <item m="1" x="52"/>
        <item x="16"/>
        <item m="1" x="152"/>
        <item m="1" x="126"/>
        <item m="1" x="149"/>
        <item m="1" x="123"/>
        <item m="1" x="53"/>
        <item m="1" x="51"/>
        <item m="1" x="92"/>
        <item m="1" x="28"/>
        <item m="1" x="47"/>
        <item m="1" x="145"/>
        <item m="1" x="71"/>
        <item m="1" x="102"/>
        <item m="1" x="29"/>
        <item m="1" x="140"/>
        <item m="1" x="130"/>
        <item x="17"/>
        <item x="18"/>
        <item x="19"/>
        <item m="1" x="93"/>
        <item m="1" x="137"/>
        <item m="1" x="108"/>
        <item m="1" x="109"/>
        <item m="1" x="182"/>
        <item x="20"/>
        <item m="1" x="37"/>
        <item m="1" x="49"/>
        <item m="1" x="87"/>
        <item m="1" x="107"/>
        <item m="1" x="21"/>
      </items>
    </pivotField>
    <pivotField axis="axisRow" showAll="0" sortType="ascending" defaultSubtotal="0">
      <items count="365">
        <item x="15"/>
        <item m="1" x="89"/>
        <item m="1" x="252"/>
        <item x="31"/>
        <item x="36"/>
        <item x="37"/>
        <item x="50"/>
        <item x="22"/>
        <item m="1" x="357"/>
        <item m="1" x="119"/>
        <item m="1" x="298"/>
        <item m="1" x="272"/>
        <item m="1" x="341"/>
        <item x="17"/>
        <item m="1" x="351"/>
        <item m="1" x="310"/>
        <item x="10"/>
        <item x="38"/>
        <item m="1" x="363"/>
        <item m="1" x="295"/>
        <item m="1" x="75"/>
        <item m="1" x="77"/>
        <item m="1" x="92"/>
        <item x="32"/>
        <item m="1" x="249"/>
        <item x="0"/>
        <item m="1" x="294"/>
        <item x="1"/>
        <item m="1" x="115"/>
        <item x="39"/>
        <item x="40"/>
        <item m="1" x="332"/>
        <item m="1" x="170"/>
        <item m="1" x="70"/>
        <item m="1" x="217"/>
        <item m="1" x="358"/>
        <item m="1" x="273"/>
        <item m="1" x="78"/>
        <item m="1" x="216"/>
        <item m="1" x="356"/>
        <item x="33"/>
        <item x="41"/>
        <item m="1" x="277"/>
        <item m="1" x="94"/>
        <item m="1" x="130"/>
        <item x="34"/>
        <item m="1" x="359"/>
        <item m="1" x="93"/>
        <item m="1" x="88"/>
        <item m="1" x="297"/>
        <item m="1" x="168"/>
        <item m="1" x="128"/>
        <item m="1" x="149"/>
        <item m="1" x="281"/>
        <item m="1" x="52"/>
        <item m="1" x="177"/>
        <item m="1" x="152"/>
        <item m="1" x="254"/>
        <item m="1" x="131"/>
        <item m="1" x="340"/>
        <item m="1" x="188"/>
        <item m="1" x="95"/>
        <item m="1" x="300"/>
        <item m="1" x="53"/>
        <item m="1" x="178"/>
        <item m="1" x="153"/>
        <item m="1" x="255"/>
        <item m="1" x="132"/>
        <item m="1" x="189"/>
        <item m="1" x="96"/>
        <item m="1" x="54"/>
        <item m="1" x="256"/>
        <item m="1" x="133"/>
        <item m="1" x="190"/>
        <item m="1" x="97"/>
        <item m="1" x="55"/>
        <item m="1" x="179"/>
        <item m="1" x="154"/>
        <item m="1" x="257"/>
        <item m="1" x="134"/>
        <item m="1" x="191"/>
        <item m="1" x="98"/>
        <item m="1" x="56"/>
        <item m="1" x="180"/>
        <item m="1" x="155"/>
        <item m="1" x="258"/>
        <item m="1" x="135"/>
        <item m="1" x="192"/>
        <item m="1" x="99"/>
        <item m="1" x="57"/>
        <item m="1" x="156"/>
        <item m="1" x="259"/>
        <item m="1" x="136"/>
        <item m="1" x="193"/>
        <item m="1" x="100"/>
        <item m="1" x="58"/>
        <item m="1" x="157"/>
        <item m="1" x="260"/>
        <item m="1" x="137"/>
        <item m="1" x="194"/>
        <item m="1" x="101"/>
        <item m="1" x="59"/>
        <item m="1" x="181"/>
        <item m="1" x="158"/>
        <item m="1" x="218"/>
        <item m="1" x="261"/>
        <item m="1" x="138"/>
        <item m="1" x="195"/>
        <item m="1" x="102"/>
        <item m="1" x="282"/>
        <item m="1" x="60"/>
        <item m="1" x="182"/>
        <item m="1" x="159"/>
        <item m="1" x="262"/>
        <item m="1" x="139"/>
        <item m="1" x="196"/>
        <item m="1" x="103"/>
        <item m="1" x="283"/>
        <item m="1" x="61"/>
        <item m="1" x="183"/>
        <item m="1" x="263"/>
        <item m="1" x="140"/>
        <item m="1" x="197"/>
        <item m="1" x="104"/>
        <item m="1" x="62"/>
        <item m="1" x="184"/>
        <item m="1" x="160"/>
        <item m="1" x="264"/>
        <item m="1" x="141"/>
        <item m="1" x="198"/>
        <item m="1" x="105"/>
        <item m="1" x="63"/>
        <item m="1" x="185"/>
        <item m="1" x="161"/>
        <item m="1" x="265"/>
        <item m="1" x="142"/>
        <item m="1" x="199"/>
        <item m="1" x="106"/>
        <item m="1" x="64"/>
        <item m="1" x="186"/>
        <item m="1" x="162"/>
        <item m="1" x="266"/>
        <item m="1" x="143"/>
        <item m="1" x="200"/>
        <item m="1" x="107"/>
        <item m="1" x="65"/>
        <item m="1" x="163"/>
        <item m="1" x="219"/>
        <item m="1" x="267"/>
        <item m="1" x="144"/>
        <item m="1" x="201"/>
        <item m="1" x="108"/>
        <item m="1" x="66"/>
        <item m="1" x="164"/>
        <item m="1" x="220"/>
        <item m="1" x="268"/>
        <item m="1" x="145"/>
        <item m="1" x="202"/>
        <item m="1" x="109"/>
        <item m="1" x="284"/>
        <item m="1" x="67"/>
        <item m="1" x="71"/>
        <item m="1" x="125"/>
        <item m="1" x="126"/>
        <item m="1" x="187"/>
        <item m="1" x="165"/>
        <item m="1" x="221"/>
        <item m="1" x="269"/>
        <item m="1" x="146"/>
        <item m="1" x="203"/>
        <item m="1" x="110"/>
        <item m="1" x="68"/>
        <item m="1" x="72"/>
        <item m="1" x="127"/>
        <item m="1" x="166"/>
        <item m="1" x="222"/>
        <item m="1" x="270"/>
        <item m="1" x="147"/>
        <item m="1" x="204"/>
        <item m="1" x="111"/>
        <item m="1" x="207"/>
        <item m="1" x="331"/>
        <item m="1" x="285"/>
        <item m="1" x="322"/>
        <item m="1" x="69"/>
        <item m="1" x="167"/>
        <item m="1" x="271"/>
        <item m="1" x="148"/>
        <item m="1" x="205"/>
        <item m="1" x="112"/>
        <item m="1" x="79"/>
        <item m="1" x="327"/>
        <item x="18"/>
        <item m="1" x="342"/>
        <item m="1" x="129"/>
        <item m="1" x="120"/>
        <item x="2"/>
        <item x="11"/>
        <item x="23"/>
        <item x="3"/>
        <item m="1" x="352"/>
        <item m="1" x="230"/>
        <item m="1" x="116"/>
        <item m="1" x="175"/>
        <item m="1" x="224"/>
        <item x="42"/>
        <item m="1" x="229"/>
        <item m="1" x="176"/>
        <item m="1" x="346"/>
        <item m="1" x="117"/>
        <item m="1" x="293"/>
        <item x="35"/>
        <item m="1" x="239"/>
        <item x="21"/>
        <item m="1" x="312"/>
        <item m="1" x="233"/>
        <item m="1" x="361"/>
        <item m="1" x="173"/>
        <item x="24"/>
        <item m="1" x="232"/>
        <item m="1" x="237"/>
        <item m="1" x="114"/>
        <item m="1" x="211"/>
        <item m="1" x="321"/>
        <item m="1" x="286"/>
        <item m="1" x="338"/>
        <item m="1" x="344"/>
        <item m="1" x="235"/>
        <item x="25"/>
        <item m="1" x="345"/>
        <item m="1" x="329"/>
        <item x="26"/>
        <item x="43"/>
        <item m="1" x="213"/>
        <item m="1" x="287"/>
        <item m="1" x="305"/>
        <item m="1" x="326"/>
        <item x="16"/>
        <item m="1" x="280"/>
        <item m="1" x="354"/>
        <item m="1" x="313"/>
        <item m="1" x="85"/>
        <item m="1" x="325"/>
        <item m="1" x="150"/>
        <item m="1" x="330"/>
        <item m="1" x="335"/>
        <item x="12"/>
        <item x="8"/>
        <item m="1" x="206"/>
        <item m="1" x="288"/>
        <item m="1" x="314"/>
        <item m="1" x="171"/>
        <item m="1" x="74"/>
        <item m="1" x="118"/>
        <item m="1" x="238"/>
        <item m="1" x="124"/>
        <item m="1" x="234"/>
        <item m="1" x="309"/>
        <item m="1" x="301"/>
        <item m="1" x="315"/>
        <item m="1" x="339"/>
        <item m="1" x="246"/>
        <item m="1" x="243"/>
        <item m="1" x="362"/>
        <item m="1" x="316"/>
        <item m="1" x="248"/>
        <item m="1" x="151"/>
        <item m="1" x="355"/>
        <item m="1" x="333"/>
        <item m="1" x="241"/>
        <item m="1" x="343"/>
        <item m="1" x="227"/>
        <item m="1" x="324"/>
        <item m="1" x="360"/>
        <item m="1" x="244"/>
        <item m="1" x="274"/>
        <item m="1" x="320"/>
        <item m="1" x="82"/>
        <item m="1" x="240"/>
        <item m="1" x="225"/>
        <item m="1" x="123"/>
        <item m="1" x="296"/>
        <item m="1" x="289"/>
        <item m="1" x="337"/>
        <item m="1" x="231"/>
        <item m="1" x="349"/>
        <item m="1" x="242"/>
        <item m="1" x="279"/>
        <item m="1" x="169"/>
        <item m="1" x="210"/>
        <item m="1" x="251"/>
        <item m="1" x="73"/>
        <item m="1" x="122"/>
        <item m="1" x="84"/>
        <item m="1" x="228"/>
        <item m="1" x="245"/>
        <item x="4"/>
        <item m="1" x="347"/>
        <item x="13"/>
        <item m="1" x="250"/>
        <item m="1" x="318"/>
        <item m="1" x="328"/>
        <item m="1" x="208"/>
        <item m="1" x="302"/>
        <item m="1" x="291"/>
        <item m="1" x="317"/>
        <item m="1" x="311"/>
        <item m="1" x="292"/>
        <item m="1" x="290"/>
        <item m="1" x="306"/>
        <item m="1" x="236"/>
        <item m="1" x="348"/>
        <item m="1" x="350"/>
        <item m="1" x="215"/>
        <item m="1" x="275"/>
        <item m="1" x="76"/>
        <item m="1" x="323"/>
        <item m="1" x="353"/>
        <item m="1" x="87"/>
        <item m="1" x="319"/>
        <item m="1" x="303"/>
        <item m="1" x="364"/>
        <item m="1" x="209"/>
        <item m="1" x="253"/>
        <item m="1" x="276"/>
        <item x="44"/>
        <item x="5"/>
        <item x="45"/>
        <item x="46"/>
        <item m="1" x="247"/>
        <item x="19"/>
        <item x="14"/>
        <item x="6"/>
        <item m="1" x="308"/>
        <item m="1" x="121"/>
        <item m="1" x="334"/>
        <item m="1" x="172"/>
        <item m="1" x="81"/>
        <item m="1" x="278"/>
        <item m="1" x="83"/>
        <item m="1" x="90"/>
        <item m="1" x="299"/>
        <item x="27"/>
        <item x="47"/>
        <item m="1" x="86"/>
        <item x="48"/>
        <item x="49"/>
        <item m="1" x="307"/>
        <item m="1" x="336"/>
        <item x="28"/>
        <item x="29"/>
        <item x="30"/>
        <item x="9"/>
        <item x="7"/>
        <item x="20"/>
        <item m="1" x="304"/>
        <item m="1" x="91"/>
        <item m="1" x="113"/>
        <item m="1" x="214"/>
        <item m="1" x="223"/>
        <item m="1" x="212"/>
        <item m="1" x="226"/>
        <item m="1" x="174"/>
        <item m="1" x="80"/>
        <item m="1" x="51"/>
      </items>
    </pivotField>
    <pivotField numFmtId="46" showAll="0" defaultSubtotal="0"/>
    <pivotField dataField="1" showAll="0" defaultSubtotal="0"/>
    <pivotField numFmtId="46"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axis="axisPage" showAll="0" defaultSubtotal="0">
      <items count="2">
        <item x="1"/>
        <item x="0"/>
      </items>
    </pivotField>
    <pivotField showAll="0" defaultSubtotal="0"/>
    <pivotField dragToRow="0" dragToCol="0" dragToPage="0" showAll="0" defaultSubtotal="0"/>
    <pivotField dragToRow="0" dragToCol="0" dragToPage="0" showAll="0" defaultSubtotal="0"/>
  </pivotFields>
  <rowFields count="2">
    <field x="2"/>
    <field x="1"/>
  </rowFields>
  <rowItems count="121">
    <i>
      <x/>
    </i>
    <i r="1">
      <x v="49"/>
    </i>
    <i>
      <x v="3"/>
    </i>
    <i r="1">
      <x v="134"/>
    </i>
    <i>
      <x v="4"/>
    </i>
    <i r="1">
      <x v="173"/>
    </i>
    <i>
      <x v="5"/>
    </i>
    <i r="1">
      <x v="173"/>
    </i>
    <i>
      <x v="6"/>
    </i>
    <i r="1">
      <x v="181"/>
    </i>
    <i>
      <x v="7"/>
    </i>
    <i r="1">
      <x v="125"/>
    </i>
    <i r="1">
      <x v="173"/>
    </i>
    <i>
      <x v="13"/>
    </i>
    <i r="1">
      <x v="57"/>
    </i>
    <i r="1">
      <x v="173"/>
    </i>
    <i>
      <x v="16"/>
    </i>
    <i r="1">
      <x v="26"/>
    </i>
    <i>
      <x v="17"/>
    </i>
    <i r="1">
      <x v="173"/>
    </i>
    <i>
      <x v="23"/>
    </i>
    <i r="1">
      <x v="134"/>
    </i>
    <i>
      <x v="29"/>
    </i>
    <i r="1">
      <x v="173"/>
    </i>
    <i>
      <x v="30"/>
    </i>
    <i r="1">
      <x v="173"/>
    </i>
    <i>
      <x v="40"/>
    </i>
    <i r="1">
      <x v="134"/>
    </i>
    <i>
      <x v="41"/>
    </i>
    <i r="1">
      <x v="173"/>
    </i>
    <i r="1">
      <x v="181"/>
    </i>
    <i>
      <x v="45"/>
    </i>
    <i r="1">
      <x v="134"/>
    </i>
    <i>
      <x v="192"/>
    </i>
    <i r="1">
      <x v="57"/>
    </i>
    <i>
      <x v="197"/>
    </i>
    <i r="1">
      <x v="33"/>
    </i>
    <i r="1">
      <x v="89"/>
    </i>
    <i r="1">
      <x v="125"/>
    </i>
    <i r="1">
      <x v="173"/>
    </i>
    <i>
      <x v="198"/>
    </i>
    <i r="1">
      <x v="125"/>
    </i>
    <i>
      <x v="205"/>
    </i>
    <i r="1">
      <x v="173"/>
    </i>
    <i r="1">
      <x v="174"/>
    </i>
    <i>
      <x v="211"/>
    </i>
    <i r="1">
      <x v="143"/>
    </i>
    <i r="1">
      <x v="173"/>
    </i>
    <i>
      <x v="213"/>
    </i>
    <i r="1">
      <x v="101"/>
    </i>
    <i>
      <x v="218"/>
    </i>
    <i r="1">
      <x v="125"/>
    </i>
    <i r="1">
      <x v="173"/>
    </i>
    <i>
      <x v="228"/>
    </i>
    <i r="1">
      <x v="125"/>
    </i>
    <i>
      <x v="231"/>
    </i>
    <i r="1">
      <x v="125"/>
    </i>
    <i>
      <x v="232"/>
    </i>
    <i r="1">
      <x v="173"/>
    </i>
    <i>
      <x v="237"/>
    </i>
    <i r="1">
      <x v="53"/>
    </i>
    <i r="1">
      <x v="101"/>
    </i>
    <i r="1">
      <x v="173"/>
    </i>
    <i r="1">
      <x v="174"/>
    </i>
    <i>
      <x v="246"/>
    </i>
    <i r="1">
      <x v="33"/>
    </i>
    <i>
      <x v="247"/>
    </i>
    <i r="1">
      <x v="19"/>
    </i>
    <i r="1">
      <x v="33"/>
    </i>
    <i r="1">
      <x v="34"/>
    </i>
    <i r="1">
      <x v="49"/>
    </i>
    <i r="1">
      <x v="77"/>
    </i>
    <i r="1">
      <x v="134"/>
    </i>
    <i r="1">
      <x v="173"/>
    </i>
    <i>
      <x v="298"/>
    </i>
    <i r="1">
      <x v="33"/>
    </i>
    <i r="1">
      <x v="77"/>
    </i>
    <i r="1">
      <x v="89"/>
    </i>
    <i r="1">
      <x v="101"/>
    </i>
    <i r="1">
      <x v="173"/>
    </i>
    <i r="1">
      <x v="174"/>
    </i>
    <i r="1">
      <x v="175"/>
    </i>
    <i>
      <x v="325"/>
    </i>
    <i r="1">
      <x v="173"/>
    </i>
    <i>
      <x v="327"/>
    </i>
    <i r="1">
      <x v="173"/>
    </i>
    <i>
      <x v="328"/>
    </i>
    <i r="1">
      <x v="173"/>
    </i>
    <i>
      <x v="330"/>
    </i>
    <i r="1">
      <x v="77"/>
    </i>
    <i r="1">
      <x v="173"/>
    </i>
    <i>
      <x v="331"/>
    </i>
    <i r="1">
      <x v="33"/>
    </i>
    <i>
      <x v="342"/>
    </i>
    <i r="1">
      <x v="125"/>
    </i>
    <i r="1">
      <x v="173"/>
    </i>
    <i>
      <x v="343"/>
    </i>
    <i r="1">
      <x v="173"/>
    </i>
    <i>
      <x v="345"/>
    </i>
    <i r="1">
      <x v="173"/>
    </i>
    <i>
      <x v="346"/>
    </i>
    <i r="1">
      <x v="173"/>
    </i>
    <i>
      <x v="349"/>
    </i>
    <i r="1">
      <x v="125"/>
    </i>
    <i r="1">
      <x v="173"/>
    </i>
    <i>
      <x v="350"/>
    </i>
    <i r="1">
      <x v="125"/>
    </i>
    <i r="1">
      <x v="143"/>
    </i>
    <i r="1">
      <x v="173"/>
    </i>
    <i>
      <x v="351"/>
    </i>
    <i r="1">
      <x v="125"/>
    </i>
    <i r="1">
      <x v="173"/>
    </i>
    <i>
      <x v="352"/>
    </i>
    <i r="1">
      <x v="19"/>
    </i>
    <i r="1">
      <x v="49"/>
    </i>
    <i r="1">
      <x v="89"/>
    </i>
    <i r="1">
      <x v="173"/>
    </i>
    <i>
      <x v="354"/>
    </i>
    <i r="1">
      <x v="78"/>
    </i>
    <i r="1">
      <x v="134"/>
    </i>
    <i t="grand">
      <x/>
    </i>
  </rowItems>
  <colFields count="1">
    <field x="-2"/>
  </colFields>
  <colItems count="2">
    <i>
      <x/>
    </i>
    <i i="1">
      <x v="1"/>
    </i>
  </colItems>
  <pageFields count="1">
    <pageField fld="13" item="0" hier="-1"/>
  </pageFields>
  <dataFields count="2">
    <dataField name="Sum of BIS" fld="4" baseField="0" baseItem="0" numFmtId="2"/>
    <dataField name="Sum of Exposure per Hour" fld="8" baseField="0" baseItem="0" numFmtId="165"/>
  </dataFields>
  <formats count="4">
    <format dxfId="149">
      <pivotArea outline="0" collapsedLevelsAreSubtotals="1" fieldPosition="0">
        <references count="1">
          <reference field="4294967294" count="1" selected="0">
            <x v="1"/>
          </reference>
        </references>
      </pivotArea>
    </format>
    <format dxfId="148">
      <pivotArea dataOnly="0" labelOnly="1" outline="0" fieldPosition="0">
        <references count="1">
          <reference field="4294967294" count="1">
            <x v="1"/>
          </reference>
        </references>
      </pivotArea>
    </format>
    <format dxfId="147">
      <pivotArea outline="0" collapsedLevelsAreSubtotals="1" fieldPosition="0">
        <references count="1">
          <reference field="4294967294" count="1" selected="0">
            <x v="1"/>
          </reference>
        </references>
      </pivotArea>
    </format>
    <format dxfId="146">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1A00-000000000000}" name="PivotTable1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R71:S134" firstHeaderRow="1" firstDataRow="1" firstDataCol="1" rowPageCount="1" colPageCount="1"/>
  <pivotFields count="11">
    <pivotField showAll="0"/>
    <pivotField axis="axisRow" showAll="0" sortType="descending">
      <items count="39">
        <item m="1" x="32"/>
        <item x="1"/>
        <item m="1" x="35"/>
        <item x="2"/>
        <item x="3"/>
        <item x="4"/>
        <item x="5"/>
        <item x="7"/>
        <item x="8"/>
        <item x="9"/>
        <item x="10"/>
        <item x="11"/>
        <item x="12"/>
        <item x="13"/>
        <item x="14"/>
        <item x="15"/>
        <item x="16"/>
        <item x="17"/>
        <item x="18"/>
        <item x="19"/>
        <item x="20"/>
        <item x="21"/>
        <item m="1" x="33"/>
        <item x="22"/>
        <item x="23"/>
        <item x="24"/>
        <item x="25"/>
        <item x="26"/>
        <item x="27"/>
        <item x="28"/>
        <item m="1" x="36"/>
        <item x="29"/>
        <item x="30"/>
        <item x="0"/>
        <item m="1" x="31"/>
        <item m="1" x="37"/>
        <item m="1" x="34"/>
        <item x="6"/>
        <item t="default"/>
      </items>
      <autoSortScope>
        <pivotArea dataOnly="0" outline="0" fieldPosition="0">
          <references count="1">
            <reference field="4294967294" count="1" selected="0">
              <x v="0"/>
            </reference>
          </references>
        </pivotArea>
      </autoSortScope>
    </pivotField>
    <pivotField axis="axisRow" showAll="0" sortType="descending">
      <items count="55">
        <item x="6"/>
        <item x="3"/>
        <item x="26"/>
        <item m="1" x="46"/>
        <item m="1" x="45"/>
        <item x="13"/>
        <item x="14"/>
        <item x="15"/>
        <item x="16"/>
        <item x="17"/>
        <item x="7"/>
        <item m="1" x="43"/>
        <item m="1" x="50"/>
        <item x="11"/>
        <item m="1" x="52"/>
        <item m="1" x="40"/>
        <item x="23"/>
        <item m="1" x="47"/>
        <item x="24"/>
        <item x="18"/>
        <item x="19"/>
        <item x="20"/>
        <item m="1" x="53"/>
        <item m="1" x="41"/>
        <item x="8"/>
        <item x="27"/>
        <item x="9"/>
        <item x="28"/>
        <item x="4"/>
        <item x="5"/>
        <item m="1" x="51"/>
        <item x="34"/>
        <item x="35"/>
        <item x="36"/>
        <item x="37"/>
        <item m="1" x="44"/>
        <item x="38"/>
        <item x="39"/>
        <item x="1"/>
        <item x="25"/>
        <item x="10"/>
        <item x="29"/>
        <item x="30"/>
        <item x="31"/>
        <item x="32"/>
        <item x="33"/>
        <item x="0"/>
        <item m="1" x="42"/>
        <item x="2"/>
        <item x="21"/>
        <item m="1" x="49"/>
        <item m="1" x="48"/>
        <item x="22"/>
        <item x="12"/>
        <item t="default"/>
      </items>
      <autoSortScope>
        <pivotArea dataOnly="0" outline="0" fieldPosition="0">
          <references count="1">
            <reference field="4294967294" count="1" selected="0">
              <x v="0"/>
            </reference>
          </references>
        </pivotArea>
      </autoSortScope>
    </pivotField>
    <pivotField axis="axisPage" showAll="0">
      <items count="4">
        <item x="2"/>
        <item x="0"/>
        <item x="1"/>
        <item t="default"/>
      </items>
    </pivotField>
    <pivotField dataField="1" showAll="0"/>
    <pivotField showAll="0"/>
    <pivotField showAll="0"/>
    <pivotField showAll="0"/>
    <pivotField showAll="0"/>
    <pivotField showAll="0"/>
    <pivotField dragToRow="0" dragToCol="0" dragToPage="0" showAll="0" defaultSubtotal="0"/>
  </pivotFields>
  <rowFields count="2">
    <field x="1"/>
    <field x="2"/>
  </rowFields>
  <rowItems count="63">
    <i>
      <x v="27"/>
    </i>
    <i r="1">
      <x/>
    </i>
    <i r="1">
      <x v="2"/>
    </i>
    <i r="1">
      <x v="24"/>
    </i>
    <i r="1">
      <x v="13"/>
    </i>
    <i r="1">
      <x v="10"/>
    </i>
    <i r="1">
      <x v="28"/>
    </i>
    <i r="1">
      <x v="25"/>
    </i>
    <i r="1">
      <x v="53"/>
    </i>
    <i r="1">
      <x v="27"/>
    </i>
    <i r="1">
      <x v="26"/>
    </i>
    <i>
      <x v="6"/>
    </i>
    <i r="1">
      <x/>
    </i>
    <i r="1">
      <x v="24"/>
    </i>
    <i r="1">
      <x v="29"/>
    </i>
    <i r="1">
      <x v="28"/>
    </i>
    <i r="1">
      <x v="13"/>
    </i>
    <i r="1">
      <x v="26"/>
    </i>
    <i>
      <x v="21"/>
    </i>
    <i r="1">
      <x/>
    </i>
    <i r="1">
      <x v="24"/>
    </i>
    <i r="1">
      <x v="10"/>
    </i>
    <i r="1">
      <x v="29"/>
    </i>
    <i r="1">
      <x v="26"/>
    </i>
    <i r="1">
      <x v="28"/>
    </i>
    <i r="1">
      <x v="13"/>
    </i>
    <i>
      <x v="12"/>
    </i>
    <i r="1">
      <x/>
    </i>
    <i r="1">
      <x v="24"/>
    </i>
    <i r="1">
      <x v="29"/>
    </i>
    <i r="1">
      <x v="26"/>
    </i>
    <i r="1">
      <x v="28"/>
    </i>
    <i>
      <x v="5"/>
    </i>
    <i r="1">
      <x v="26"/>
    </i>
    <i r="1">
      <x/>
    </i>
    <i r="1">
      <x v="24"/>
    </i>
    <i r="1">
      <x v="29"/>
    </i>
    <i r="1">
      <x v="10"/>
    </i>
    <i r="1">
      <x v="28"/>
    </i>
    <i>
      <x v="7"/>
    </i>
    <i r="1">
      <x v="28"/>
    </i>
    <i r="1">
      <x v="26"/>
    </i>
    <i r="1">
      <x v="29"/>
    </i>
    <i r="1">
      <x v="53"/>
    </i>
    <i r="1">
      <x/>
    </i>
    <i r="1">
      <x v="24"/>
    </i>
    <i>
      <x v="37"/>
    </i>
    <i r="1">
      <x/>
    </i>
    <i>
      <x v="20"/>
    </i>
    <i r="1">
      <x/>
    </i>
    <i r="1">
      <x v="10"/>
    </i>
    <i r="1">
      <x v="24"/>
    </i>
    <i>
      <x v="4"/>
    </i>
    <i r="1">
      <x v="1"/>
    </i>
    <i r="1">
      <x v="28"/>
    </i>
    <i r="1">
      <x v="29"/>
    </i>
    <i>
      <x v="16"/>
    </i>
    <i r="1">
      <x v="28"/>
    </i>
    <i r="1">
      <x v="26"/>
    </i>
    <i r="1">
      <x v="29"/>
    </i>
    <i>
      <x v="9"/>
    </i>
    <i r="1">
      <x v="26"/>
    </i>
    <i t="grand">
      <x/>
    </i>
  </rowItems>
  <colItems count="1">
    <i/>
  </colItems>
  <pageFields count="1">
    <pageField fld="3" item="0" hier="-1"/>
  </pageFields>
  <dataFields count="1">
    <dataField name="Sum of Exposure per Hour" fld="4"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1A00-000001000000}" name="PivotTable2" cacheId="4"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location ref="B28:C38" firstHeaderRow="1" firstDataRow="1" firstDataCol="1" rowPageCount="2" colPageCount="1"/>
  <pivotFields count="17">
    <pivotField showAll="0" defaultSubtotal="0"/>
    <pivotField axis="axisRow" showAll="0" measureFilter="1" sortType="descending" defaultSubtotal="0">
      <items count="187">
        <item m="1" x="139"/>
        <item m="1" x="151"/>
        <item x="14"/>
        <item m="1" x="57"/>
        <item m="1" x="177"/>
        <item m="1" x="176"/>
        <item m="1" x="160"/>
        <item m="1" x="70"/>
        <item m="1" x="175"/>
        <item m="1" x="45"/>
        <item m="1" x="68"/>
        <item x="6"/>
        <item m="1" x="155"/>
        <item m="1" x="82"/>
        <item m="1" x="101"/>
        <item m="1" x="179"/>
        <item m="1" x="148"/>
        <item m="1" x="163"/>
        <item m="1" x="99"/>
        <item m="1" x="104"/>
        <item m="1" x="66"/>
        <item m="1" x="77"/>
        <item m="1" x="125"/>
        <item m="1" x="129"/>
        <item m="1" x="59"/>
        <item m="1" x="22"/>
        <item m="1" x="80"/>
        <item m="1" x="43"/>
        <item m="1" x="84"/>
        <item m="1" x="94"/>
        <item m="1" x="51"/>
        <item m="1" x="182"/>
        <item m="1" x="21"/>
        <item m="1" x="131"/>
        <item m="1" x="36"/>
        <item m="1" x="128"/>
        <item m="1" x="67"/>
        <item m="1" x="167"/>
        <item m="1" x="138"/>
        <item m="1" x="37"/>
        <item m="1" x="117"/>
        <item m="1" x="78"/>
        <item m="1" x="91"/>
        <item m="1" x="32"/>
        <item m="1" x="118"/>
        <item m="1" x="103"/>
        <item m="1" x="171"/>
        <item m="1" x="27"/>
        <item m="1" x="166"/>
        <item m="1" x="158"/>
        <item m="1" x="112"/>
        <item m="1" x="95"/>
        <item m="1" x="62"/>
        <item m="1" x="75"/>
        <item m="1" x="121"/>
        <item m="1" x="23"/>
        <item m="1" x="152"/>
        <item m="1" x="71"/>
        <item m="1" x="102"/>
        <item m="1" x="29"/>
        <item m="1" x="140"/>
        <item m="1" x="56"/>
        <item m="1" x="156"/>
        <item m="1" x="150"/>
        <item m="1" x="154"/>
        <item m="1" x="172"/>
        <item m="1" x="40"/>
        <item m="1" x="58"/>
        <item m="1" x="135"/>
        <item m="1" x="88"/>
        <item m="1" x="142"/>
        <item m="1" x="122"/>
        <item m="1" x="96"/>
        <item m="1" x="60"/>
        <item m="1" x="178"/>
        <item m="1" x="64"/>
        <item m="1" x="153"/>
        <item m="1" x="90"/>
        <item m="1" x="183"/>
        <item m="1" x="98"/>
        <item m="1" x="132"/>
        <item m="1" x="52"/>
        <item m="1" x="92"/>
        <item m="1" x="113"/>
        <item m="1" x="164"/>
        <item m="1" x="136"/>
        <item m="1" x="127"/>
        <item m="1" x="79"/>
        <item m="1" x="65"/>
        <item m="1" x="30"/>
        <item m="1" x="41"/>
        <item m="1" x="134"/>
        <item m="1" x="72"/>
        <item m="1" x="85"/>
        <item m="1" x="111"/>
        <item m="1" x="180"/>
        <item m="1" x="157"/>
        <item m="1" x="137"/>
        <item m="1" x="109"/>
        <item m="1" x="49"/>
        <item m="1" x="87"/>
        <item m="1" x="107"/>
        <item m="1" x="55"/>
        <item m="1" x="74"/>
        <item m="1" x="83"/>
        <item m="1" x="38"/>
        <item m="1" x="185"/>
        <item m="1" x="47"/>
        <item m="1" x="145"/>
        <item m="1" x="81"/>
        <item m="1" x="146"/>
        <item m="1" x="159"/>
        <item m="1" x="26"/>
        <item m="1" x="33"/>
        <item m="1" x="173"/>
        <item m="1" x="54"/>
        <item m="1" x="50"/>
        <item m="1" x="119"/>
        <item m="1" x="53"/>
        <item m="1" x="170"/>
        <item m="1" x="34"/>
        <item m="1" x="39"/>
        <item m="1" x="89"/>
        <item m="1" x="162"/>
        <item m="1" x="143"/>
        <item m="1" x="24"/>
        <item m="1" x="28"/>
        <item m="1" x="161"/>
        <item m="1" x="35"/>
        <item m="1" x="184"/>
        <item m="1" x="48"/>
        <item m="1" x="106"/>
        <item m="1" x="46"/>
        <item m="1" x="86"/>
        <item m="1" x="114"/>
        <item x="0"/>
        <item m="1" x="141"/>
        <item x="5"/>
        <item m="1" x="31"/>
        <item m="1" x="73"/>
        <item m="1" x="174"/>
        <item m="1" x="149"/>
        <item m="1" x="130"/>
        <item m="1" x="108"/>
        <item m="1" x="63"/>
        <item m="1" x="186"/>
        <item m="1" x="44"/>
        <item m="1" x="69"/>
        <item m="1" x="133"/>
        <item m="1" x="120"/>
        <item m="1" x="147"/>
        <item m="1" x="93"/>
        <item m="1" x="165"/>
        <item x="2"/>
        <item m="1" x="169"/>
        <item m="1" x="105"/>
        <item x="13"/>
        <item m="1" x="76"/>
        <item m="1" x="126"/>
        <item m="1" x="61"/>
        <item m="1" x="100"/>
        <item m="1" x="42"/>
        <item m="1" x="123"/>
        <item m="1" x="116"/>
        <item m="1" x="97"/>
        <item m="1" x="25"/>
        <item m="1" x="168"/>
        <item m="1" x="144"/>
        <item m="1" x="181"/>
        <item x="20"/>
        <item x="8"/>
        <item x="9"/>
        <item m="1" x="124"/>
        <item m="1" x="110"/>
        <item m="1" x="115"/>
        <item x="1"/>
        <item x="3"/>
        <item x="4"/>
        <item x="7"/>
        <item x="10"/>
        <item x="11"/>
        <item x="12"/>
        <item x="15"/>
        <item x="16"/>
        <item x="17"/>
        <item x="18"/>
        <item x="19"/>
      </items>
      <autoSortScope>
        <pivotArea dataOnly="0" outline="0" fieldPosition="0">
          <references count="1">
            <reference field="4294967294" count="1" selected="0">
              <x v="0"/>
            </reference>
          </references>
        </pivotArea>
      </autoSortScope>
    </pivotField>
    <pivotField showAll="0" defaultSubtotal="0"/>
    <pivotField numFmtId="46" showAll="0" defaultSubtotal="0"/>
    <pivotField showAll="0" defaultSubtotal="0"/>
    <pivotField numFmtId="46" showAll="0" defaultSubtotal="0"/>
    <pivotField showAll="0" defaultSubtotal="0"/>
    <pivotField showAll="0" defaultSubtotal="0"/>
    <pivotField showAll="0" defaultSubtotal="0"/>
    <pivotField axis="axisPage" showAll="0" defaultSubtotal="0">
      <items count="7">
        <item x="0"/>
        <item x="1"/>
        <item m="1" x="4"/>
        <item m="1" x="3"/>
        <item m="1" x="5"/>
        <item m="1" x="6"/>
        <item x="2"/>
      </items>
    </pivotField>
    <pivotField showAll="0" defaultSubtotal="0"/>
    <pivotField showAll="0" defaultSubtotal="0"/>
    <pivotField dataField="1" showAll="0" defaultSubtotal="0"/>
    <pivotField axis="axisPage" showAll="0" defaultSubtotal="0">
      <items count="2">
        <item x="1"/>
        <item x="0"/>
      </items>
    </pivotField>
    <pivotField showAll="0" defaultSubtotal="0"/>
    <pivotField dragToRow="0" dragToCol="0" dragToPage="0" showAll="0" defaultSubtotal="0"/>
    <pivotField dragToRow="0" dragToCol="0" dragToPage="0" showAll="0" defaultSubtotal="0"/>
  </pivotFields>
  <rowFields count="1">
    <field x="1"/>
  </rowFields>
  <rowItems count="10">
    <i>
      <x v="184"/>
    </i>
    <i>
      <x v="11"/>
    </i>
    <i>
      <x v="181"/>
    </i>
    <i>
      <x v="135"/>
    </i>
    <i>
      <x v="180"/>
    </i>
    <i>
      <x v="171"/>
    </i>
    <i>
      <x v="156"/>
    </i>
    <i>
      <x v="176"/>
    </i>
    <i>
      <x v="177"/>
    </i>
    <i>
      <x v="179"/>
    </i>
  </rowItems>
  <colItems count="1">
    <i/>
  </colItems>
  <pageFields count="2">
    <pageField fld="13" hier="-1"/>
    <pageField fld="9" item="0" hier="-1"/>
  </pageFields>
  <dataFields count="1">
    <dataField name="Sum of Seconds Exposure" fld="12" baseField="0" baseItem="0" numFmtId="165"/>
  </dataFields>
  <formats count="5">
    <format dxfId="140">
      <pivotArea collapsedLevelsAreSubtotals="1" fieldPosition="0">
        <references count="1">
          <reference field="1" count="1">
            <x v="2"/>
          </reference>
        </references>
      </pivotArea>
    </format>
    <format dxfId="139">
      <pivotArea collapsedLevelsAreSubtotals="1" fieldPosition="0">
        <references count="1">
          <reference field="1" count="1">
            <x v="2"/>
          </reference>
        </references>
      </pivotArea>
    </format>
    <format dxfId="138">
      <pivotArea outline="0" collapsedLevelsAreSubtotals="1" fieldPosition="0"/>
    </format>
    <format dxfId="137">
      <pivotArea outline="0" collapsedLevelsAreSubtotals="1" fieldPosition="0"/>
    </format>
    <format dxfId="136">
      <pivotArea outline="0" collapsedLevelsAreSubtotals="1" fieldPosition="0"/>
    </format>
  </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1A00-000002000000}" name="PivotTable7" cacheId="3"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location ref="O29:P39" firstHeaderRow="1" firstDataRow="1" firstDataCol="1" rowPageCount="1" colPageCount="1"/>
  <pivotFields count="17">
    <pivotField showAll="0" defaultSubtotal="0"/>
    <pivotField axis="axisRow" showAll="0" measureFilter="1" sortType="descending" defaultSubtotal="0">
      <items count="143">
        <item m="1" x="119"/>
        <item x="15"/>
        <item m="1" x="52"/>
        <item m="1" x="134"/>
        <item m="1" x="63"/>
        <item m="1" x="133"/>
        <item m="1" x="60"/>
        <item x="7"/>
        <item m="1" x="122"/>
        <item m="1" x="73"/>
        <item m="1" x="84"/>
        <item m="1" x="136"/>
        <item m="1" x="118"/>
        <item m="1" x="124"/>
        <item m="1" x="83"/>
        <item m="1" x="58"/>
        <item m="1" x="69"/>
        <item m="1" x="104"/>
        <item m="1" x="106"/>
        <item m="1" x="55"/>
        <item m="1" x="71"/>
        <item m="1" x="40"/>
        <item m="1" x="75"/>
        <item m="1" x="80"/>
        <item m="1" x="46"/>
        <item m="1" x="138"/>
        <item m="1" x="87"/>
        <item m="1" x="81"/>
        <item m="1" x="68"/>
        <item m="1" x="54"/>
        <item m="1" x="39"/>
        <item m="1" x="107"/>
        <item m="1" x="61"/>
        <item m="1" x="34"/>
        <item m="1" x="59"/>
        <item m="1" x="126"/>
        <item m="1" x="110"/>
        <item m="1" x="45"/>
        <item m="1" x="111"/>
        <item m="1" x="70"/>
        <item m="1" x="24"/>
        <item m="1" x="94"/>
        <item m="1" x="105"/>
        <item m="1" x="38"/>
        <item m="1" x="102"/>
        <item m="1" x="128"/>
        <item m="1" x="85"/>
        <item m="1" x="51"/>
        <item m="1" x="53"/>
        <item m="1" x="114"/>
        <item m="1" x="135"/>
        <item m="1" x="121"/>
        <item m="1" x="139"/>
        <item m="1" x="113"/>
        <item m="1" x="109"/>
        <item m="1" x="29"/>
        <item m="1" x="65"/>
        <item m="1" x="93"/>
        <item m="1" x="89"/>
        <item m="1" x="21"/>
        <item m="1" x="117"/>
        <item m="1" x="100"/>
        <item m="1" x="23"/>
        <item m="1" x="49"/>
        <item m="1" x="44"/>
        <item m="1" x="48"/>
        <item m="1" x="130"/>
        <item m="1" x="32"/>
        <item m="1" x="37"/>
        <item m="1" x="30"/>
        <item m="1" x="95"/>
        <item m="1" x="131"/>
        <item m="1" x="57"/>
        <item m="1" x="78"/>
        <item m="1" x="47"/>
        <item m="1" x="74"/>
        <item m="1" x="115"/>
        <item m="1" x="76"/>
        <item m="1" x="77"/>
        <item m="1" x="120"/>
        <item m="1" x="25"/>
        <item m="1" x="36"/>
        <item m="1" x="123"/>
        <item m="1" x="33"/>
        <item m="1" x="142"/>
        <item m="1" x="88"/>
        <item m="1" x="42"/>
        <item m="1" x="96"/>
        <item x="0"/>
        <item m="1" x="112"/>
        <item x="6"/>
        <item m="1" x="27"/>
        <item m="1" x="50"/>
        <item m="1" x="35"/>
        <item m="1" x="90"/>
        <item m="1" x="91"/>
        <item m="1" x="56"/>
        <item m="1" x="141"/>
        <item m="1" x="28"/>
        <item m="1" x="41"/>
        <item m="1" x="62"/>
        <item m="1" x="108"/>
        <item m="1" x="64"/>
        <item m="1" x="66"/>
        <item m="1" x="125"/>
        <item m="1" x="79"/>
        <item m="1" x="129"/>
        <item m="1" x="86"/>
        <item m="1" x="72"/>
        <item m="1" x="99"/>
        <item m="1" x="26"/>
        <item m="1" x="31"/>
        <item m="1" x="132"/>
        <item m="1" x="101"/>
        <item m="1" x="67"/>
        <item m="1" x="140"/>
        <item m="1" x="43"/>
        <item m="1" x="98"/>
        <item x="3"/>
        <item m="1" x="82"/>
        <item m="1" x="22"/>
        <item m="1" x="127"/>
        <item m="1" x="116"/>
        <item m="1" x="137"/>
        <item x="20"/>
        <item x="9"/>
        <item x="10"/>
        <item m="1" x="103"/>
        <item x="14"/>
        <item m="1" x="92"/>
        <item m="1" x="97"/>
        <item x="1"/>
        <item x="2"/>
        <item x="4"/>
        <item x="5"/>
        <item x="8"/>
        <item x="11"/>
        <item x="12"/>
        <item x="13"/>
        <item x="16"/>
        <item x="17"/>
        <item x="18"/>
        <item x="19"/>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axis="axisPage" showAll="0" defaultSubtotal="0">
      <items count="7">
        <item x="0"/>
        <item x="1"/>
        <item m="1" x="4"/>
        <item m="1" x="5"/>
        <item m="1" x="3"/>
        <item m="1" x="6"/>
        <item x="2"/>
      </items>
    </pivotField>
    <pivotField showAll="0" defaultSubtotal="0"/>
    <pivotField showAll="0" defaultSubtotal="0"/>
    <pivotField dataField="1" showAll="0" defaultSubtotal="0"/>
    <pivotField showAll="0" defaultSubtotal="0"/>
    <pivotField showAll="0" defaultSubtotal="0"/>
    <pivotField dragToRow="0" dragToCol="0" dragToPage="0" showAll="0" defaultSubtotal="0"/>
    <pivotField dragToRow="0" dragToCol="0" dragToPage="0" showAll="0" defaultSubtotal="0"/>
  </pivotFields>
  <rowFields count="1">
    <field x="1"/>
  </rowFields>
  <rowItems count="10">
    <i>
      <x v="140"/>
    </i>
    <i>
      <x v="138"/>
    </i>
    <i>
      <x v="7"/>
    </i>
    <i>
      <x v="137"/>
    </i>
    <i>
      <x v="126"/>
    </i>
    <i>
      <x v="88"/>
    </i>
    <i>
      <x v="128"/>
    </i>
    <i>
      <x v="133"/>
    </i>
    <i>
      <x v="141"/>
    </i>
    <i>
      <x v="136"/>
    </i>
  </rowItems>
  <colItems count="1">
    <i/>
  </colItems>
  <pageFields count="1">
    <pageField fld="9" item="0" hier="-1"/>
  </pageFields>
  <dataFields count="1">
    <dataField name="Sum of Seconds Exposure" fld="12" baseField="0" baseItem="0" numFmtId="165"/>
  </dataFields>
  <formats count="5">
    <format dxfId="145">
      <pivotArea collapsedLevelsAreSubtotals="1" fieldPosition="0">
        <references count="1">
          <reference field="1" count="1">
            <x v="1"/>
          </reference>
        </references>
      </pivotArea>
    </format>
    <format dxfId="144">
      <pivotArea collapsedLevelsAreSubtotals="1" fieldPosition="0">
        <references count="1">
          <reference field="1" count="1">
            <x v="1"/>
          </reference>
        </references>
      </pivotArea>
    </format>
    <format dxfId="143">
      <pivotArea outline="0" collapsedLevelsAreSubtotals="1" fieldPosition="0"/>
    </format>
    <format dxfId="142">
      <pivotArea outline="0" collapsedLevelsAreSubtotals="1" fieldPosition="0"/>
    </format>
    <format dxfId="141">
      <pivotArea outline="0" collapsedLevelsAreSubtotals="1" fieldPosition="0"/>
    </format>
  </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1B00-000000000000}" name="PivotTable2" cacheId="4"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location ref="B29:C46" firstHeaderRow="1" firstDataRow="1" firstDataCol="1" rowPageCount="2" colPageCount="1"/>
  <pivotFields count="17">
    <pivotField showAll="0" defaultSubtotal="0"/>
    <pivotField axis="axisRow" showAll="0" sortType="descending" defaultSubtotal="0">
      <items count="187">
        <item m="1" x="139"/>
        <item m="1" x="151"/>
        <item x="14"/>
        <item m="1" x="57"/>
        <item m="1" x="177"/>
        <item m="1" x="176"/>
        <item m="1" x="160"/>
        <item m="1" x="70"/>
        <item m="1" x="175"/>
        <item m="1" x="45"/>
        <item m="1" x="68"/>
        <item x="6"/>
        <item m="1" x="155"/>
        <item m="1" x="82"/>
        <item m="1" x="101"/>
        <item m="1" x="179"/>
        <item m="1" x="148"/>
        <item m="1" x="163"/>
        <item m="1" x="99"/>
        <item m="1" x="104"/>
        <item m="1" x="66"/>
        <item m="1" x="77"/>
        <item m="1" x="125"/>
        <item m="1" x="129"/>
        <item m="1" x="59"/>
        <item m="1" x="22"/>
        <item m="1" x="80"/>
        <item m="1" x="43"/>
        <item m="1" x="84"/>
        <item m="1" x="94"/>
        <item m="1" x="51"/>
        <item m="1" x="182"/>
        <item m="1" x="21"/>
        <item m="1" x="131"/>
        <item m="1" x="36"/>
        <item m="1" x="128"/>
        <item m="1" x="67"/>
        <item m="1" x="167"/>
        <item m="1" x="138"/>
        <item m="1" x="37"/>
        <item m="1" x="117"/>
        <item m="1" x="78"/>
        <item m="1" x="91"/>
        <item m="1" x="32"/>
        <item m="1" x="118"/>
        <item m="1" x="103"/>
        <item m="1" x="171"/>
        <item m="1" x="27"/>
        <item m="1" x="166"/>
        <item m="1" x="158"/>
        <item m="1" x="112"/>
        <item m="1" x="95"/>
        <item m="1" x="62"/>
        <item m="1" x="75"/>
        <item m="1" x="121"/>
        <item m="1" x="23"/>
        <item m="1" x="152"/>
        <item m="1" x="71"/>
        <item m="1" x="102"/>
        <item m="1" x="29"/>
        <item m="1" x="140"/>
        <item m="1" x="56"/>
        <item m="1" x="156"/>
        <item m="1" x="150"/>
        <item m="1" x="154"/>
        <item m="1" x="172"/>
        <item m="1" x="40"/>
        <item m="1" x="58"/>
        <item m="1" x="135"/>
        <item m="1" x="88"/>
        <item m="1" x="142"/>
        <item m="1" x="122"/>
        <item m="1" x="96"/>
        <item m="1" x="60"/>
        <item m="1" x="178"/>
        <item m="1" x="64"/>
        <item m="1" x="153"/>
        <item m="1" x="90"/>
        <item m="1" x="183"/>
        <item m="1" x="98"/>
        <item m="1" x="132"/>
        <item m="1" x="52"/>
        <item m="1" x="92"/>
        <item m="1" x="113"/>
        <item m="1" x="164"/>
        <item m="1" x="136"/>
        <item m="1" x="127"/>
        <item m="1" x="79"/>
        <item m="1" x="65"/>
        <item m="1" x="30"/>
        <item m="1" x="41"/>
        <item m="1" x="134"/>
        <item m="1" x="72"/>
        <item m="1" x="85"/>
        <item m="1" x="111"/>
        <item m="1" x="180"/>
        <item m="1" x="157"/>
        <item m="1" x="137"/>
        <item m="1" x="109"/>
        <item m="1" x="49"/>
        <item m="1" x="87"/>
        <item m="1" x="107"/>
        <item m="1" x="55"/>
        <item m="1" x="74"/>
        <item m="1" x="83"/>
        <item m="1" x="38"/>
        <item m="1" x="185"/>
        <item m="1" x="47"/>
        <item m="1" x="145"/>
        <item m="1" x="81"/>
        <item m="1" x="146"/>
        <item m="1" x="159"/>
        <item m="1" x="26"/>
        <item m="1" x="33"/>
        <item m="1" x="173"/>
        <item m="1" x="54"/>
        <item m="1" x="50"/>
        <item m="1" x="119"/>
        <item m="1" x="53"/>
        <item m="1" x="170"/>
        <item m="1" x="34"/>
        <item m="1" x="39"/>
        <item m="1" x="89"/>
        <item m="1" x="162"/>
        <item m="1" x="143"/>
        <item m="1" x="24"/>
        <item m="1" x="28"/>
        <item m="1" x="161"/>
        <item m="1" x="35"/>
        <item m="1" x="184"/>
        <item m="1" x="48"/>
        <item m="1" x="106"/>
        <item m="1" x="46"/>
        <item m="1" x="86"/>
        <item m="1" x="114"/>
        <item x="0"/>
        <item m="1" x="141"/>
        <item x="5"/>
        <item m="1" x="31"/>
        <item m="1" x="73"/>
        <item m="1" x="174"/>
        <item m="1" x="149"/>
        <item m="1" x="130"/>
        <item m="1" x="108"/>
        <item m="1" x="63"/>
        <item m="1" x="186"/>
        <item m="1" x="44"/>
        <item m="1" x="69"/>
        <item m="1" x="133"/>
        <item m="1" x="120"/>
        <item m="1" x="147"/>
        <item m="1" x="93"/>
        <item m="1" x="165"/>
        <item x="2"/>
        <item m="1" x="169"/>
        <item m="1" x="105"/>
        <item x="13"/>
        <item m="1" x="76"/>
        <item m="1" x="126"/>
        <item m="1" x="61"/>
        <item m="1" x="100"/>
        <item m="1" x="42"/>
        <item m="1" x="123"/>
        <item m="1" x="116"/>
        <item m="1" x="97"/>
        <item m="1" x="25"/>
        <item m="1" x="168"/>
        <item m="1" x="144"/>
        <item m="1" x="181"/>
        <item x="20"/>
        <item x="8"/>
        <item x="9"/>
        <item m="1" x="124"/>
        <item m="1" x="110"/>
        <item m="1" x="115"/>
        <item x="1"/>
        <item x="3"/>
        <item x="4"/>
        <item x="7"/>
        <item x="10"/>
        <item x="11"/>
        <item x="12"/>
        <item x="15"/>
        <item x="16"/>
        <item x="17"/>
        <item x="18"/>
        <item x="19"/>
      </items>
      <autoSortScope>
        <pivotArea dataOnly="0" outline="0" fieldPosition="0">
          <references count="1">
            <reference field="4294967294" count="1" selected="0">
              <x v="0"/>
            </reference>
          </references>
        </pivotArea>
      </autoSortScope>
    </pivotField>
    <pivotField showAll="0" defaultSubtotal="0"/>
    <pivotField numFmtId="46" showAll="0" defaultSubtotal="0"/>
    <pivotField showAll="0" defaultSubtotal="0"/>
    <pivotField numFmtId="46" showAll="0" defaultSubtotal="0"/>
    <pivotField showAll="0" defaultSubtotal="0"/>
    <pivotField showAll="0" defaultSubtotal="0"/>
    <pivotField showAll="0" defaultSubtotal="0"/>
    <pivotField showAll="0" defaultSubtotal="0"/>
    <pivotField axis="axisPage" showAll="0" defaultSubtotal="0">
      <items count="6">
        <item x="1"/>
        <item m="1" x="4"/>
        <item m="1" x="3"/>
        <item x="0"/>
        <item x="2"/>
        <item m="1" x="5"/>
      </items>
    </pivotField>
    <pivotField showAll="0" defaultSubtotal="0"/>
    <pivotField dataField="1" showAll="0" defaultSubtotal="0"/>
    <pivotField axis="axisPage" showAll="0" defaultSubtotal="0">
      <items count="2">
        <item x="1"/>
        <item x="0"/>
      </items>
    </pivotField>
    <pivotField showAll="0" defaultSubtotal="0"/>
    <pivotField dragToRow="0" dragToCol="0" dragToPage="0" showAll="0" defaultSubtotal="0"/>
    <pivotField dragToRow="0" dragToCol="0" dragToPage="0" showAll="0" defaultSubtotal="0"/>
  </pivotFields>
  <rowFields count="1">
    <field x="1"/>
  </rowFields>
  <rowItems count="17">
    <i>
      <x v="11"/>
    </i>
    <i>
      <x v="171"/>
    </i>
    <i>
      <x v="181"/>
    </i>
    <i>
      <x v="135"/>
    </i>
    <i>
      <x v="180"/>
    </i>
    <i>
      <x v="156"/>
    </i>
    <i>
      <x v="176"/>
    </i>
    <i>
      <x v="177"/>
    </i>
    <i>
      <x v="179"/>
    </i>
    <i>
      <x v="182"/>
    </i>
    <i>
      <x v="175"/>
    </i>
    <i>
      <x v="137"/>
    </i>
    <i>
      <x v="178"/>
    </i>
    <i>
      <x v="169"/>
    </i>
    <i>
      <x v="170"/>
    </i>
    <i>
      <x v="186"/>
    </i>
    <i>
      <x v="183"/>
    </i>
  </rowItems>
  <colItems count="1">
    <i/>
  </colItems>
  <pageFields count="2">
    <pageField fld="13" hier="-1"/>
    <pageField fld="10" item="3" hier="-1"/>
  </pageFields>
  <dataFields count="1">
    <dataField name="Sum of Seconds Exposure" fld="12" baseField="0" baseItem="0" numFmtId="165"/>
  </dataFields>
  <formats count="3">
    <format dxfId="132">
      <pivotArea outline="0" collapsedLevelsAreSubtotals="1" fieldPosition="0"/>
    </format>
    <format dxfId="131">
      <pivotArea outline="0" collapsedLevelsAreSubtotals="1" fieldPosition="0"/>
    </format>
    <format dxfId="1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1B00-000001000000}" name="PivotTable9" cacheId="3"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location ref="N29:O30" firstHeaderRow="1" firstDataRow="1" firstDataCol="1" rowPageCount="1" colPageCount="1"/>
  <pivotFields count="17">
    <pivotField showAll="0" defaultSubtotal="0"/>
    <pivotField axis="axisRow" showAll="0" sortType="descending" defaultSubtotal="0">
      <items count="143">
        <item m="1" x="119"/>
        <item x="15"/>
        <item m="1" x="52"/>
        <item m="1" x="134"/>
        <item m="1" x="63"/>
        <item m="1" x="133"/>
        <item m="1" x="60"/>
        <item x="7"/>
        <item m="1" x="122"/>
        <item m="1" x="73"/>
        <item m="1" x="84"/>
        <item m="1" x="136"/>
        <item m="1" x="118"/>
        <item m="1" x="124"/>
        <item m="1" x="83"/>
        <item m="1" x="58"/>
        <item m="1" x="69"/>
        <item m="1" x="104"/>
        <item m="1" x="106"/>
        <item m="1" x="55"/>
        <item m="1" x="71"/>
        <item m="1" x="40"/>
        <item m="1" x="75"/>
        <item m="1" x="80"/>
        <item m="1" x="46"/>
        <item m="1" x="138"/>
        <item m="1" x="87"/>
        <item m="1" x="81"/>
        <item m="1" x="68"/>
        <item m="1" x="54"/>
        <item m="1" x="39"/>
        <item m="1" x="107"/>
        <item m="1" x="61"/>
        <item m="1" x="34"/>
        <item m="1" x="59"/>
        <item m="1" x="126"/>
        <item m="1" x="110"/>
        <item m="1" x="45"/>
        <item m="1" x="111"/>
        <item m="1" x="70"/>
        <item m="1" x="24"/>
        <item m="1" x="94"/>
        <item m="1" x="105"/>
        <item m="1" x="38"/>
        <item m="1" x="102"/>
        <item m="1" x="128"/>
        <item m="1" x="85"/>
        <item m="1" x="51"/>
        <item m="1" x="53"/>
        <item m="1" x="114"/>
        <item m="1" x="135"/>
        <item m="1" x="121"/>
        <item m="1" x="139"/>
        <item m="1" x="113"/>
        <item m="1" x="109"/>
        <item m="1" x="29"/>
        <item m="1" x="65"/>
        <item m="1" x="93"/>
        <item m="1" x="89"/>
        <item m="1" x="21"/>
        <item m="1" x="117"/>
        <item m="1" x="100"/>
        <item m="1" x="23"/>
        <item m="1" x="49"/>
        <item m="1" x="44"/>
        <item m="1" x="48"/>
        <item m="1" x="130"/>
        <item m="1" x="32"/>
        <item m="1" x="37"/>
        <item m="1" x="30"/>
        <item m="1" x="95"/>
        <item m="1" x="131"/>
        <item m="1" x="57"/>
        <item m="1" x="78"/>
        <item m="1" x="47"/>
        <item m="1" x="74"/>
        <item m="1" x="115"/>
        <item m="1" x="76"/>
        <item m="1" x="77"/>
        <item m="1" x="120"/>
        <item m="1" x="25"/>
        <item m="1" x="36"/>
        <item m="1" x="123"/>
        <item m="1" x="33"/>
        <item m="1" x="142"/>
        <item m="1" x="88"/>
        <item m="1" x="42"/>
        <item m="1" x="96"/>
        <item x="0"/>
        <item m="1" x="112"/>
        <item x="6"/>
        <item m="1" x="27"/>
        <item m="1" x="50"/>
        <item m="1" x="35"/>
        <item m="1" x="90"/>
        <item m="1" x="91"/>
        <item m="1" x="56"/>
        <item m="1" x="141"/>
        <item m="1" x="28"/>
        <item m="1" x="41"/>
        <item m="1" x="62"/>
        <item m="1" x="108"/>
        <item m="1" x="64"/>
        <item m="1" x="66"/>
        <item m="1" x="125"/>
        <item m="1" x="79"/>
        <item m="1" x="129"/>
        <item m="1" x="86"/>
        <item m="1" x="72"/>
        <item m="1" x="99"/>
        <item m="1" x="26"/>
        <item m="1" x="31"/>
        <item m="1" x="132"/>
        <item m="1" x="101"/>
        <item m="1" x="67"/>
        <item m="1" x="140"/>
        <item m="1" x="43"/>
        <item m="1" x="98"/>
        <item x="3"/>
        <item m="1" x="82"/>
        <item m="1" x="22"/>
        <item m="1" x="127"/>
        <item m="1" x="116"/>
        <item m="1" x="137"/>
        <item x="20"/>
        <item x="9"/>
        <item x="10"/>
        <item m="1" x="103"/>
        <item x="14"/>
        <item m="1" x="92"/>
        <item m="1" x="97"/>
        <item x="1"/>
        <item x="2"/>
        <item x="4"/>
        <item x="5"/>
        <item x="8"/>
        <item x="11"/>
        <item x="12"/>
        <item x="13"/>
        <item x="16"/>
        <item x="17"/>
        <item x="18"/>
        <item x="19"/>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Page" showAll="0" defaultSubtotal="0">
      <items count="7">
        <item x="1"/>
        <item m="1" x="4"/>
        <item x="0"/>
        <item x="2"/>
        <item m="1" x="3"/>
        <item m="1" x="6"/>
        <item m="1" x="5"/>
      </items>
    </pivotField>
    <pivotField showAll="0" defaultSubtotal="0"/>
    <pivotField dataField="1" showAll="0" defaultSubtotal="0"/>
    <pivotField showAll="0" defaultSubtotal="0"/>
    <pivotField showAll="0" defaultSubtotal="0"/>
    <pivotField dragToRow="0" dragToCol="0" dragToPage="0" showAll="0" defaultSubtotal="0"/>
    <pivotField dragToRow="0" dragToCol="0" dragToPage="0" showAll="0" defaultSubtotal="0"/>
  </pivotFields>
  <rowFields count="1">
    <field x="1"/>
  </rowFields>
  <rowItems count="1">
    <i>
      <x v="1"/>
    </i>
  </rowItems>
  <colItems count="1">
    <i/>
  </colItems>
  <pageFields count="1">
    <pageField fld="10" item="3" hier="-1"/>
  </pageFields>
  <dataFields count="1">
    <dataField name="Sum of Seconds Exposure" fld="12" baseField="0" baseItem="0" numFmtId="165"/>
  </dataFields>
  <formats count="3">
    <format dxfId="135">
      <pivotArea outline="0" collapsedLevelsAreSubtotals="1" fieldPosition="0"/>
    </format>
    <format dxfId="134">
      <pivotArea outline="0" collapsedLevelsAreSubtotals="1" fieldPosition="0"/>
    </format>
    <format dxfId="1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PivotTable5" cacheId="1"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location ref="B4:C42" firstHeaderRow="1" firstDataRow="1" firstDataCol="1" rowPageCount="2" colPageCount="1"/>
  <pivotFields count="25">
    <pivotField showAll="0"/>
    <pivotField axis="axisRow" showAll="0">
      <items count="92">
        <item x="46"/>
        <item x="11"/>
        <item x="18"/>
        <item x="20"/>
        <item x="29"/>
        <item m="1" x="76"/>
        <item m="1" x="89"/>
        <item x="0"/>
        <item x="1"/>
        <item x="2"/>
        <item m="1" x="67"/>
        <item x="3"/>
        <item m="1" x="75"/>
        <item x="4"/>
        <item m="1" x="69"/>
        <item x="5"/>
        <item m="1" x="71"/>
        <item x="6"/>
        <item m="1" x="51"/>
        <item m="1" x="58"/>
        <item m="1" x="85"/>
        <item x="7"/>
        <item x="8"/>
        <item m="1" x="50"/>
        <item x="9"/>
        <item x="10"/>
        <item m="1" x="90"/>
        <item m="1" x="59"/>
        <item x="12"/>
        <item x="13"/>
        <item m="1" x="88"/>
        <item x="14"/>
        <item x="16"/>
        <item m="1" x="74"/>
        <item x="17"/>
        <item m="1" x="72"/>
        <item m="1" x="70"/>
        <item m="1" x="66"/>
        <item m="1" x="54"/>
        <item m="1" x="65"/>
        <item x="21"/>
        <item m="1" x="87"/>
        <item m="1" x="86"/>
        <item x="22"/>
        <item x="23"/>
        <item m="1" x="82"/>
        <item x="25"/>
        <item x="26"/>
        <item x="27"/>
        <item m="1" x="63"/>
        <item x="31"/>
        <item m="1" x="62"/>
        <item x="33"/>
        <item x="34"/>
        <item m="1" x="81"/>
        <item m="1" x="68"/>
        <item x="35"/>
        <item x="36"/>
        <item m="1" x="73"/>
        <item x="37"/>
        <item m="1" x="52"/>
        <item m="1" x="55"/>
        <item x="38"/>
        <item x="39"/>
        <item x="40"/>
        <item m="1" x="60"/>
        <item x="41"/>
        <item x="42"/>
        <item m="1" x="61"/>
        <item m="1" x="83"/>
        <item m="1" x="57"/>
        <item x="43"/>
        <item x="44"/>
        <item m="1" x="64"/>
        <item m="1" x="47"/>
        <item m="1" x="78"/>
        <item x="45"/>
        <item m="1" x="56"/>
        <item x="15"/>
        <item x="28"/>
        <item x="24"/>
        <item m="1" x="79"/>
        <item x="30"/>
        <item m="1" x="77"/>
        <item m="1" x="80"/>
        <item m="1" x="84"/>
        <item m="1" x="49"/>
        <item x="32"/>
        <item m="1" x="53"/>
        <item x="19"/>
        <item m="1" x="48"/>
        <item t="default"/>
      </items>
    </pivotField>
    <pivotField showAll="0"/>
    <pivotField showAll="0"/>
    <pivotField numFmtId="21" showAll="0"/>
    <pivotField dataField="1" numFmtId="3" showAll="0"/>
    <pivotField numFmtId="165" showAll="0" defaultSubtotal="0"/>
    <pivotField showAll="0"/>
    <pivotField showAll="0"/>
    <pivotField showAll="0" defaultSubtotal="0"/>
    <pivotField showAll="0"/>
    <pivotField axis="axisPage" showAll="0">
      <items count="4">
        <item x="0"/>
        <item x="1"/>
        <item m="1" x="2"/>
        <item t="default"/>
      </items>
    </pivotField>
    <pivotField axis="axisPage" showAll="0">
      <items count="3">
        <item x="0"/>
        <item x="1"/>
        <item t="default"/>
      </items>
    </pivotField>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38">
    <i>
      <x v="1"/>
    </i>
    <i>
      <x v="2"/>
    </i>
    <i>
      <x v="3"/>
    </i>
    <i>
      <x v="7"/>
    </i>
    <i>
      <x v="8"/>
    </i>
    <i>
      <x v="9"/>
    </i>
    <i>
      <x v="11"/>
    </i>
    <i>
      <x v="13"/>
    </i>
    <i>
      <x v="15"/>
    </i>
    <i>
      <x v="17"/>
    </i>
    <i>
      <x v="21"/>
    </i>
    <i>
      <x v="22"/>
    </i>
    <i>
      <x v="24"/>
    </i>
    <i>
      <x v="25"/>
    </i>
    <i>
      <x v="28"/>
    </i>
    <i>
      <x v="29"/>
    </i>
    <i>
      <x v="31"/>
    </i>
    <i>
      <x v="32"/>
    </i>
    <i>
      <x v="34"/>
    </i>
    <i>
      <x v="40"/>
    </i>
    <i>
      <x v="43"/>
    </i>
    <i>
      <x v="44"/>
    </i>
    <i>
      <x v="52"/>
    </i>
    <i>
      <x v="53"/>
    </i>
    <i>
      <x v="56"/>
    </i>
    <i>
      <x v="57"/>
    </i>
    <i>
      <x v="59"/>
    </i>
    <i>
      <x v="62"/>
    </i>
    <i>
      <x v="63"/>
    </i>
    <i>
      <x v="64"/>
    </i>
    <i>
      <x v="66"/>
    </i>
    <i>
      <x v="67"/>
    </i>
    <i>
      <x v="71"/>
    </i>
    <i>
      <x v="72"/>
    </i>
    <i>
      <x v="76"/>
    </i>
    <i>
      <x v="78"/>
    </i>
    <i>
      <x v="80"/>
    </i>
    <i>
      <x v="89"/>
    </i>
  </rowItems>
  <colItems count="1">
    <i/>
  </colItems>
  <pageFields count="2">
    <pageField fld="11" item="0" hier="-1"/>
    <pageField fld="12" item="0" hier="-1"/>
  </pageFields>
  <dataFields count="1">
    <dataField name="Sum of Audienc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000000-0007-0000-2B00-000001000000}" name="PivotTable6" cacheId="1" applyNumberFormats="0" applyBorderFormats="0" applyFontFormats="0" applyPatternFormats="0" applyAlignmentFormats="0" applyWidthHeightFormats="1" dataCaption="Values" updatedVersion="6" minRefreshableVersion="3" useAutoFormatting="1" rowGrandTotals="0" colGrandTotals="0" itemPrintTitles="1" createdVersion="5" indent="0" outline="1" outlineData="1" multipleFieldFilters="0">
  <location ref="J4:K50" firstHeaderRow="1" firstDataRow="1" firstDataCol="1" rowPageCount="1" colPageCount="1"/>
  <pivotFields count="25">
    <pivotField showAll="0"/>
    <pivotField axis="axisRow" showAll="0" sortType="ascending">
      <items count="92">
        <item m="1" x="76"/>
        <item m="1" x="89"/>
        <item x="0"/>
        <item x="1"/>
        <item x="2"/>
        <item m="1" x="67"/>
        <item m="1" x="48"/>
        <item x="3"/>
        <item m="1" x="75"/>
        <item x="4"/>
        <item m="1" x="79"/>
        <item m="1" x="69"/>
        <item x="5"/>
        <item m="1" x="71"/>
        <item x="6"/>
        <item m="1" x="51"/>
        <item m="1" x="58"/>
        <item m="1" x="85"/>
        <item x="7"/>
        <item x="8"/>
        <item x="46"/>
        <item m="1" x="50"/>
        <item m="1" x="53"/>
        <item x="9"/>
        <item x="10"/>
        <item m="1" x="80"/>
        <item x="11"/>
        <item m="1" x="64"/>
        <item m="1" x="90"/>
        <item m="1" x="59"/>
        <item x="12"/>
        <item x="13"/>
        <item m="1" x="88"/>
        <item x="14"/>
        <item x="15"/>
        <item x="16"/>
        <item m="1" x="74"/>
        <item x="17"/>
        <item x="18"/>
        <item m="1" x="72"/>
        <item m="1" x="70"/>
        <item m="1" x="84"/>
        <item m="1" x="66"/>
        <item m="1" x="49"/>
        <item x="19"/>
        <item m="1" x="54"/>
        <item x="20"/>
        <item m="1" x="65"/>
        <item x="21"/>
        <item m="1" x="87"/>
        <item m="1" x="86"/>
        <item x="22"/>
        <item x="23"/>
        <item m="1" x="56"/>
        <item m="1" x="82"/>
        <item x="24"/>
        <item x="25"/>
        <item x="26"/>
        <item x="27"/>
        <item x="28"/>
        <item x="29"/>
        <item m="1" x="63"/>
        <item x="30"/>
        <item x="31"/>
        <item x="32"/>
        <item m="1" x="62"/>
        <item x="33"/>
        <item x="34"/>
        <item m="1" x="81"/>
        <item m="1" x="68"/>
        <item x="35"/>
        <item x="36"/>
        <item m="1" x="77"/>
        <item m="1" x="73"/>
        <item x="37"/>
        <item m="1" x="52"/>
        <item m="1" x="55"/>
        <item x="38"/>
        <item x="39"/>
        <item x="40"/>
        <item m="1" x="60"/>
        <item x="41"/>
        <item x="42"/>
        <item m="1" x="78"/>
        <item m="1" x="61"/>
        <item m="1" x="83"/>
        <item m="1" x="57"/>
        <item x="43"/>
        <item x="44"/>
        <item x="45"/>
        <item m="1" x="47"/>
        <item t="default"/>
      </items>
    </pivotField>
    <pivotField showAll="0"/>
    <pivotField showAll="0"/>
    <pivotField dataField="1" numFmtId="21" showAll="0"/>
    <pivotField numFmtId="3" showAll="0"/>
    <pivotField numFmtId="165" showAll="0" defaultSubtotal="0"/>
    <pivotField showAll="0"/>
    <pivotField showAll="0"/>
    <pivotField showAll="0" defaultSubtotal="0"/>
    <pivotField showAll="0"/>
    <pivotField axis="axisPage" multipleItemSelectionAllowed="1" showAll="0">
      <items count="4">
        <item x="0"/>
        <item h="1" x="1"/>
        <item m="1" x="2"/>
        <item t="default"/>
      </items>
    </pivotField>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46">
    <i>
      <x v="2"/>
    </i>
    <i>
      <x v="3"/>
    </i>
    <i>
      <x v="4"/>
    </i>
    <i>
      <x v="7"/>
    </i>
    <i>
      <x v="9"/>
    </i>
    <i>
      <x v="12"/>
    </i>
    <i>
      <x v="14"/>
    </i>
    <i>
      <x v="18"/>
    </i>
    <i>
      <x v="19"/>
    </i>
    <i>
      <x v="23"/>
    </i>
    <i>
      <x v="24"/>
    </i>
    <i>
      <x v="26"/>
    </i>
    <i>
      <x v="30"/>
    </i>
    <i>
      <x v="31"/>
    </i>
    <i>
      <x v="33"/>
    </i>
    <i>
      <x v="34"/>
    </i>
    <i>
      <x v="35"/>
    </i>
    <i>
      <x v="37"/>
    </i>
    <i>
      <x v="38"/>
    </i>
    <i>
      <x v="44"/>
    </i>
    <i>
      <x v="46"/>
    </i>
    <i>
      <x v="48"/>
    </i>
    <i>
      <x v="51"/>
    </i>
    <i>
      <x v="52"/>
    </i>
    <i>
      <x v="55"/>
    </i>
    <i>
      <x v="56"/>
    </i>
    <i>
      <x v="57"/>
    </i>
    <i>
      <x v="58"/>
    </i>
    <i>
      <x v="59"/>
    </i>
    <i>
      <x v="60"/>
    </i>
    <i>
      <x v="62"/>
    </i>
    <i>
      <x v="63"/>
    </i>
    <i>
      <x v="64"/>
    </i>
    <i>
      <x v="66"/>
    </i>
    <i>
      <x v="67"/>
    </i>
    <i>
      <x v="70"/>
    </i>
    <i>
      <x v="71"/>
    </i>
    <i>
      <x v="74"/>
    </i>
    <i>
      <x v="77"/>
    </i>
    <i>
      <x v="78"/>
    </i>
    <i>
      <x v="79"/>
    </i>
    <i>
      <x v="81"/>
    </i>
    <i>
      <x v="82"/>
    </i>
    <i>
      <x v="87"/>
    </i>
    <i>
      <x v="88"/>
    </i>
    <i>
      <x v="89"/>
    </i>
  </rowItems>
  <colItems count="1">
    <i/>
  </colItems>
  <pageFields count="1">
    <pageField fld="11" hier="-1"/>
  </pageFields>
  <dataFields count="1">
    <dataField name="Sum of Broadcast Duration" fld="4" baseField="0" baseItem="0" numFmtId="46"/>
  </dataFields>
  <formats count="1">
    <format dxfId="7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BIS_R" displayName="BIS_R" ref="A2:B494" totalsRowShown="0" headerRowDxfId="180" headerRowBorderDxfId="179" tableBorderDxfId="178" totalsRowBorderDxfId="177">
  <autoFilter ref="A2:B494" xr:uid="{00000000-0009-0000-0100-000007000000}"/>
  <tableColumns count="2">
    <tableColumn id="1" xr3:uid="{00000000-0010-0000-0000-000001000000}" name="Net Value" dataDxfId="176"/>
    <tableColumn id="2" xr3:uid="{00000000-0010-0000-0000-000002000000}" name="Brand Impact Score" dataDxfId="17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1000000}" name="Continent_Look_Up" displayName="Continent_Look_Up" ref="E2:F131" totalsRowShown="0" headerRowDxfId="174" headerRowBorderDxfId="173" tableBorderDxfId="172" totalsRowBorderDxfId="171">
  <autoFilter ref="E2:F131" xr:uid="{00000000-0009-0000-0100-00000A000000}"/>
  <tableColumns count="2">
    <tableColumn id="1" xr3:uid="{00000000-0010-0000-0100-000001000000}" name="Actual Country Name"/>
    <tableColumn id="2" xr3:uid="{00000000-0010-0000-0100-000002000000}" name="Contin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Pan_Markets" displayName="Pan_Markets" ref="I2:J9" totalsRowShown="0">
  <autoFilter ref="I2:J9" xr:uid="{00000000-0009-0000-0100-00000B000000}"/>
  <tableColumns count="2">
    <tableColumn id="1" xr3:uid="{00000000-0010-0000-0200-000001000000}" name="Appendix Market" dataDxfId="170"/>
    <tableColumn id="2" xr3:uid="{00000000-0010-0000-0200-000002000000}" name="Markets withi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1" displayName="Table1" ref="A1:F1868" totalsRowShown="0">
  <autoFilter ref="A1:F1868" xr:uid="{00000000-0009-0000-0100-000008000000}">
    <filterColumn colId="2">
      <filters>
        <filter val="United KingdomBBC 1"/>
        <filter val="United KingdomBBC 2"/>
        <filter val="United KingdomBBC Red Button"/>
        <filter val="United KingdomBBC Scotland"/>
        <filter val="United KingdomBBC1"/>
        <filter val="United KingdomBBC2"/>
        <filter val="United KingdomBBC4"/>
        <filter val="United KingdomBT Sport 1"/>
        <filter val="United KingdomBT Sport 2"/>
        <filter val="United KingdomBT Sport 3"/>
        <filter val="United KingdomBT Sport//ESPN"/>
        <filter val="United KingdomBT Sport/ESPN"/>
        <filter val="United KingdomCH4 (Stagger)"/>
        <filter val="United KingdomChannel 4"/>
        <filter val="United KingdomEurosport"/>
        <filter val="United KingdomEurosport 1"/>
        <filter val="United KingdomEurosport 2"/>
        <filter val="United KingdomHorse and Country"/>
        <filter val="United KingdomITV"/>
        <filter val="United KingdomITV HD"/>
        <filter val="United KingdomITV1"/>
        <filter val="United KingdomITV3"/>
        <filter val="United KingdomITV4"/>
        <filter val="United KingdomMotors TV"/>
        <filter val="United KingdomPick"/>
        <filter val="United KingdomQuest"/>
        <filter val="United KingdomSky 1"/>
        <filter val="United KingdomSky Sports 1"/>
        <filter val="United KingdomSky Sports 2"/>
        <filter val="United KingdomSky Sports 3"/>
        <filter val="United KingdomSky Sports 4"/>
        <filter val="United KingdomSky Sports 5"/>
        <filter val="United KingdomSky Sports Action"/>
        <filter val="United KingdomSky Sports Arena"/>
        <filter val="United KingdomSky Sports F1"/>
        <filter val="United KingdomSky Sports Golf"/>
        <filter val="United KingdomSky Sports Main Event"/>
        <filter val="United KingdomSky Sports Mix"/>
      </filters>
    </filterColumn>
  </autoFilter>
  <sortState xmlns:xlrd2="http://schemas.microsoft.com/office/spreadsheetml/2017/richdata2" ref="A2:F1868">
    <sortCondition ref="C1:C1868"/>
  </sortState>
  <tableColumns count="6">
    <tableColumn id="1" xr3:uid="{00000000-0010-0000-0300-000001000000}" name="Market" dataDxfId="169"/>
    <tableColumn id="2" xr3:uid="{00000000-0010-0000-0300-000002000000}" name="Broadcaster"/>
    <tableColumn id="3" xr3:uid="{00000000-0010-0000-0300-000003000000}" name="CC">
      <calculatedColumnFormula>CONCATENATE(A2,B2)</calculatedColumnFormula>
    </tableColumn>
    <tableColumn id="4" xr3:uid="{00000000-0010-0000-0300-000004000000}" name="HHR"/>
    <tableColumn id="5" xr3:uid="{00000000-0010-0000-0300-000005000000}" name="Pay TV vs. Free-to-Air"/>
    <tableColumn id="6" xr3:uid="{00000000-0010-0000-0300-000006000000}"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Table91416" displayName="Table91416" ref="A1:F18" totalsRowShown="0" headerRowBorderDxfId="161" tableBorderDxfId="160">
  <autoFilter ref="A1:F18" xr:uid="{00000000-0009-0000-0100-00000F000000}"/>
  <tableColumns count="6">
    <tableColumn id="1" xr3:uid="{00000000-0010-0000-0600-000001000000}" name="  " dataDxfId="159" dataCellStyle="Normal 4"/>
    <tableColumn id="2" xr3:uid="{00000000-0010-0000-0600-000002000000}" name="Date"/>
    <tableColumn id="3" xr3:uid="{00000000-0010-0000-0600-000003000000}" name="Linear TV Audience" dataDxfId="158" dataCellStyle="Comma"/>
    <tableColumn id="4" xr3:uid="{00000000-0010-0000-0600-000004000000}" name="TV Coverage" dataDxfId="157"/>
    <tableColumn id="5" xr3:uid="{00000000-0010-0000-0600-000005000000}" name="Net Media Value" dataDxfId="156" dataCellStyle="Comma"/>
    <tableColumn id="6" xr3:uid="{00000000-0010-0000-0600-000006000000}" name="Column1">
      <calculatedColumnFormula>Table91416[[#This Row],[Linear TV Audience]]/SUM(Table91416[Linear TV Audience])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9000000}" name="Broadcast_BASE" displayName="Broadcast_BASE" ref="A1:S628" totalsRowShown="0">
  <autoFilter ref="A1:S628" xr:uid="{00000000-0009-0000-0100-000001000000}"/>
  <tableColumns count="19">
    <tableColumn id="1" xr3:uid="{00000000-0010-0000-0900-000001000000}" name="Tournament" dataDxfId="129" totalsRowDxfId="128" dataCellStyle="Normal 4">
      <calculatedColumnFormula>#REF!</calculatedColumnFormula>
    </tableColumn>
    <tableColumn id="24" xr3:uid="{00000000-0010-0000-0900-000018000000}" name="Broadcast Market" dataDxfId="127" totalsRowDxfId="126"/>
    <tableColumn id="23" xr3:uid="{00000000-0010-0000-0900-000017000000}" name="Broadcaster" dataDxfId="125" totalsRowDxfId="124"/>
    <tableColumn id="22" xr3:uid="{00000000-0010-0000-0900-000016000000}" name="Programme Type" dataDxfId="123" totalsRowDxfId="122"/>
    <tableColumn id="27" xr3:uid="{00000000-0010-0000-0900-00001B000000}" name="Broadcast Duration" dataDxfId="121" totalsRowDxfId="120"/>
    <tableColumn id="25" xr3:uid="{00000000-0010-0000-0900-000019000000}" name="Audience" dataDxfId="119" totalsRowDxfId="118" dataCellStyle="Comma"/>
    <tableColumn id="30" xr3:uid="{00000000-0010-0000-0900-00001E000000}" name="Rolex EXP" dataDxfId="117" totalsRowDxfId="116" dataCellStyle="Comma"/>
    <tableColumn id="29" xr3:uid="{00000000-0010-0000-0900-00001D000000}" name="Rolex G" dataDxfId="115" totalsRowDxfId="114" dataCellStyle="Comma"/>
    <tableColumn id="28" xr3:uid="{00000000-0010-0000-0900-00001C000000}" name="Rolex N" dataDxfId="113" totalsRowDxfId="112" dataCellStyle="Comma"/>
    <tableColumn id="3" xr3:uid="{00000000-0010-0000-0900-000003000000}" name="Dashboard Rated?" dataDxfId="111" totalsRowDxfId="110" dataCellStyle="Comma"/>
    <tableColumn id="32" xr3:uid="{00000000-0010-0000-0900-000020000000}" name="Broadcast Continent" dataDxfId="109" totalsRowDxfId="108" dataCellStyle="Comma">
      <calculatedColumnFormula>VLOOKUP(Broadcast_BASE[[#This Row],[Broadcast Market]],Continent_Look_Up[],2,FALSE)</calculatedColumnFormula>
    </tableColumn>
    <tableColumn id="2" xr3:uid="{00000000-0010-0000-0900-000002000000}" name="Digital?" dataDxfId="107">
      <calculatedColumnFormula>IF(OR(Broadcast_BASE[[#This Row],[Broadcast Continent]]="Digital",Broadcast_BASE[[#This Row],[Programme Type]]="Digital"),"Y","N")</calculatedColumnFormula>
    </tableColumn>
    <tableColumn id="5" xr3:uid="{00000000-0010-0000-0900-000005000000}" name="Pan Region?" dataDxfId="106" totalsRowDxfId="105">
      <calculatedColumnFormula>IF(ISNUMBER(SEARCH("Pan ",Broadcast_BASE[[#This Row],[Broadcast Market]]))=TRUE,"Y","N")</calculatedColumnFormula>
    </tableColumn>
    <tableColumn id="10" xr3:uid="{00000000-0010-0000-0900-00000A000000}" name="Pay TV vs. FTA">
      <calculatedColumnFormula>VLOOKUP(CONCATENATE(Broadcast_BASE[[#This Row],[Broadcast Market]],Broadcast_BASE[[#This Row],[Broadcaster]]),Table1[[CC]:[Pay TV vs. Free-to-Air]],3,FALSE)</calculatedColumnFormula>
    </tableColumn>
    <tableColumn id="11" xr3:uid="{00000000-0010-0000-0900-00000B000000}" name="Household Reach" dataDxfId="104" totalsRowDxfId="103">
      <calculatedColumnFormula>VLOOKUP(CONCATENATE(Broadcast_BASE[[#This Row],[Broadcast Market]],Broadcast_BASE[[#This Row],[Broadcaster]]),Table1[[CC]:[Pay TV vs. Free-to-Air]],2,FALSE)</calculatedColumnFormula>
    </tableColumn>
    <tableColumn id="13" xr3:uid="{00000000-0010-0000-0900-00000D000000}" name="Rolex S" dataDxfId="102" totalsRowDxfId="101" dataCellStyle="Comma">
      <calculatedColumnFormula>Broadcast_BASE[[#This Row],[Rolex EXP]]*86400</calculatedColumnFormula>
    </tableColumn>
    <tableColumn id="16" xr3:uid="{00000000-0010-0000-0900-000010000000}" name="Rated?" dataDxfId="100" totalsRowDxfId="99" dataCellStyle="Comma">
      <calculatedColumnFormula>IF(Broadcast_BASE[[#This Row],[Dashboard Rated?]]="No","N","Y")</calculatedColumnFormula>
    </tableColumn>
    <tableColumn id="17" xr3:uid="{00000000-0010-0000-0900-000011000000}" name="Men Rat#" dataDxfId="98" totalsRowDxfId="97"/>
    <tableColumn id="18" xr3:uid="{00000000-0010-0000-0900-000012000000}" name="Women Rat#" dataDxfId="96" totalsRowDxfId="9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D000000}" name="Historic_BCast_BASE" displayName="Historic_BCast_BASE" ref="A1:S580" totalsRowShown="0" headerRowDxfId="94" headerRowBorderDxfId="93" tableBorderDxfId="92" totalsRowBorderDxfId="91">
  <autoFilter ref="A1:S580" xr:uid="{00000000-0009-0000-0100-000003000000}"/>
  <tableColumns count="19">
    <tableColumn id="1" xr3:uid="{00000000-0010-0000-0D00-000001000000}" name="Tournament" dataDxfId="90" dataCellStyle="Normal 4"/>
    <tableColumn id="2" xr3:uid="{00000000-0010-0000-0D00-000002000000}" name="Broadcast Market" dataDxfId="89"/>
    <tableColumn id="3" xr3:uid="{00000000-0010-0000-0D00-000003000000}" name="Broadcaster" dataDxfId="88"/>
    <tableColumn id="4" xr3:uid="{00000000-0010-0000-0D00-000004000000}" name="Programme Type" dataDxfId="87"/>
    <tableColumn id="5" xr3:uid="{00000000-0010-0000-0D00-000005000000}" name="Broadcast Duration" dataDxfId="86"/>
    <tableColumn id="6" xr3:uid="{00000000-0010-0000-0D00-000006000000}" name="Audience" dataDxfId="85"/>
    <tableColumn id="7" xr3:uid="{00000000-0010-0000-0D00-000007000000}" name="Rolex EXP" dataDxfId="84"/>
    <tableColumn id="8" xr3:uid="{00000000-0010-0000-0D00-000008000000}" name="Rolex G" dataDxfId="83"/>
    <tableColumn id="9" xr3:uid="{00000000-0010-0000-0D00-000009000000}" name="Rolex N" dataDxfId="82"/>
    <tableColumn id="10" xr3:uid="{00000000-0010-0000-0D00-00000A000000}" name="Dashboard Rated?" dataDxfId="81"/>
    <tableColumn id="11" xr3:uid="{00000000-0010-0000-0D00-00000B000000}" name="Broadcast Continent" dataDxfId="80">
      <calculatedColumnFormula>VLOOKUP(Historic_BCast_BASE[[#This Row],[Broadcast Market]],Continent_Look_Up[],2,FALSE)</calculatedColumnFormula>
    </tableColumn>
    <tableColumn id="12" xr3:uid="{00000000-0010-0000-0D00-00000C000000}" name="Digital?" dataDxfId="79" dataCellStyle="Comma">
      <calculatedColumnFormula>IF(OR(Historic_BCast_BASE[[#This Row],[Broadcast Continent]]="Digital",Historic_BCast_BASE[[#This Row],[Programme Type]]="Digital"),"Y","N")</calculatedColumnFormula>
    </tableColumn>
    <tableColumn id="13" xr3:uid="{00000000-0010-0000-0D00-00000D000000}" name="Pan Region?" dataDxfId="78" dataCellStyle="Comma">
      <calculatedColumnFormula>IF(ISNUMBER(SEARCH("Pan ",Historic_BCast_BASE[[#This Row],[Broadcast Market]]))=TRUE,"Y","N")</calculatedColumnFormula>
    </tableColumn>
    <tableColumn id="14" xr3:uid="{00000000-0010-0000-0D00-00000E000000}" name="Pay TV vs. FTA" dataDxfId="77" dataCellStyle="Comma">
      <calculatedColumnFormula>VLOOKUP(CONCATENATE(Historic_BCast_BASE[[#This Row],[Broadcast Market]],Historic_BCast_BASE[[#This Row],[Broadcaster]]),Table1[[CC]:[Pay TV vs. Free-to-Air]],3,FALSE)</calculatedColumnFormula>
    </tableColumn>
    <tableColumn id="15" xr3:uid="{00000000-0010-0000-0D00-00000F000000}" name="Household Reach" dataDxfId="76" dataCellStyle="Comma">
      <calculatedColumnFormula>VLOOKUP(CONCATENATE(Historic_BCast_BASE[[#This Row],[Broadcast Market]],Historic_BCast_BASE[[#This Row],[Broadcaster]]),Table1[[CC]:[Pay TV vs. Free-to-Air]],2,FALSE)</calculatedColumnFormula>
    </tableColumn>
    <tableColumn id="16" xr3:uid="{00000000-0010-0000-0D00-000010000000}" name="Rolex S" dataDxfId="75" dataCellStyle="Comma">
      <calculatedColumnFormula>Historic_BCast_BASE[[#This Row],[Rolex EXP]]*86400</calculatedColumnFormula>
    </tableColumn>
    <tableColumn id="17" xr3:uid="{00000000-0010-0000-0D00-000011000000}" name="Rated?" dataDxfId="74">
      <calculatedColumnFormula>IF(Historic_BCast_BASE[[#This Row],[Dashboard Rated?]]="No","N","Y")</calculatedColumnFormula>
    </tableColumn>
    <tableColumn id="18" xr3:uid="{00000000-0010-0000-0D00-000012000000}" name="Men Rat#" dataDxfId="73"/>
    <tableColumn id="19" xr3:uid="{00000000-0010-0000-0D00-000013000000}" name="Women Rat#" dataDxfId="72"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ft.com/content/d524cdce-2a17-11e5-acfb-cbd2e1c81cca%20%3e%20thus%20used%20Digiturk" TargetMode="External"/><Relationship Id="rId7" Type="http://schemas.openxmlformats.org/officeDocument/2006/relationships/comments" Target="../comments1.xml"/><Relationship Id="rId2" Type="http://schemas.openxmlformats.org/officeDocument/2006/relationships/hyperlink" Target="https://www.mca.org.mt/sites/default/files/attachments/reports/2013/cmr-sh-2012-report-24-04-2012.pdf" TargetMode="External"/><Relationship Id="rId1" Type="http://schemas.openxmlformats.org/officeDocument/2006/relationships/hyperlink" Target="https://www.mca.org.mt/sites/default/files/attachments/reports/2013/cmr-sh-2012-report-24-04-2012.pdf" TargetMode="External"/><Relationship Id="rId6" Type="http://schemas.openxmlformats.org/officeDocument/2006/relationships/table" Target="../tables/table4.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ivotTable" Target="../pivotTables/pivotTable20.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494"/>
  <sheetViews>
    <sheetView topLeftCell="A67" workbookViewId="0">
      <selection activeCell="E1776" sqref="E1776"/>
    </sheetView>
  </sheetViews>
  <sheetFormatPr defaultRowHeight="15" x14ac:dyDescent="0.25"/>
  <cols>
    <col min="2" max="2" width="34.28515625" bestFit="1" customWidth="1"/>
    <col min="5" max="5" width="21.85546875" customWidth="1"/>
    <col min="6" max="6" width="12" customWidth="1"/>
    <col min="9" max="9" width="18.5703125" customWidth="1"/>
    <col min="10" max="10" width="16.5703125" customWidth="1"/>
  </cols>
  <sheetData>
    <row r="2" spans="1:10" x14ac:dyDescent="0.25">
      <c r="A2" s="27" t="s">
        <v>0</v>
      </c>
      <c r="B2" s="28" t="s">
        <v>1</v>
      </c>
      <c r="E2" s="5" t="s">
        <v>2</v>
      </c>
      <c r="F2" s="5" t="s">
        <v>3</v>
      </c>
      <c r="I2" t="s">
        <v>4</v>
      </c>
      <c r="J2" t="s">
        <v>5</v>
      </c>
    </row>
    <row r="3" spans="1:10" x14ac:dyDescent="0.25">
      <c r="A3" s="29">
        <v>0.05</v>
      </c>
      <c r="B3" s="25">
        <v>1</v>
      </c>
      <c r="E3" s="84" t="s">
        <v>6</v>
      </c>
      <c r="F3" s="91" t="s">
        <v>7</v>
      </c>
      <c r="I3" s="13" t="s">
        <v>8</v>
      </c>
      <c r="J3" t="s">
        <v>9</v>
      </c>
    </row>
    <row r="4" spans="1:10" x14ac:dyDescent="0.25">
      <c r="A4" s="30">
        <v>5.1324000000000002E-2</v>
      </c>
      <c r="B4" s="26">
        <v>1.01</v>
      </c>
      <c r="E4" s="85" t="s">
        <v>10</v>
      </c>
      <c r="F4" s="85" t="s">
        <v>7</v>
      </c>
      <c r="I4" s="13" t="s">
        <v>11</v>
      </c>
      <c r="J4" t="s">
        <v>12</v>
      </c>
    </row>
    <row r="5" spans="1:10" x14ac:dyDescent="0.25">
      <c r="A5" s="29">
        <v>5.2648E-2</v>
      </c>
      <c r="B5" s="25">
        <v>1.0109999999999999</v>
      </c>
      <c r="E5" s="86" t="s">
        <v>13</v>
      </c>
      <c r="F5" s="84" t="s">
        <v>14</v>
      </c>
      <c r="I5" s="13" t="s">
        <v>15</v>
      </c>
      <c r="J5" t="s">
        <v>16</v>
      </c>
    </row>
    <row r="6" spans="1:10" x14ac:dyDescent="0.25">
      <c r="A6" s="30">
        <v>5.3971999999999999E-2</v>
      </c>
      <c r="B6" s="26">
        <v>1.012</v>
      </c>
      <c r="E6" s="87" t="s">
        <v>17</v>
      </c>
      <c r="F6" s="85" t="s">
        <v>18</v>
      </c>
      <c r="I6" s="13" t="s">
        <v>19</v>
      </c>
      <c r="J6" t="s">
        <v>20</v>
      </c>
    </row>
    <row r="7" spans="1:10" x14ac:dyDescent="0.25">
      <c r="A7" s="29">
        <v>5.5295999999999998E-2</v>
      </c>
      <c r="B7" s="25">
        <v>1.0129999999999999</v>
      </c>
      <c r="E7" s="84" t="s">
        <v>17</v>
      </c>
      <c r="F7" s="91" t="s">
        <v>18</v>
      </c>
      <c r="I7" s="13" t="s">
        <v>21</v>
      </c>
      <c r="J7" t="s">
        <v>22</v>
      </c>
    </row>
    <row r="8" spans="1:10" x14ac:dyDescent="0.25">
      <c r="A8" s="30">
        <v>5.6619999999999997E-2</v>
      </c>
      <c r="B8" s="26">
        <v>1.014</v>
      </c>
      <c r="E8" s="87" t="s">
        <v>23</v>
      </c>
      <c r="F8" s="85" t="s">
        <v>7</v>
      </c>
      <c r="I8" s="13" t="s">
        <v>24</v>
      </c>
      <c r="J8" t="s">
        <v>25</v>
      </c>
    </row>
    <row r="9" spans="1:10" x14ac:dyDescent="0.25">
      <c r="A9" s="29">
        <v>5.7943999999999996E-2</v>
      </c>
      <c r="B9" s="25">
        <v>1.0149999999999999</v>
      </c>
      <c r="E9" s="88" t="s">
        <v>26</v>
      </c>
      <c r="F9" s="88" t="s">
        <v>7</v>
      </c>
      <c r="I9" s="13" t="s">
        <v>27</v>
      </c>
      <c r="J9" s="11"/>
    </row>
    <row r="10" spans="1:10" x14ac:dyDescent="0.25">
      <c r="A10" s="30">
        <v>5.9267999999999994E-2</v>
      </c>
      <c r="B10" s="26">
        <v>1.016</v>
      </c>
      <c r="E10" s="87" t="s">
        <v>28</v>
      </c>
      <c r="F10" s="85" t="s">
        <v>7</v>
      </c>
    </row>
    <row r="11" spans="1:10" x14ac:dyDescent="0.25">
      <c r="A11" s="29">
        <v>6.0591999999999993E-2</v>
      </c>
      <c r="B11" s="25">
        <v>1.0169999999999999</v>
      </c>
      <c r="E11" s="84" t="s">
        <v>28</v>
      </c>
      <c r="F11" s="84" t="s">
        <v>7</v>
      </c>
    </row>
    <row r="12" spans="1:10" x14ac:dyDescent="0.25">
      <c r="A12" s="30">
        <v>6.1915999999999992E-2</v>
      </c>
      <c r="B12" s="26">
        <v>1.018</v>
      </c>
      <c r="E12" s="85" t="s">
        <v>29</v>
      </c>
      <c r="F12" s="92" t="s">
        <v>7</v>
      </c>
    </row>
    <row r="13" spans="1:10" x14ac:dyDescent="0.25">
      <c r="A13" s="29">
        <v>6.3239999999999991E-2</v>
      </c>
      <c r="B13" s="25">
        <v>1.0189999999999999</v>
      </c>
      <c r="E13" s="86" t="s">
        <v>29</v>
      </c>
      <c r="F13" s="84" t="s">
        <v>7</v>
      </c>
    </row>
    <row r="14" spans="1:10" x14ac:dyDescent="0.25">
      <c r="A14" s="30">
        <v>6.4563999999999996E-2</v>
      </c>
      <c r="B14" s="26">
        <v>1.02</v>
      </c>
      <c r="E14" s="85" t="s">
        <v>30</v>
      </c>
      <c r="F14" s="85" t="s">
        <v>7</v>
      </c>
    </row>
    <row r="15" spans="1:10" x14ac:dyDescent="0.25">
      <c r="A15" s="29">
        <v>6.5888000000000002E-2</v>
      </c>
      <c r="B15" s="25">
        <v>1.0209999999999999</v>
      </c>
      <c r="E15" s="86" t="s">
        <v>31</v>
      </c>
      <c r="F15" s="84" t="s">
        <v>14</v>
      </c>
    </row>
    <row r="16" spans="1:10" x14ac:dyDescent="0.25">
      <c r="A16" s="30">
        <v>6.7212000000000008E-2</v>
      </c>
      <c r="B16" s="26">
        <v>1.022</v>
      </c>
      <c r="E16" s="85" t="s">
        <v>32</v>
      </c>
      <c r="F16" s="85" t="s">
        <v>18</v>
      </c>
    </row>
    <row r="17" spans="1:6" x14ac:dyDescent="0.25">
      <c r="A17" s="29">
        <v>6.8536000000000014E-2</v>
      </c>
      <c r="B17" s="25">
        <v>1.0229999999999999</v>
      </c>
      <c r="E17" s="84" t="s">
        <v>33</v>
      </c>
      <c r="F17" s="91" t="s">
        <v>7</v>
      </c>
    </row>
    <row r="18" spans="1:6" x14ac:dyDescent="0.25">
      <c r="A18" s="30">
        <v>6.9860000000000019E-2</v>
      </c>
      <c r="B18" s="26">
        <v>1.024</v>
      </c>
      <c r="E18" s="85" t="s">
        <v>33</v>
      </c>
      <c r="F18" s="85" t="s">
        <v>7</v>
      </c>
    </row>
    <row r="19" spans="1:6" x14ac:dyDescent="0.25">
      <c r="A19" s="29">
        <v>7.1184000000000025E-2</v>
      </c>
      <c r="B19" s="25">
        <v>1.0249999999999999</v>
      </c>
      <c r="E19" s="84" t="s">
        <v>34</v>
      </c>
      <c r="F19" s="84" t="s">
        <v>18</v>
      </c>
    </row>
    <row r="20" spans="1:6" x14ac:dyDescent="0.25">
      <c r="A20" s="30">
        <v>7.2508000000000031E-2</v>
      </c>
      <c r="B20" s="26">
        <v>1.026</v>
      </c>
      <c r="E20" s="87" t="s">
        <v>35</v>
      </c>
      <c r="F20" s="85" t="s">
        <v>36</v>
      </c>
    </row>
    <row r="21" spans="1:6" x14ac:dyDescent="0.25">
      <c r="A21" s="29">
        <v>7.3832000000000036E-2</v>
      </c>
      <c r="B21" s="25">
        <v>1.0269999999999999</v>
      </c>
      <c r="E21" s="84" t="s">
        <v>35</v>
      </c>
      <c r="F21" s="93" t="s">
        <v>36</v>
      </c>
    </row>
    <row r="22" spans="1:6" x14ac:dyDescent="0.25">
      <c r="A22" s="30">
        <v>7.5156000000000042E-2</v>
      </c>
      <c r="B22" s="26">
        <v>1.028</v>
      </c>
      <c r="E22" s="87" t="s">
        <v>37</v>
      </c>
      <c r="F22" s="85" t="s">
        <v>14</v>
      </c>
    </row>
    <row r="23" spans="1:6" x14ac:dyDescent="0.25">
      <c r="A23" s="29">
        <v>7.6480000000000048E-2</v>
      </c>
      <c r="B23" s="25">
        <v>1.0289999999999999</v>
      </c>
      <c r="E23" s="86" t="s">
        <v>38</v>
      </c>
      <c r="F23" s="84" t="s">
        <v>18</v>
      </c>
    </row>
    <row r="24" spans="1:6" x14ac:dyDescent="0.25">
      <c r="A24" s="30">
        <v>7.7804000000000054E-2</v>
      </c>
      <c r="B24" s="26">
        <v>1.03</v>
      </c>
      <c r="E24" s="87" t="s">
        <v>39</v>
      </c>
      <c r="F24" s="85" t="s">
        <v>14</v>
      </c>
    </row>
    <row r="25" spans="1:6" x14ac:dyDescent="0.25">
      <c r="A25" s="29">
        <v>7.9128000000000059E-2</v>
      </c>
      <c r="B25" s="25">
        <v>1.0309999999999999</v>
      </c>
      <c r="E25" s="86" t="s">
        <v>40</v>
      </c>
      <c r="F25" s="84" t="s">
        <v>14</v>
      </c>
    </row>
    <row r="26" spans="1:6" x14ac:dyDescent="0.25">
      <c r="A26" s="30">
        <v>8.0452000000000065E-2</v>
      </c>
      <c r="B26" s="26">
        <v>1.032</v>
      </c>
      <c r="E26" s="85" t="s">
        <v>41</v>
      </c>
      <c r="F26" s="85" t="s">
        <v>7</v>
      </c>
    </row>
    <row r="27" spans="1:6" x14ac:dyDescent="0.25">
      <c r="A27" s="29">
        <v>8.1776000000000071E-2</v>
      </c>
      <c r="B27" s="25">
        <v>1.0329999999999999</v>
      </c>
      <c r="E27" s="84" t="s">
        <v>42</v>
      </c>
      <c r="F27" s="91" t="s">
        <v>7</v>
      </c>
    </row>
    <row r="28" spans="1:6" x14ac:dyDescent="0.25">
      <c r="A28" s="30">
        <v>8.3100000000000077E-2</v>
      </c>
      <c r="B28" s="26">
        <v>1.034</v>
      </c>
      <c r="E28" s="87" t="s">
        <v>43</v>
      </c>
      <c r="F28" s="85" t="s">
        <v>7</v>
      </c>
    </row>
    <row r="29" spans="1:6" x14ac:dyDescent="0.25">
      <c r="A29" s="29">
        <v>8.4424000000000082E-2</v>
      </c>
      <c r="B29" s="25">
        <v>1.0349999999999999</v>
      </c>
      <c r="E29" s="84" t="s">
        <v>44</v>
      </c>
      <c r="F29" s="84" t="s">
        <v>7</v>
      </c>
    </row>
    <row r="30" spans="1:6" x14ac:dyDescent="0.25">
      <c r="A30" s="30">
        <v>8.5748000000000088E-2</v>
      </c>
      <c r="B30" s="26">
        <v>1.036</v>
      </c>
      <c r="E30" s="87" t="s">
        <v>45</v>
      </c>
      <c r="F30" s="87" t="s">
        <v>45</v>
      </c>
    </row>
    <row r="31" spans="1:6" x14ac:dyDescent="0.25">
      <c r="A31" s="29">
        <v>8.7072000000000094E-2</v>
      </c>
      <c r="B31" s="25">
        <v>1.0369999999999999</v>
      </c>
      <c r="E31" s="86" t="s">
        <v>46</v>
      </c>
      <c r="F31" s="84" t="s">
        <v>14</v>
      </c>
    </row>
    <row r="32" spans="1:6" x14ac:dyDescent="0.25">
      <c r="A32" s="30">
        <v>8.8396000000000099E-2</v>
      </c>
      <c r="B32" s="26">
        <v>1.038</v>
      </c>
      <c r="E32" s="87" t="s">
        <v>47</v>
      </c>
      <c r="F32" s="85" t="s">
        <v>18</v>
      </c>
    </row>
    <row r="33" spans="1:6" x14ac:dyDescent="0.25">
      <c r="A33" s="29">
        <v>8.9720000000000105E-2</v>
      </c>
      <c r="B33" s="25">
        <v>1.0389999999999999</v>
      </c>
      <c r="E33" s="86" t="s">
        <v>48</v>
      </c>
      <c r="F33" s="84" t="s">
        <v>14</v>
      </c>
    </row>
    <row r="34" spans="1:6" x14ac:dyDescent="0.25">
      <c r="A34" s="30">
        <v>9.1044000000000111E-2</v>
      </c>
      <c r="B34" s="26">
        <v>1.04</v>
      </c>
      <c r="E34" s="87" t="s">
        <v>49</v>
      </c>
      <c r="F34" s="85" t="s">
        <v>50</v>
      </c>
    </row>
    <row r="35" spans="1:6" x14ac:dyDescent="0.25">
      <c r="A35" s="29">
        <v>9.2368000000000117E-2</v>
      </c>
      <c r="B35" s="25">
        <v>1.0409999999999999</v>
      </c>
      <c r="E35" s="86" t="s">
        <v>51</v>
      </c>
      <c r="F35" s="84" t="s">
        <v>7</v>
      </c>
    </row>
    <row r="36" spans="1:6" x14ac:dyDescent="0.25">
      <c r="A36" s="30">
        <v>9.3692000000000122E-2</v>
      </c>
      <c r="B36" s="26">
        <v>1.042</v>
      </c>
      <c r="E36" s="87" t="s">
        <v>52</v>
      </c>
      <c r="F36" s="85" t="s">
        <v>18</v>
      </c>
    </row>
    <row r="37" spans="1:6" x14ac:dyDescent="0.25">
      <c r="A37" s="29">
        <v>9.5016000000000128E-2</v>
      </c>
      <c r="B37" s="25">
        <v>1.0429999999999999</v>
      </c>
      <c r="E37" s="84" t="s">
        <v>53</v>
      </c>
      <c r="F37" s="91" t="s">
        <v>7</v>
      </c>
    </row>
    <row r="38" spans="1:6" x14ac:dyDescent="0.25">
      <c r="A38" s="30">
        <v>9.6340000000000134E-2</v>
      </c>
      <c r="B38" s="26">
        <v>1.044</v>
      </c>
      <c r="E38" s="87" t="s">
        <v>54</v>
      </c>
      <c r="F38" s="85" t="s">
        <v>7</v>
      </c>
    </row>
    <row r="39" spans="1:6" x14ac:dyDescent="0.25">
      <c r="A39" s="29">
        <v>9.766400000000014E-2</v>
      </c>
      <c r="B39" s="25">
        <v>1.0449999999999999</v>
      </c>
      <c r="E39" s="84" t="s">
        <v>55</v>
      </c>
      <c r="F39" s="91" t="s">
        <v>7</v>
      </c>
    </row>
    <row r="40" spans="1:6" x14ac:dyDescent="0.25">
      <c r="A40" s="30">
        <v>9.8988000000000145E-2</v>
      </c>
      <c r="B40" s="26">
        <v>1.046</v>
      </c>
      <c r="E40" s="87" t="s">
        <v>56</v>
      </c>
      <c r="F40" s="85" t="s">
        <v>7</v>
      </c>
    </row>
    <row r="41" spans="1:6" x14ac:dyDescent="0.25">
      <c r="A41" s="29">
        <v>0.10031200000000015</v>
      </c>
      <c r="B41" s="25">
        <v>1.0469999999999999</v>
      </c>
      <c r="E41" s="84" t="s">
        <v>57</v>
      </c>
      <c r="F41" s="91" t="s">
        <v>7</v>
      </c>
    </row>
    <row r="42" spans="1:6" x14ac:dyDescent="0.25">
      <c r="A42" s="30">
        <v>0.10163600000000016</v>
      </c>
      <c r="B42" s="26">
        <v>1.048</v>
      </c>
      <c r="E42" s="87" t="s">
        <v>58</v>
      </c>
      <c r="F42" s="85" t="s">
        <v>14</v>
      </c>
    </row>
    <row r="43" spans="1:6" x14ac:dyDescent="0.25">
      <c r="A43" s="29">
        <v>0.10296000000000016</v>
      </c>
      <c r="B43" s="25">
        <v>1.0489999999999999</v>
      </c>
      <c r="E43" s="84" t="s">
        <v>59</v>
      </c>
      <c r="F43" s="91" t="s">
        <v>18</v>
      </c>
    </row>
    <row r="44" spans="1:6" x14ac:dyDescent="0.25">
      <c r="A44" s="30">
        <v>0.10428400000000017</v>
      </c>
      <c r="B44" s="26">
        <v>1.05</v>
      </c>
      <c r="E44" s="87" t="s">
        <v>60</v>
      </c>
      <c r="F44" s="85" t="s">
        <v>7</v>
      </c>
    </row>
    <row r="45" spans="1:6" x14ac:dyDescent="0.25">
      <c r="A45" s="29">
        <v>0.10560800000000017</v>
      </c>
      <c r="B45" s="25">
        <v>1.0509999999999999</v>
      </c>
      <c r="E45" s="86" t="s">
        <v>61</v>
      </c>
      <c r="F45" s="84" t="s">
        <v>7</v>
      </c>
    </row>
    <row r="46" spans="1:6" x14ac:dyDescent="0.25">
      <c r="A46" s="30">
        <v>0.10693200000000018</v>
      </c>
      <c r="B46" s="26">
        <v>1.052</v>
      </c>
      <c r="E46" s="87" t="s">
        <v>62</v>
      </c>
      <c r="F46" s="85" t="s">
        <v>18</v>
      </c>
    </row>
    <row r="47" spans="1:6" x14ac:dyDescent="0.25">
      <c r="A47" s="29">
        <v>0.10825600000000019</v>
      </c>
      <c r="B47" s="25">
        <v>1.0529999999999999</v>
      </c>
      <c r="E47" s="84" t="s">
        <v>63</v>
      </c>
      <c r="F47" s="91" t="s">
        <v>18</v>
      </c>
    </row>
    <row r="48" spans="1:6" x14ac:dyDescent="0.25">
      <c r="A48" s="30">
        <v>0.10958000000000019</v>
      </c>
      <c r="B48" s="26">
        <v>1.054</v>
      </c>
      <c r="E48" s="87" t="s">
        <v>64</v>
      </c>
      <c r="F48" s="85" t="s">
        <v>7</v>
      </c>
    </row>
    <row r="49" spans="1:6" x14ac:dyDescent="0.25">
      <c r="A49" s="29">
        <v>0.1109040000000002</v>
      </c>
      <c r="B49" s="25">
        <v>1.0549999999999999</v>
      </c>
      <c r="E49" s="84" t="s">
        <v>65</v>
      </c>
      <c r="F49" s="84" t="s">
        <v>50</v>
      </c>
    </row>
    <row r="50" spans="1:6" x14ac:dyDescent="0.25">
      <c r="A50" s="30">
        <v>0.1122280000000002</v>
      </c>
      <c r="B50" s="26">
        <v>1.056</v>
      </c>
      <c r="E50" s="85" t="s">
        <v>65</v>
      </c>
      <c r="F50" s="85" t="s">
        <v>50</v>
      </c>
    </row>
    <row r="51" spans="1:6" x14ac:dyDescent="0.25">
      <c r="A51" s="29">
        <v>0.11355200000000021</v>
      </c>
      <c r="B51" s="25">
        <v>1.0569999999999999</v>
      </c>
      <c r="E51" s="86" t="s">
        <v>66</v>
      </c>
      <c r="F51" s="84" t="s">
        <v>7</v>
      </c>
    </row>
    <row r="52" spans="1:6" x14ac:dyDescent="0.25">
      <c r="A52" s="30">
        <v>0.11487600000000021</v>
      </c>
      <c r="B52" s="26">
        <v>1.0580000000000001</v>
      </c>
      <c r="E52" s="87" t="s">
        <v>67</v>
      </c>
      <c r="F52" s="85" t="s">
        <v>18</v>
      </c>
    </row>
    <row r="53" spans="1:6" x14ac:dyDescent="0.25">
      <c r="A53" s="29">
        <v>0.11620000000000022</v>
      </c>
      <c r="B53" s="25">
        <v>1.0589999999999999</v>
      </c>
      <c r="E53" s="86" t="s">
        <v>68</v>
      </c>
      <c r="F53" s="84" t="s">
        <v>18</v>
      </c>
    </row>
    <row r="54" spans="1:6" x14ac:dyDescent="0.25">
      <c r="A54" s="30">
        <v>0.11752400000000023</v>
      </c>
      <c r="B54" s="26">
        <v>1.06</v>
      </c>
      <c r="E54" s="85" t="s">
        <v>69</v>
      </c>
      <c r="F54" s="92" t="s">
        <v>18</v>
      </c>
    </row>
    <row r="55" spans="1:6" x14ac:dyDescent="0.25">
      <c r="A55" s="29">
        <v>0.11884800000000023</v>
      </c>
      <c r="B55" s="25">
        <v>1.0609999999999999</v>
      </c>
      <c r="E55" s="84" t="s">
        <v>70</v>
      </c>
      <c r="F55" s="84" t="s">
        <v>7</v>
      </c>
    </row>
    <row r="56" spans="1:6" x14ac:dyDescent="0.25">
      <c r="A56" s="30">
        <v>0.12017200000000024</v>
      </c>
      <c r="B56" s="26">
        <v>1.0620000000000001</v>
      </c>
      <c r="E56" s="87" t="s">
        <v>71</v>
      </c>
      <c r="F56" s="85" t="s">
        <v>18</v>
      </c>
    </row>
    <row r="57" spans="1:6" x14ac:dyDescent="0.25">
      <c r="A57" s="29">
        <v>0.12149600000000024</v>
      </c>
      <c r="B57" s="25">
        <v>1.0629999999999999</v>
      </c>
      <c r="E57" s="86" t="s">
        <v>72</v>
      </c>
      <c r="F57" s="84" t="s">
        <v>18</v>
      </c>
    </row>
    <row r="58" spans="1:6" x14ac:dyDescent="0.25">
      <c r="A58" s="30">
        <v>0.12282000000000025</v>
      </c>
      <c r="B58" s="26">
        <v>1.0640000000000001</v>
      </c>
      <c r="E58" s="85" t="s">
        <v>73</v>
      </c>
      <c r="F58" s="94" t="s">
        <v>14</v>
      </c>
    </row>
    <row r="59" spans="1:6" x14ac:dyDescent="0.25">
      <c r="A59" s="29">
        <v>0.12414400000000025</v>
      </c>
      <c r="B59" s="25">
        <v>1.0649999999999999</v>
      </c>
      <c r="E59" s="84" t="s">
        <v>74</v>
      </c>
      <c r="F59" s="84" t="s">
        <v>7</v>
      </c>
    </row>
    <row r="60" spans="1:6" x14ac:dyDescent="0.25">
      <c r="A60" s="30">
        <v>0.12546800000000025</v>
      </c>
      <c r="B60" s="26">
        <v>1.0660000000000001</v>
      </c>
      <c r="E60" s="87" t="s">
        <v>75</v>
      </c>
      <c r="F60" s="85" t="s">
        <v>50</v>
      </c>
    </row>
    <row r="61" spans="1:6" x14ac:dyDescent="0.25">
      <c r="A61" s="29">
        <v>0.12679200000000024</v>
      </c>
      <c r="B61" s="25">
        <v>1.0669999999999999</v>
      </c>
      <c r="E61" s="86" t="s">
        <v>76</v>
      </c>
      <c r="F61" s="84" t="s">
        <v>7</v>
      </c>
    </row>
    <row r="62" spans="1:6" x14ac:dyDescent="0.25">
      <c r="A62" s="30">
        <v>0.12811600000000023</v>
      </c>
      <c r="B62" s="26">
        <v>1.0680000000000001</v>
      </c>
      <c r="E62" s="85" t="s">
        <v>77</v>
      </c>
      <c r="F62" s="85" t="s">
        <v>7</v>
      </c>
    </row>
    <row r="63" spans="1:6" x14ac:dyDescent="0.25">
      <c r="A63" s="29">
        <v>0.12944000000000022</v>
      </c>
      <c r="B63" s="25">
        <v>1.069</v>
      </c>
      <c r="E63" s="84" t="s">
        <v>78</v>
      </c>
      <c r="F63" s="84" t="s">
        <v>7</v>
      </c>
    </row>
    <row r="64" spans="1:6" x14ac:dyDescent="0.25">
      <c r="A64" s="30">
        <v>0.13076400000000021</v>
      </c>
      <c r="B64" s="26">
        <v>1.07</v>
      </c>
      <c r="E64" s="87" t="s">
        <v>79</v>
      </c>
      <c r="F64" s="85" t="s">
        <v>7</v>
      </c>
    </row>
    <row r="65" spans="1:6" x14ac:dyDescent="0.25">
      <c r="A65" s="29">
        <v>0.13208800000000021</v>
      </c>
      <c r="B65" s="25">
        <v>1.071</v>
      </c>
      <c r="E65" s="84" t="s">
        <v>80</v>
      </c>
      <c r="F65" s="84" t="s">
        <v>7</v>
      </c>
    </row>
    <row r="66" spans="1:6" x14ac:dyDescent="0.25">
      <c r="A66" s="30">
        <v>0.1334120000000002</v>
      </c>
      <c r="B66" s="26">
        <v>1.0720000000000001</v>
      </c>
      <c r="E66" s="87" t="s">
        <v>81</v>
      </c>
      <c r="F66" s="85" t="s">
        <v>18</v>
      </c>
    </row>
    <row r="67" spans="1:6" x14ac:dyDescent="0.25">
      <c r="A67" s="29">
        <v>0.13473600000000019</v>
      </c>
      <c r="B67" s="25">
        <v>1.073</v>
      </c>
      <c r="E67" s="84" t="s">
        <v>82</v>
      </c>
      <c r="F67" s="91" t="s">
        <v>7</v>
      </c>
    </row>
    <row r="68" spans="1:6" x14ac:dyDescent="0.25">
      <c r="A68" s="30">
        <v>0.13606000000000018</v>
      </c>
      <c r="B68" s="26">
        <v>1.0740000000000001</v>
      </c>
      <c r="E68" s="87" t="s">
        <v>83</v>
      </c>
      <c r="F68" s="85" t="s">
        <v>14</v>
      </c>
    </row>
    <row r="69" spans="1:6" x14ac:dyDescent="0.25">
      <c r="A69" s="29">
        <v>0.13738400000000017</v>
      </c>
      <c r="B69" s="25">
        <v>1.075</v>
      </c>
      <c r="E69" s="86" t="s">
        <v>84</v>
      </c>
      <c r="F69" s="84" t="s">
        <v>7</v>
      </c>
    </row>
    <row r="70" spans="1:6" x14ac:dyDescent="0.25">
      <c r="A70" s="30">
        <v>0.13870800000000016</v>
      </c>
      <c r="B70" s="26">
        <v>1.0760000000000001</v>
      </c>
      <c r="E70" s="87" t="s">
        <v>85</v>
      </c>
      <c r="F70" s="85" t="s">
        <v>18</v>
      </c>
    </row>
    <row r="71" spans="1:6" x14ac:dyDescent="0.25">
      <c r="A71" s="29">
        <v>0.14003200000000016</v>
      </c>
      <c r="B71" s="25">
        <v>1.077</v>
      </c>
      <c r="E71" s="84" t="s">
        <v>86</v>
      </c>
      <c r="F71" s="84" t="s">
        <v>7</v>
      </c>
    </row>
    <row r="72" spans="1:6" x14ac:dyDescent="0.25">
      <c r="A72" s="30">
        <v>0.14135600000000015</v>
      </c>
      <c r="B72" s="26">
        <v>1.0780000000000001</v>
      </c>
      <c r="E72" s="85" t="s">
        <v>87</v>
      </c>
      <c r="F72" s="85" t="s">
        <v>50</v>
      </c>
    </row>
    <row r="73" spans="1:6" x14ac:dyDescent="0.25">
      <c r="A73" s="29">
        <v>0.14268000000000014</v>
      </c>
      <c r="B73" s="25">
        <v>1.079</v>
      </c>
      <c r="E73" s="84" t="s">
        <v>88</v>
      </c>
      <c r="F73" s="84" t="s">
        <v>18</v>
      </c>
    </row>
    <row r="74" spans="1:6" x14ac:dyDescent="0.25">
      <c r="A74" s="30">
        <v>0.14400400000000013</v>
      </c>
      <c r="B74" s="26">
        <v>1.08</v>
      </c>
      <c r="E74" s="87" t="s">
        <v>89</v>
      </c>
      <c r="F74" s="85" t="s">
        <v>7</v>
      </c>
    </row>
    <row r="75" spans="1:6" x14ac:dyDescent="0.25">
      <c r="A75" s="29">
        <v>0.14532800000000012</v>
      </c>
      <c r="B75" s="25">
        <v>1.081</v>
      </c>
      <c r="E75" s="84" t="s">
        <v>89</v>
      </c>
      <c r="F75" s="91" t="s">
        <v>7</v>
      </c>
    </row>
    <row r="76" spans="1:6" x14ac:dyDescent="0.25">
      <c r="A76" s="30">
        <v>0.14665200000000012</v>
      </c>
      <c r="B76" s="26">
        <v>1.0820000000000001</v>
      </c>
      <c r="E76" s="87" t="s">
        <v>90</v>
      </c>
      <c r="F76" s="85" t="s">
        <v>18</v>
      </c>
    </row>
    <row r="77" spans="1:6" x14ac:dyDescent="0.25">
      <c r="A77" s="29">
        <v>0.14797600000000011</v>
      </c>
      <c r="B77" s="25">
        <v>1.083</v>
      </c>
      <c r="E77" s="86" t="s">
        <v>90</v>
      </c>
      <c r="F77" s="84" t="s">
        <v>18</v>
      </c>
    </row>
    <row r="78" spans="1:6" x14ac:dyDescent="0.25">
      <c r="A78" s="30">
        <v>0.1493000000000001</v>
      </c>
      <c r="B78" s="26">
        <v>1.0840000000000001</v>
      </c>
      <c r="E78" s="85" t="s">
        <v>36</v>
      </c>
      <c r="F78" s="94" t="s">
        <v>36</v>
      </c>
    </row>
    <row r="79" spans="1:6" x14ac:dyDescent="0.25">
      <c r="A79" s="29">
        <v>0.15062400000000009</v>
      </c>
      <c r="B79" s="25">
        <v>1.085</v>
      </c>
      <c r="E79" s="86" t="s">
        <v>91</v>
      </c>
      <c r="F79" s="84" t="s">
        <v>7</v>
      </c>
    </row>
    <row r="80" spans="1:6" x14ac:dyDescent="0.25">
      <c r="A80" s="30">
        <v>0.15194800000000008</v>
      </c>
      <c r="B80" s="26">
        <v>1.0860000000000001</v>
      </c>
      <c r="E80" s="85" t="s">
        <v>92</v>
      </c>
      <c r="F80" s="85" t="s">
        <v>18</v>
      </c>
    </row>
    <row r="81" spans="1:6" x14ac:dyDescent="0.25">
      <c r="A81" s="29">
        <v>0.15327200000000007</v>
      </c>
      <c r="B81" s="25">
        <v>1.087</v>
      </c>
      <c r="E81" s="86" t="s">
        <v>93</v>
      </c>
      <c r="F81" s="84" t="s">
        <v>50</v>
      </c>
    </row>
    <row r="82" spans="1:6" x14ac:dyDescent="0.25">
      <c r="A82" s="30">
        <v>0.15459600000000007</v>
      </c>
      <c r="B82" s="26">
        <v>1.0880000000000001</v>
      </c>
      <c r="E82" s="85" t="s">
        <v>15</v>
      </c>
      <c r="F82" s="85" t="s">
        <v>50</v>
      </c>
    </row>
    <row r="83" spans="1:6" x14ac:dyDescent="0.25">
      <c r="A83" s="29">
        <v>0.15592000000000006</v>
      </c>
      <c r="B83" s="25">
        <v>1.089</v>
      </c>
      <c r="E83" s="86" t="s">
        <v>8</v>
      </c>
      <c r="F83" s="84" t="s">
        <v>18</v>
      </c>
    </row>
    <row r="84" spans="1:6" x14ac:dyDescent="0.25">
      <c r="A84" s="30">
        <v>0.15724400000000005</v>
      </c>
      <c r="B84" s="26">
        <v>1.0900000000000001</v>
      </c>
      <c r="E84" s="85" t="s">
        <v>19</v>
      </c>
      <c r="F84" s="92" t="s">
        <v>18</v>
      </c>
    </row>
    <row r="85" spans="1:6" x14ac:dyDescent="0.25">
      <c r="A85" s="29">
        <v>0.15856800000000004</v>
      </c>
      <c r="B85" s="25">
        <v>1.091</v>
      </c>
      <c r="E85" s="84" t="s">
        <v>94</v>
      </c>
      <c r="F85" s="84" t="s">
        <v>14</v>
      </c>
    </row>
    <row r="86" spans="1:6" x14ac:dyDescent="0.25">
      <c r="A86" s="30">
        <v>0.15989200000000003</v>
      </c>
      <c r="B86" s="26">
        <v>1.0920000000000001</v>
      </c>
      <c r="E86" s="89" t="s">
        <v>95</v>
      </c>
      <c r="F86" s="85" t="s">
        <v>14</v>
      </c>
    </row>
    <row r="87" spans="1:6" x14ac:dyDescent="0.25">
      <c r="A87" s="29">
        <v>0.16121600000000003</v>
      </c>
      <c r="B87" s="25">
        <v>1.093</v>
      </c>
      <c r="E87" s="86" t="s">
        <v>11</v>
      </c>
      <c r="F87" s="84" t="s">
        <v>14</v>
      </c>
    </row>
    <row r="88" spans="1:6" x14ac:dyDescent="0.25">
      <c r="A88" s="30">
        <v>0.16254000000000002</v>
      </c>
      <c r="B88" s="26">
        <v>1.0940000000000001</v>
      </c>
      <c r="E88" s="90" t="s">
        <v>96</v>
      </c>
      <c r="F88" s="85" t="s">
        <v>7</v>
      </c>
    </row>
    <row r="89" spans="1:6" x14ac:dyDescent="0.25">
      <c r="A89" s="29">
        <v>0.16386400000000001</v>
      </c>
      <c r="B89" s="25">
        <v>1.095</v>
      </c>
      <c r="E89" s="84" t="s">
        <v>96</v>
      </c>
      <c r="F89" s="84" t="s">
        <v>7</v>
      </c>
    </row>
    <row r="90" spans="1:6" x14ac:dyDescent="0.25">
      <c r="A90" s="30">
        <v>0.165188</v>
      </c>
      <c r="B90" s="26">
        <v>1.0960000000000001</v>
      </c>
      <c r="E90" s="85" t="s">
        <v>24</v>
      </c>
      <c r="F90" s="85" t="s">
        <v>7</v>
      </c>
    </row>
    <row r="91" spans="1:6" x14ac:dyDescent="0.25">
      <c r="A91" s="29">
        <v>0.16651199999999999</v>
      </c>
      <c r="B91" s="25">
        <v>1.097</v>
      </c>
      <c r="E91" s="84" t="s">
        <v>21</v>
      </c>
      <c r="F91" s="84" t="s">
        <v>50</v>
      </c>
    </row>
    <row r="92" spans="1:6" x14ac:dyDescent="0.25">
      <c r="A92" s="30">
        <v>0.16783599999999999</v>
      </c>
      <c r="B92" s="26">
        <v>1.0980000000000001</v>
      </c>
      <c r="E92" s="85" t="s">
        <v>97</v>
      </c>
      <c r="F92" s="85" t="s">
        <v>18</v>
      </c>
    </row>
    <row r="93" spans="1:6" x14ac:dyDescent="0.25">
      <c r="A93" s="29">
        <v>0.16915999999999998</v>
      </c>
      <c r="B93" s="25">
        <v>1.099</v>
      </c>
      <c r="E93" s="86" t="s">
        <v>98</v>
      </c>
      <c r="F93" s="84" t="s">
        <v>14</v>
      </c>
    </row>
    <row r="94" spans="1:6" x14ac:dyDescent="0.25">
      <c r="A94" s="30">
        <v>0.17048399999999997</v>
      </c>
      <c r="B94" s="26">
        <v>1.1000000000000001</v>
      </c>
      <c r="E94" s="85" t="s">
        <v>99</v>
      </c>
      <c r="F94" s="92" t="s">
        <v>18</v>
      </c>
    </row>
    <row r="95" spans="1:6" x14ac:dyDescent="0.25">
      <c r="A95" s="29">
        <v>0.17180799999999996</v>
      </c>
      <c r="B95" s="25">
        <v>1.101</v>
      </c>
      <c r="E95" s="86" t="s">
        <v>100</v>
      </c>
      <c r="F95" s="84" t="s">
        <v>7</v>
      </c>
    </row>
    <row r="96" spans="1:6" x14ac:dyDescent="0.25">
      <c r="A96" s="30">
        <v>0.17313199999999995</v>
      </c>
      <c r="B96" s="26">
        <v>1.1020000000000001</v>
      </c>
      <c r="E96" s="85" t="s">
        <v>101</v>
      </c>
      <c r="F96" s="92" t="s">
        <v>7</v>
      </c>
    </row>
    <row r="97" spans="1:6" x14ac:dyDescent="0.25">
      <c r="A97" s="29">
        <v>0.17445599999999994</v>
      </c>
      <c r="B97" s="25">
        <v>1.103</v>
      </c>
      <c r="E97" s="84" t="s">
        <v>102</v>
      </c>
      <c r="F97" s="84" t="s">
        <v>102</v>
      </c>
    </row>
    <row r="98" spans="1:6" x14ac:dyDescent="0.25">
      <c r="A98" s="30">
        <v>0.17577999999999994</v>
      </c>
      <c r="B98" s="26">
        <v>1.1040000000000001</v>
      </c>
      <c r="E98" s="87" t="s">
        <v>103</v>
      </c>
      <c r="F98" s="85" t="s">
        <v>7</v>
      </c>
    </row>
    <row r="99" spans="1:6" x14ac:dyDescent="0.25">
      <c r="A99" s="29">
        <v>0.17710399999999993</v>
      </c>
      <c r="B99" s="25">
        <v>1.105</v>
      </c>
      <c r="E99" s="86" t="s">
        <v>104</v>
      </c>
      <c r="F99" s="84" t="s">
        <v>7</v>
      </c>
    </row>
    <row r="100" spans="1:6" x14ac:dyDescent="0.25">
      <c r="A100" s="30">
        <v>0.17842799999999992</v>
      </c>
      <c r="B100" s="26">
        <v>1.1060000000000001</v>
      </c>
      <c r="E100" s="87" t="s">
        <v>105</v>
      </c>
      <c r="F100" s="85" t="s">
        <v>7</v>
      </c>
    </row>
    <row r="101" spans="1:6" x14ac:dyDescent="0.25">
      <c r="A101" s="29">
        <v>0.17975199999999991</v>
      </c>
      <c r="B101" s="25">
        <v>1.107</v>
      </c>
      <c r="E101" s="84" t="s">
        <v>106</v>
      </c>
      <c r="F101" s="91" t="s">
        <v>18</v>
      </c>
    </row>
    <row r="102" spans="1:6" x14ac:dyDescent="0.25">
      <c r="A102" s="30">
        <v>0.1810759999999999</v>
      </c>
      <c r="B102" s="26">
        <v>1.1080000000000001</v>
      </c>
      <c r="E102" s="85" t="s">
        <v>107</v>
      </c>
      <c r="F102" s="92" t="s">
        <v>7</v>
      </c>
    </row>
    <row r="103" spans="1:6" x14ac:dyDescent="0.25">
      <c r="A103" s="29">
        <v>0.1823999999999999</v>
      </c>
      <c r="B103" s="25">
        <v>1.109</v>
      </c>
      <c r="E103" s="84" t="s">
        <v>108</v>
      </c>
      <c r="F103" s="84" t="s">
        <v>7</v>
      </c>
    </row>
    <row r="104" spans="1:6" x14ac:dyDescent="0.25">
      <c r="A104" s="30">
        <v>0.18372399999999989</v>
      </c>
      <c r="B104" s="26">
        <v>1.1100000000000001</v>
      </c>
      <c r="E104" s="87" t="s">
        <v>109</v>
      </c>
      <c r="F104" s="85" t="s">
        <v>50</v>
      </c>
    </row>
    <row r="105" spans="1:6" x14ac:dyDescent="0.25">
      <c r="A105" s="29">
        <v>0.18504799999999988</v>
      </c>
      <c r="B105" s="25">
        <v>1.111</v>
      </c>
      <c r="E105" s="86" t="s">
        <v>110</v>
      </c>
      <c r="F105" s="84" t="s">
        <v>18</v>
      </c>
    </row>
    <row r="106" spans="1:6" x14ac:dyDescent="0.25">
      <c r="A106" s="30">
        <v>0.18637199999999987</v>
      </c>
      <c r="B106" s="26">
        <v>1.1120000000000001</v>
      </c>
      <c r="E106" s="87" t="s">
        <v>111</v>
      </c>
      <c r="F106" s="85" t="s">
        <v>7</v>
      </c>
    </row>
    <row r="107" spans="1:6" x14ac:dyDescent="0.25">
      <c r="A107" s="29">
        <v>0.18769599999999986</v>
      </c>
      <c r="B107" s="25">
        <v>1.113</v>
      </c>
      <c r="E107" s="84" t="s">
        <v>111</v>
      </c>
      <c r="F107" s="91" t="s">
        <v>7</v>
      </c>
    </row>
    <row r="108" spans="1:6" x14ac:dyDescent="0.25">
      <c r="A108" s="30">
        <v>0.18901999999999985</v>
      </c>
      <c r="B108" s="26">
        <v>1.1140000000000001</v>
      </c>
      <c r="E108" s="87" t="s">
        <v>112</v>
      </c>
      <c r="F108" s="85" t="s">
        <v>7</v>
      </c>
    </row>
    <row r="109" spans="1:6" x14ac:dyDescent="0.25">
      <c r="A109" s="29">
        <v>0.19034399999999985</v>
      </c>
      <c r="B109" s="25">
        <v>1.115</v>
      </c>
      <c r="E109" s="86" t="s">
        <v>113</v>
      </c>
      <c r="F109" s="84" t="s">
        <v>7</v>
      </c>
    </row>
    <row r="110" spans="1:6" x14ac:dyDescent="0.25">
      <c r="A110" s="30">
        <v>0.19166799999999984</v>
      </c>
      <c r="B110" s="26">
        <v>1.1160000000000001</v>
      </c>
      <c r="E110" s="85" t="s">
        <v>113</v>
      </c>
      <c r="F110" s="92" t="s">
        <v>7</v>
      </c>
    </row>
    <row r="111" spans="1:6" x14ac:dyDescent="0.25">
      <c r="A111" s="29">
        <v>0.19299199999999983</v>
      </c>
      <c r="B111" s="25">
        <v>1.117</v>
      </c>
      <c r="E111" s="84" t="s">
        <v>114</v>
      </c>
      <c r="F111" s="91" t="s">
        <v>18</v>
      </c>
    </row>
    <row r="112" spans="1:6" x14ac:dyDescent="0.25">
      <c r="A112" s="30">
        <v>0.19431599999999982</v>
      </c>
      <c r="B112" s="26">
        <v>1.1180000000000001</v>
      </c>
      <c r="E112" s="87" t="s">
        <v>115</v>
      </c>
      <c r="F112" s="85" t="s">
        <v>18</v>
      </c>
    </row>
    <row r="113" spans="1:6" x14ac:dyDescent="0.25">
      <c r="A113" s="29">
        <v>0.19563999999999981</v>
      </c>
      <c r="B113" s="25">
        <v>1.119</v>
      </c>
      <c r="E113" s="84" t="s">
        <v>116</v>
      </c>
      <c r="F113" s="91" t="s">
        <v>18</v>
      </c>
    </row>
    <row r="114" spans="1:6" x14ac:dyDescent="0.25">
      <c r="A114" s="30">
        <v>0.19696399999999981</v>
      </c>
      <c r="B114" s="26">
        <v>1.1200000000000001</v>
      </c>
      <c r="E114" s="85" t="s">
        <v>117</v>
      </c>
      <c r="F114" s="92" t="s">
        <v>7</v>
      </c>
    </row>
    <row r="115" spans="1:6" x14ac:dyDescent="0.25">
      <c r="A115" s="29">
        <v>0.1982879999999998</v>
      </c>
      <c r="B115" s="25">
        <v>1.121</v>
      </c>
      <c r="E115" s="86" t="s">
        <v>118</v>
      </c>
      <c r="F115" s="84" t="s">
        <v>18</v>
      </c>
    </row>
    <row r="116" spans="1:6" x14ac:dyDescent="0.25">
      <c r="A116" s="30">
        <v>0.19961199999999979</v>
      </c>
      <c r="B116" s="26">
        <v>1.1220000000000001</v>
      </c>
      <c r="E116" s="85" t="s">
        <v>119</v>
      </c>
      <c r="F116" s="85" t="s">
        <v>7</v>
      </c>
    </row>
    <row r="117" spans="1:6" x14ac:dyDescent="0.25">
      <c r="A117" s="29">
        <v>0.20093599999999978</v>
      </c>
      <c r="B117" s="25">
        <v>1.123</v>
      </c>
      <c r="E117" s="86" t="s">
        <v>120</v>
      </c>
      <c r="F117" s="84" t="s">
        <v>50</v>
      </c>
    </row>
    <row r="118" spans="1:6" x14ac:dyDescent="0.25">
      <c r="A118" s="30">
        <v>0.20225999999999977</v>
      </c>
      <c r="B118" s="26">
        <v>1.1240000000000001</v>
      </c>
      <c r="E118" s="87" t="s">
        <v>121</v>
      </c>
      <c r="F118" s="85" t="s">
        <v>7</v>
      </c>
    </row>
    <row r="119" spans="1:6" x14ac:dyDescent="0.25">
      <c r="A119" s="29">
        <v>0.20358399999999977</v>
      </c>
      <c r="B119" s="25">
        <v>1.125</v>
      </c>
      <c r="E119" s="86" t="s">
        <v>122</v>
      </c>
      <c r="F119" s="84" t="s">
        <v>36</v>
      </c>
    </row>
    <row r="120" spans="1:6" x14ac:dyDescent="0.25">
      <c r="A120" s="30">
        <v>0.20490799999999976</v>
      </c>
      <c r="B120" s="26">
        <v>1.1259999999999999</v>
      </c>
      <c r="E120" s="87" t="s">
        <v>123</v>
      </c>
      <c r="F120" s="85" t="s">
        <v>14</v>
      </c>
    </row>
    <row r="121" spans="1:6" x14ac:dyDescent="0.25">
      <c r="A121" s="29">
        <v>0.20623199999999975</v>
      </c>
      <c r="B121" s="25">
        <v>1.127</v>
      </c>
      <c r="E121" s="86" t="s">
        <v>124</v>
      </c>
      <c r="F121" s="84" t="s">
        <v>18</v>
      </c>
    </row>
    <row r="122" spans="1:6" x14ac:dyDescent="0.25">
      <c r="A122" s="30">
        <v>0.20755599999999974</v>
      </c>
      <c r="B122" s="26">
        <v>1.1279999999999999</v>
      </c>
      <c r="E122" s="87" t="s">
        <v>125</v>
      </c>
      <c r="F122" s="85" t="s">
        <v>14</v>
      </c>
    </row>
    <row r="123" spans="1:6" x14ac:dyDescent="0.25">
      <c r="A123" s="29">
        <v>0.20887999999999973</v>
      </c>
      <c r="B123" s="25">
        <v>1.129</v>
      </c>
      <c r="E123" s="84" t="s">
        <v>126</v>
      </c>
      <c r="F123" s="91" t="s">
        <v>18</v>
      </c>
    </row>
    <row r="124" spans="1:6" x14ac:dyDescent="0.25">
      <c r="A124" s="30">
        <v>0.21020399999999972</v>
      </c>
      <c r="B124" s="26">
        <v>1.1299999999999999</v>
      </c>
      <c r="E124" s="87" t="s">
        <v>127</v>
      </c>
      <c r="F124" s="85" t="s">
        <v>7</v>
      </c>
    </row>
    <row r="125" spans="1:6" x14ac:dyDescent="0.25">
      <c r="A125" s="29">
        <v>0.21152799999999972</v>
      </c>
      <c r="B125" s="25">
        <v>1.131</v>
      </c>
      <c r="E125" s="86" t="s">
        <v>128</v>
      </c>
      <c r="F125" s="84" t="s">
        <v>14</v>
      </c>
    </row>
    <row r="126" spans="1:6" x14ac:dyDescent="0.25">
      <c r="A126" s="30">
        <v>0.21285199999999971</v>
      </c>
      <c r="B126" s="26">
        <v>1.1319999999999999</v>
      </c>
      <c r="E126" s="3" t="s">
        <v>129</v>
      </c>
      <c r="F126" s="85" t="s">
        <v>18</v>
      </c>
    </row>
    <row r="127" spans="1:6" x14ac:dyDescent="0.25">
      <c r="A127" s="29">
        <v>0.2141759999999997</v>
      </c>
      <c r="B127" s="25">
        <v>1.133</v>
      </c>
      <c r="E127" s="95" t="s">
        <v>130</v>
      </c>
      <c r="F127" s="96" t="s">
        <v>7</v>
      </c>
    </row>
    <row r="128" spans="1:6" x14ac:dyDescent="0.25">
      <c r="A128" s="30">
        <v>0.21549999999999969</v>
      </c>
      <c r="B128" s="26">
        <v>1.1339999999999999</v>
      </c>
      <c r="E128" t="s">
        <v>131</v>
      </c>
      <c r="F128" t="s">
        <v>131</v>
      </c>
    </row>
    <row r="129" spans="1:6" x14ac:dyDescent="0.25">
      <c r="A129" s="29">
        <v>0.21682399999999968</v>
      </c>
      <c r="B129" s="25">
        <v>1.135</v>
      </c>
      <c r="E129" t="s">
        <v>132</v>
      </c>
      <c r="F129" s="84" t="s">
        <v>50</v>
      </c>
    </row>
    <row r="130" spans="1:6" x14ac:dyDescent="0.25">
      <c r="A130" s="30">
        <v>0.21814799999999968</v>
      </c>
      <c r="B130" s="26">
        <v>1.1359999999999999</v>
      </c>
      <c r="E130" t="s">
        <v>133</v>
      </c>
      <c r="F130" s="85" t="s">
        <v>18</v>
      </c>
    </row>
    <row r="131" spans="1:6" x14ac:dyDescent="0.25">
      <c r="A131" s="29">
        <v>0.21947199999999967</v>
      </c>
      <c r="B131" s="25">
        <v>1.137</v>
      </c>
      <c r="E131" t="s">
        <v>134</v>
      </c>
      <c r="F131" s="84" t="s">
        <v>14</v>
      </c>
    </row>
    <row r="132" spans="1:6" x14ac:dyDescent="0.25">
      <c r="A132" s="30">
        <v>0.22079599999999966</v>
      </c>
      <c r="B132" s="26">
        <v>1.1379999999999999</v>
      </c>
    </row>
    <row r="133" spans="1:6" x14ac:dyDescent="0.25">
      <c r="A133" s="29">
        <v>0.22211999999999965</v>
      </c>
      <c r="B133" s="25">
        <v>1.139</v>
      </c>
    </row>
    <row r="134" spans="1:6" x14ac:dyDescent="0.25">
      <c r="A134" s="30">
        <v>0.22344399999999964</v>
      </c>
      <c r="B134" s="26">
        <v>1.1399999999999999</v>
      </c>
    </row>
    <row r="135" spans="1:6" x14ac:dyDescent="0.25">
      <c r="A135" s="29">
        <v>0.22476799999999963</v>
      </c>
      <c r="B135" s="25">
        <v>1.141</v>
      </c>
    </row>
    <row r="136" spans="1:6" x14ac:dyDescent="0.25">
      <c r="A136" s="30">
        <v>0.22609199999999963</v>
      </c>
      <c r="B136" s="26">
        <v>1.1419999999999999</v>
      </c>
    </row>
    <row r="137" spans="1:6" x14ac:dyDescent="0.25">
      <c r="A137" s="29">
        <v>0.22741599999999962</v>
      </c>
      <c r="B137" s="25">
        <v>1.143</v>
      </c>
    </row>
    <row r="138" spans="1:6" x14ac:dyDescent="0.25">
      <c r="A138" s="30">
        <v>0.22873999999999961</v>
      </c>
      <c r="B138" s="26">
        <v>1.1439999999999999</v>
      </c>
    </row>
    <row r="139" spans="1:6" x14ac:dyDescent="0.25">
      <c r="A139" s="29">
        <v>0.2300639999999996</v>
      </c>
      <c r="B139" s="25">
        <v>1.145</v>
      </c>
    </row>
    <row r="140" spans="1:6" x14ac:dyDescent="0.25">
      <c r="A140" s="30">
        <v>0.23138799999999959</v>
      </c>
      <c r="B140" s="26">
        <v>1.1459999999999999</v>
      </c>
    </row>
    <row r="141" spans="1:6" x14ac:dyDescent="0.25">
      <c r="A141" s="29">
        <v>0.23271199999999959</v>
      </c>
      <c r="B141" s="25">
        <v>1.147</v>
      </c>
    </row>
    <row r="142" spans="1:6" x14ac:dyDescent="0.25">
      <c r="A142" s="30">
        <v>0.23403599999999958</v>
      </c>
      <c r="B142" s="26">
        <v>1.1479999999999999</v>
      </c>
    </row>
    <row r="143" spans="1:6" x14ac:dyDescent="0.25">
      <c r="A143" s="29">
        <v>0.23535999999999957</v>
      </c>
      <c r="B143" s="25">
        <v>1.149</v>
      </c>
    </row>
    <row r="144" spans="1:6" x14ac:dyDescent="0.25">
      <c r="A144" s="30">
        <v>0.23668399999999956</v>
      </c>
      <c r="B144" s="26">
        <v>1.1499999999999999</v>
      </c>
    </row>
    <row r="145" spans="1:2" x14ac:dyDescent="0.25">
      <c r="A145" s="29">
        <v>0.23800799999999955</v>
      </c>
      <c r="B145" s="25">
        <v>1.151</v>
      </c>
    </row>
    <row r="146" spans="1:2" x14ac:dyDescent="0.25">
      <c r="A146" s="30">
        <v>0.23933199999999955</v>
      </c>
      <c r="B146" s="26">
        <v>1.1519999999999999</v>
      </c>
    </row>
    <row r="147" spans="1:2" x14ac:dyDescent="0.25">
      <c r="A147" s="29">
        <v>0.24065599999999954</v>
      </c>
      <c r="B147" s="25">
        <v>1.153</v>
      </c>
    </row>
    <row r="148" spans="1:2" x14ac:dyDescent="0.25">
      <c r="A148" s="30">
        <v>0.24197999999999953</v>
      </c>
      <c r="B148" s="26">
        <v>1.1539999999999999</v>
      </c>
    </row>
    <row r="149" spans="1:2" x14ac:dyDescent="0.25">
      <c r="A149" s="29">
        <v>0.24330399999999952</v>
      </c>
      <c r="B149" s="25">
        <v>1.155</v>
      </c>
    </row>
    <row r="150" spans="1:2" x14ac:dyDescent="0.25">
      <c r="A150" s="30">
        <v>0.24462799999999951</v>
      </c>
      <c r="B150" s="26">
        <v>1.1559999999999999</v>
      </c>
    </row>
    <row r="151" spans="1:2" x14ac:dyDescent="0.25">
      <c r="A151" s="29">
        <v>0.2459519999999995</v>
      </c>
      <c r="B151" s="25">
        <v>1.157</v>
      </c>
    </row>
    <row r="152" spans="1:2" x14ac:dyDescent="0.25">
      <c r="A152" s="30">
        <v>0.2472759999999995</v>
      </c>
      <c r="B152" s="26">
        <v>1.1579999999999999</v>
      </c>
    </row>
    <row r="153" spans="1:2" x14ac:dyDescent="0.25">
      <c r="A153" s="29">
        <v>0.24859999999999949</v>
      </c>
      <c r="B153" s="25">
        <v>1.159</v>
      </c>
    </row>
    <row r="154" spans="1:2" x14ac:dyDescent="0.25">
      <c r="A154" s="30">
        <v>0.24992399999999948</v>
      </c>
      <c r="B154" s="26">
        <v>1.1599999999999999</v>
      </c>
    </row>
    <row r="155" spans="1:2" x14ac:dyDescent="0.25">
      <c r="A155" s="29">
        <v>0.25124799999999947</v>
      </c>
      <c r="B155" s="25">
        <v>1.161</v>
      </c>
    </row>
    <row r="156" spans="1:2" x14ac:dyDescent="0.25">
      <c r="A156" s="30">
        <v>0.25257199999999946</v>
      </c>
      <c r="B156" s="26">
        <v>1.1619999999999999</v>
      </c>
    </row>
    <row r="157" spans="1:2" x14ac:dyDescent="0.25">
      <c r="A157" s="29">
        <v>0.25389599999999946</v>
      </c>
      <c r="B157" s="25">
        <v>1.163</v>
      </c>
    </row>
    <row r="158" spans="1:2" x14ac:dyDescent="0.25">
      <c r="A158" s="30">
        <v>0.25521999999999945</v>
      </c>
      <c r="B158" s="26">
        <v>1.1639999999999999</v>
      </c>
    </row>
    <row r="159" spans="1:2" x14ac:dyDescent="0.25">
      <c r="A159" s="29">
        <v>0.25654399999999944</v>
      </c>
      <c r="B159" s="25">
        <v>1.165</v>
      </c>
    </row>
    <row r="160" spans="1:2" x14ac:dyDescent="0.25">
      <c r="A160" s="30">
        <v>0.25786799999999943</v>
      </c>
      <c r="B160" s="26">
        <v>1.1659999999999999</v>
      </c>
    </row>
    <row r="161" spans="1:2" x14ac:dyDescent="0.25">
      <c r="A161" s="29">
        <v>0.25919199999999942</v>
      </c>
      <c r="B161" s="25">
        <v>1.167</v>
      </c>
    </row>
    <row r="162" spans="1:2" x14ac:dyDescent="0.25">
      <c r="A162" s="30">
        <v>0.26051599999999941</v>
      </c>
      <c r="B162" s="26">
        <v>1.1679999999999999</v>
      </c>
    </row>
    <row r="163" spans="1:2" x14ac:dyDescent="0.25">
      <c r="A163" s="29">
        <v>0.26183999999999941</v>
      </c>
      <c r="B163" s="25">
        <v>1.169</v>
      </c>
    </row>
    <row r="164" spans="1:2" x14ac:dyDescent="0.25">
      <c r="A164" s="30">
        <v>0.2631639999999994</v>
      </c>
      <c r="B164" s="26">
        <v>1.17</v>
      </c>
    </row>
    <row r="165" spans="1:2" x14ac:dyDescent="0.25">
      <c r="A165" s="29">
        <v>0.26448799999999939</v>
      </c>
      <c r="B165" s="25">
        <v>1.171</v>
      </c>
    </row>
    <row r="166" spans="1:2" x14ac:dyDescent="0.25">
      <c r="A166" s="30">
        <v>0.26581199999999938</v>
      </c>
      <c r="B166" s="26">
        <v>1.1719999999999999</v>
      </c>
    </row>
    <row r="167" spans="1:2" x14ac:dyDescent="0.25">
      <c r="A167" s="29">
        <v>0.26713599999999937</v>
      </c>
      <c r="B167" s="25">
        <v>1.173</v>
      </c>
    </row>
    <row r="168" spans="1:2" x14ac:dyDescent="0.25">
      <c r="A168" s="30">
        <v>0.26845999999999937</v>
      </c>
      <c r="B168" s="26">
        <v>1.1739999999999999</v>
      </c>
    </row>
    <row r="169" spans="1:2" x14ac:dyDescent="0.25">
      <c r="A169" s="29">
        <v>0.26978399999999936</v>
      </c>
      <c r="B169" s="25">
        <v>1.175</v>
      </c>
    </row>
    <row r="170" spans="1:2" x14ac:dyDescent="0.25">
      <c r="A170" s="30">
        <v>0.27110799999999935</v>
      </c>
      <c r="B170" s="26">
        <v>1.1759999999999999</v>
      </c>
    </row>
    <row r="171" spans="1:2" x14ac:dyDescent="0.25">
      <c r="A171" s="29">
        <v>0.27243199999999934</v>
      </c>
      <c r="B171" s="25">
        <v>1.177</v>
      </c>
    </row>
    <row r="172" spans="1:2" x14ac:dyDescent="0.25">
      <c r="A172" s="30">
        <v>0.27375599999999933</v>
      </c>
      <c r="B172" s="26">
        <v>1.1779999999999999</v>
      </c>
    </row>
    <row r="173" spans="1:2" x14ac:dyDescent="0.25">
      <c r="A173" s="29">
        <v>0.27507999999999933</v>
      </c>
      <c r="B173" s="25">
        <v>1.179</v>
      </c>
    </row>
    <row r="174" spans="1:2" x14ac:dyDescent="0.25">
      <c r="A174" s="30">
        <v>0.27640399999999932</v>
      </c>
      <c r="B174" s="26">
        <v>1.18</v>
      </c>
    </row>
    <row r="175" spans="1:2" x14ac:dyDescent="0.25">
      <c r="A175" s="29">
        <v>0.27772799999999931</v>
      </c>
      <c r="B175" s="25">
        <v>1.181</v>
      </c>
    </row>
    <row r="176" spans="1:2" x14ac:dyDescent="0.25">
      <c r="A176" s="30">
        <v>0.2790519999999993</v>
      </c>
      <c r="B176" s="26">
        <v>1.1819999999999999</v>
      </c>
    </row>
    <row r="177" spans="1:2" x14ac:dyDescent="0.25">
      <c r="A177" s="29">
        <v>0.28037599999999929</v>
      </c>
      <c r="B177" s="25">
        <v>1.1830000000000001</v>
      </c>
    </row>
    <row r="178" spans="1:2" x14ac:dyDescent="0.25">
      <c r="A178" s="30">
        <v>0.28169999999999928</v>
      </c>
      <c r="B178" s="26">
        <v>1.1839999999999999</v>
      </c>
    </row>
    <row r="179" spans="1:2" x14ac:dyDescent="0.25">
      <c r="A179" s="29">
        <v>0.28302399999999928</v>
      </c>
      <c r="B179" s="25">
        <v>1.1850000000000001</v>
      </c>
    </row>
    <row r="180" spans="1:2" x14ac:dyDescent="0.25">
      <c r="A180" s="30">
        <v>0.28434799999999927</v>
      </c>
      <c r="B180" s="26">
        <v>1.1859999999999999</v>
      </c>
    </row>
    <row r="181" spans="1:2" x14ac:dyDescent="0.25">
      <c r="A181" s="29">
        <v>0.28567199999999926</v>
      </c>
      <c r="B181" s="25">
        <v>1.1870000000000001</v>
      </c>
    </row>
    <row r="182" spans="1:2" x14ac:dyDescent="0.25">
      <c r="A182" s="30">
        <v>0.28699599999999925</v>
      </c>
      <c r="B182" s="26">
        <v>1.1879999999999999</v>
      </c>
    </row>
    <row r="183" spans="1:2" x14ac:dyDescent="0.25">
      <c r="A183" s="29">
        <v>0.28831999999999924</v>
      </c>
      <c r="B183" s="25">
        <v>1.1890000000000001</v>
      </c>
    </row>
    <row r="184" spans="1:2" x14ac:dyDescent="0.25">
      <c r="A184" s="30">
        <v>0.28964399999999924</v>
      </c>
      <c r="B184" s="26">
        <v>1.19</v>
      </c>
    </row>
    <row r="185" spans="1:2" x14ac:dyDescent="0.25">
      <c r="A185" s="29">
        <v>0.29096799999999923</v>
      </c>
      <c r="B185" s="25">
        <v>1.1910000000000001</v>
      </c>
    </row>
    <row r="186" spans="1:2" x14ac:dyDescent="0.25">
      <c r="A186" s="30">
        <v>0.29229199999999922</v>
      </c>
      <c r="B186" s="26">
        <v>1.1919999999999999</v>
      </c>
    </row>
    <row r="187" spans="1:2" x14ac:dyDescent="0.25">
      <c r="A187" s="29">
        <v>0.29361599999999921</v>
      </c>
      <c r="B187" s="25">
        <v>1.1930000000000001</v>
      </c>
    </row>
    <row r="188" spans="1:2" x14ac:dyDescent="0.25">
      <c r="A188" s="30">
        <v>0.2949399999999992</v>
      </c>
      <c r="B188" s="26">
        <v>1.194</v>
      </c>
    </row>
    <row r="189" spans="1:2" x14ac:dyDescent="0.25">
      <c r="A189" s="29">
        <v>0.29626399999999919</v>
      </c>
      <c r="B189" s="25">
        <v>1.1950000000000001</v>
      </c>
    </row>
    <row r="190" spans="1:2" x14ac:dyDescent="0.25">
      <c r="A190" s="30">
        <v>0.29758799999999919</v>
      </c>
      <c r="B190" s="26">
        <v>1.196</v>
      </c>
    </row>
    <row r="191" spans="1:2" x14ac:dyDescent="0.25">
      <c r="A191" s="29">
        <v>0.29891199999999918</v>
      </c>
      <c r="B191" s="25">
        <v>1.1970000000000001</v>
      </c>
    </row>
    <row r="192" spans="1:2" x14ac:dyDescent="0.25">
      <c r="A192" s="30">
        <v>0.30023599999999917</v>
      </c>
      <c r="B192" s="26">
        <v>1.198</v>
      </c>
    </row>
    <row r="193" spans="1:2" x14ac:dyDescent="0.25">
      <c r="A193" s="29">
        <v>0.30155999999999916</v>
      </c>
      <c r="B193" s="25">
        <v>1.1990000000000001</v>
      </c>
    </row>
    <row r="194" spans="1:2" x14ac:dyDescent="0.25">
      <c r="A194" s="30">
        <v>0.30288399999999915</v>
      </c>
      <c r="B194" s="26">
        <v>1.2</v>
      </c>
    </row>
    <row r="195" spans="1:2" x14ac:dyDescent="0.25">
      <c r="A195" s="29">
        <v>0.30420799999999915</v>
      </c>
      <c r="B195" s="25">
        <v>1.2010000000000001</v>
      </c>
    </row>
    <row r="196" spans="1:2" x14ac:dyDescent="0.25">
      <c r="A196" s="30">
        <v>0.30553199999999914</v>
      </c>
      <c r="B196" s="26">
        <v>1.202</v>
      </c>
    </row>
    <row r="197" spans="1:2" x14ac:dyDescent="0.25">
      <c r="A197" s="29">
        <v>0.30685599999999913</v>
      </c>
      <c r="B197" s="25">
        <v>1.2030000000000001</v>
      </c>
    </row>
    <row r="198" spans="1:2" x14ac:dyDescent="0.25">
      <c r="A198" s="30">
        <v>0.30817999999999912</v>
      </c>
      <c r="B198" s="26">
        <v>1.204</v>
      </c>
    </row>
    <row r="199" spans="1:2" x14ac:dyDescent="0.25">
      <c r="A199" s="29">
        <v>0.30950399999999911</v>
      </c>
      <c r="B199" s="25">
        <v>1.2050000000000001</v>
      </c>
    </row>
    <row r="200" spans="1:2" x14ac:dyDescent="0.25">
      <c r="A200" s="30">
        <v>0.31082799999999911</v>
      </c>
      <c r="B200" s="26">
        <v>1.206</v>
      </c>
    </row>
    <row r="201" spans="1:2" x14ac:dyDescent="0.25">
      <c r="A201" s="29">
        <v>0.3121519999999991</v>
      </c>
      <c r="B201" s="25">
        <v>1.2070000000000001</v>
      </c>
    </row>
    <row r="202" spans="1:2" x14ac:dyDescent="0.25">
      <c r="A202" s="30">
        <v>0.31347599999999909</v>
      </c>
      <c r="B202" s="26">
        <v>1.208</v>
      </c>
    </row>
    <row r="203" spans="1:2" x14ac:dyDescent="0.25">
      <c r="A203" s="29">
        <v>0.31479999999999908</v>
      </c>
      <c r="B203" s="25">
        <v>1.2090000000000001</v>
      </c>
    </row>
    <row r="204" spans="1:2" x14ac:dyDescent="0.25">
      <c r="A204" s="30">
        <v>0.31612399999999907</v>
      </c>
      <c r="B204" s="26">
        <v>1.21</v>
      </c>
    </row>
    <row r="205" spans="1:2" x14ac:dyDescent="0.25">
      <c r="A205" s="29">
        <v>0.31744799999999906</v>
      </c>
      <c r="B205" s="25">
        <v>1.2110000000000001</v>
      </c>
    </row>
    <row r="206" spans="1:2" x14ac:dyDescent="0.25">
      <c r="A206" s="30">
        <v>0.31877199999999906</v>
      </c>
      <c r="B206" s="26">
        <v>1.212</v>
      </c>
    </row>
    <row r="207" spans="1:2" x14ac:dyDescent="0.25">
      <c r="A207" s="29">
        <v>0.32009599999999905</v>
      </c>
      <c r="B207" s="25">
        <v>1.2130000000000001</v>
      </c>
    </row>
    <row r="208" spans="1:2" x14ac:dyDescent="0.25">
      <c r="A208" s="30">
        <v>0.32141999999999904</v>
      </c>
      <c r="B208" s="26">
        <v>1.214</v>
      </c>
    </row>
    <row r="209" spans="1:2" x14ac:dyDescent="0.25">
      <c r="A209" s="29">
        <v>0.32274399999999903</v>
      </c>
      <c r="B209" s="25">
        <v>1.2150000000000001</v>
      </c>
    </row>
    <row r="210" spans="1:2" x14ac:dyDescent="0.25">
      <c r="A210" s="30">
        <v>0.32406799999999902</v>
      </c>
      <c r="B210" s="26">
        <v>1.216</v>
      </c>
    </row>
    <row r="211" spans="1:2" x14ac:dyDescent="0.25">
      <c r="A211" s="29">
        <v>0.32539199999999902</v>
      </c>
      <c r="B211" s="25">
        <v>1.2170000000000001</v>
      </c>
    </row>
    <row r="212" spans="1:2" x14ac:dyDescent="0.25">
      <c r="A212" s="30">
        <v>0.32671599999999901</v>
      </c>
      <c r="B212" s="26">
        <v>1.218</v>
      </c>
    </row>
    <row r="213" spans="1:2" x14ac:dyDescent="0.25">
      <c r="A213" s="29">
        <v>0.328039999999999</v>
      </c>
      <c r="B213" s="25">
        <v>1.2190000000000001</v>
      </c>
    </row>
    <row r="214" spans="1:2" x14ac:dyDescent="0.25">
      <c r="A214" s="30">
        <v>0.32936399999999899</v>
      </c>
      <c r="B214" s="26">
        <v>1.22</v>
      </c>
    </row>
    <row r="215" spans="1:2" x14ac:dyDescent="0.25">
      <c r="A215" s="29">
        <v>0.33068799999999898</v>
      </c>
      <c r="B215" s="25">
        <v>1.2210000000000001</v>
      </c>
    </row>
    <row r="216" spans="1:2" x14ac:dyDescent="0.25">
      <c r="A216" s="30">
        <v>0.33201199999999897</v>
      </c>
      <c r="B216" s="26">
        <v>1.222</v>
      </c>
    </row>
    <row r="217" spans="1:2" x14ac:dyDescent="0.25">
      <c r="A217" s="29">
        <v>0.33333599999999897</v>
      </c>
      <c r="B217" s="25">
        <v>1.2230000000000001</v>
      </c>
    </row>
    <row r="218" spans="1:2" x14ac:dyDescent="0.25">
      <c r="A218" s="30">
        <v>0.33465999999999896</v>
      </c>
      <c r="B218" s="26">
        <v>1.224</v>
      </c>
    </row>
    <row r="219" spans="1:2" x14ac:dyDescent="0.25">
      <c r="A219" s="29">
        <v>0.33598399999999895</v>
      </c>
      <c r="B219" s="25">
        <v>1.2250000000000001</v>
      </c>
    </row>
    <row r="220" spans="1:2" x14ac:dyDescent="0.25">
      <c r="A220" s="30">
        <v>0.33730799999999894</v>
      </c>
      <c r="B220" s="26">
        <v>1.226</v>
      </c>
    </row>
    <row r="221" spans="1:2" x14ac:dyDescent="0.25">
      <c r="A221" s="29">
        <v>0.33863199999999893</v>
      </c>
      <c r="B221" s="25">
        <v>1.2270000000000001</v>
      </c>
    </row>
    <row r="222" spans="1:2" x14ac:dyDescent="0.25">
      <c r="A222" s="30">
        <v>0.33995599999999893</v>
      </c>
      <c r="B222" s="26">
        <v>1.228</v>
      </c>
    </row>
    <row r="223" spans="1:2" x14ac:dyDescent="0.25">
      <c r="A223" s="29">
        <v>0.34127999999999892</v>
      </c>
      <c r="B223" s="25">
        <v>1.2290000000000001</v>
      </c>
    </row>
    <row r="224" spans="1:2" x14ac:dyDescent="0.25">
      <c r="A224" s="30">
        <v>0.34260399999999891</v>
      </c>
      <c r="B224" s="26">
        <v>1.23</v>
      </c>
    </row>
    <row r="225" spans="1:2" x14ac:dyDescent="0.25">
      <c r="A225" s="29">
        <v>0.3439279999999989</v>
      </c>
      <c r="B225" s="25">
        <v>1.2310000000000001</v>
      </c>
    </row>
    <row r="226" spans="1:2" x14ac:dyDescent="0.25">
      <c r="A226" s="30">
        <v>0.34525199999999889</v>
      </c>
      <c r="B226" s="26">
        <v>1.232</v>
      </c>
    </row>
    <row r="227" spans="1:2" x14ac:dyDescent="0.25">
      <c r="A227" s="29">
        <v>0.34657599999999888</v>
      </c>
      <c r="B227" s="25">
        <v>1.2330000000000001</v>
      </c>
    </row>
    <row r="228" spans="1:2" x14ac:dyDescent="0.25">
      <c r="A228" s="30">
        <v>0.34789999999999888</v>
      </c>
      <c r="B228" s="26">
        <v>1.234</v>
      </c>
    </row>
    <row r="229" spans="1:2" x14ac:dyDescent="0.25">
      <c r="A229" s="29">
        <v>0.34922399999999887</v>
      </c>
      <c r="B229" s="25">
        <v>1.2350000000000001</v>
      </c>
    </row>
    <row r="230" spans="1:2" x14ac:dyDescent="0.25">
      <c r="A230" s="30">
        <v>0.35054799999999886</v>
      </c>
      <c r="B230" s="26">
        <v>1.236</v>
      </c>
    </row>
    <row r="231" spans="1:2" x14ac:dyDescent="0.25">
      <c r="A231" s="29">
        <v>0.35187199999999885</v>
      </c>
      <c r="B231" s="25">
        <v>1.2370000000000001</v>
      </c>
    </row>
    <row r="232" spans="1:2" x14ac:dyDescent="0.25">
      <c r="A232" s="30">
        <v>0.35319599999999884</v>
      </c>
      <c r="B232" s="26">
        <v>1.238</v>
      </c>
    </row>
    <row r="233" spans="1:2" x14ac:dyDescent="0.25">
      <c r="A233" s="29">
        <v>0.35451999999999884</v>
      </c>
      <c r="B233" s="25">
        <v>1.2390000000000001</v>
      </c>
    </row>
    <row r="234" spans="1:2" x14ac:dyDescent="0.25">
      <c r="A234" s="30">
        <v>0.35584399999999883</v>
      </c>
      <c r="B234" s="26">
        <v>1.24</v>
      </c>
    </row>
    <row r="235" spans="1:2" x14ac:dyDescent="0.25">
      <c r="A235" s="29">
        <v>0.35716799999999882</v>
      </c>
      <c r="B235" s="25">
        <v>1.2410000000000001</v>
      </c>
    </row>
    <row r="236" spans="1:2" x14ac:dyDescent="0.25">
      <c r="A236" s="30">
        <v>0.35849199999999881</v>
      </c>
      <c r="B236" s="26">
        <v>1.242</v>
      </c>
    </row>
    <row r="237" spans="1:2" x14ac:dyDescent="0.25">
      <c r="A237" s="29">
        <v>0.3598159999999988</v>
      </c>
      <c r="B237" s="25">
        <v>1.2430000000000001</v>
      </c>
    </row>
    <row r="238" spans="1:2" x14ac:dyDescent="0.25">
      <c r="A238" s="30">
        <v>0.3611399999999988</v>
      </c>
      <c r="B238" s="26">
        <v>1.244</v>
      </c>
    </row>
    <row r="239" spans="1:2" x14ac:dyDescent="0.25">
      <c r="A239" s="29">
        <v>0.36246399999999879</v>
      </c>
      <c r="B239" s="25">
        <v>1.2450000000000001</v>
      </c>
    </row>
    <row r="240" spans="1:2" x14ac:dyDescent="0.25">
      <c r="A240" s="30">
        <v>0.36378799999999878</v>
      </c>
      <c r="B240" s="26">
        <v>1.246</v>
      </c>
    </row>
    <row r="241" spans="1:2" x14ac:dyDescent="0.25">
      <c r="A241" s="29">
        <v>0.36511199999999877</v>
      </c>
      <c r="B241" s="25">
        <v>1.2470000000000001</v>
      </c>
    </row>
    <row r="242" spans="1:2" x14ac:dyDescent="0.25">
      <c r="A242" s="30">
        <v>0.36643599999999876</v>
      </c>
      <c r="B242" s="26">
        <v>1.248</v>
      </c>
    </row>
    <row r="243" spans="1:2" x14ac:dyDescent="0.25">
      <c r="A243" s="29">
        <v>0.36775999999999875</v>
      </c>
      <c r="B243" s="25">
        <v>1.2490000000000001</v>
      </c>
    </row>
    <row r="244" spans="1:2" x14ac:dyDescent="0.25">
      <c r="A244" s="30">
        <v>0.36908399999999875</v>
      </c>
      <c r="B244" s="26">
        <v>1.25</v>
      </c>
    </row>
    <row r="245" spans="1:2" x14ac:dyDescent="0.25">
      <c r="A245" s="29">
        <v>0.37040799999999874</v>
      </c>
      <c r="B245" s="25">
        <v>1.2509999999999999</v>
      </c>
    </row>
    <row r="246" spans="1:2" x14ac:dyDescent="0.25">
      <c r="A246" s="30">
        <v>0.37173199999999873</v>
      </c>
      <c r="B246" s="26">
        <v>1.252</v>
      </c>
    </row>
    <row r="247" spans="1:2" x14ac:dyDescent="0.25">
      <c r="A247" s="29">
        <v>0.37305599999999872</v>
      </c>
      <c r="B247" s="25">
        <v>1.2529999999999999</v>
      </c>
    </row>
    <row r="248" spans="1:2" x14ac:dyDescent="0.25">
      <c r="A248" s="30">
        <v>0.37437999999999871</v>
      </c>
      <c r="B248" s="26">
        <v>1.254</v>
      </c>
    </row>
    <row r="249" spans="1:2" x14ac:dyDescent="0.25">
      <c r="A249" s="29">
        <v>0.37570399999999871</v>
      </c>
      <c r="B249" s="25">
        <v>1.2549999999999999</v>
      </c>
    </row>
    <row r="250" spans="1:2" x14ac:dyDescent="0.25">
      <c r="A250" s="30">
        <v>0.3770279999999987</v>
      </c>
      <c r="B250" s="26">
        <v>1.256</v>
      </c>
    </row>
    <row r="251" spans="1:2" x14ac:dyDescent="0.25">
      <c r="A251" s="29">
        <v>0.37835199999999869</v>
      </c>
      <c r="B251" s="25">
        <v>1.2569999999999999</v>
      </c>
    </row>
    <row r="252" spans="1:2" x14ac:dyDescent="0.25">
      <c r="A252" s="30">
        <v>0.37967599999999868</v>
      </c>
      <c r="B252" s="26">
        <v>1.258</v>
      </c>
    </row>
    <row r="253" spans="1:2" x14ac:dyDescent="0.25">
      <c r="A253" s="29">
        <v>0.38099999999999867</v>
      </c>
      <c r="B253" s="25">
        <v>1.2589999999999999</v>
      </c>
    </row>
    <row r="254" spans="1:2" x14ac:dyDescent="0.25">
      <c r="A254" s="30">
        <v>0.38232399999999866</v>
      </c>
      <c r="B254" s="26">
        <v>1.26</v>
      </c>
    </row>
    <row r="255" spans="1:2" x14ac:dyDescent="0.25">
      <c r="A255" s="29">
        <v>0.38364799999999866</v>
      </c>
      <c r="B255" s="25">
        <v>1.2609999999999999</v>
      </c>
    </row>
    <row r="256" spans="1:2" x14ac:dyDescent="0.25">
      <c r="A256" s="30">
        <v>0.38497199999999865</v>
      </c>
      <c r="B256" s="26">
        <v>1.262</v>
      </c>
    </row>
    <row r="257" spans="1:2" x14ac:dyDescent="0.25">
      <c r="A257" s="29">
        <v>0.38629599999999864</v>
      </c>
      <c r="B257" s="25">
        <v>1.2629999999999999</v>
      </c>
    </row>
    <row r="258" spans="1:2" x14ac:dyDescent="0.25">
      <c r="A258" s="30">
        <v>0.38761999999999863</v>
      </c>
      <c r="B258" s="26">
        <v>1.264</v>
      </c>
    </row>
    <row r="259" spans="1:2" x14ac:dyDescent="0.25">
      <c r="A259" s="29">
        <v>0.38894399999999862</v>
      </c>
      <c r="B259" s="25">
        <v>1.2649999999999999</v>
      </c>
    </row>
    <row r="260" spans="1:2" x14ac:dyDescent="0.25">
      <c r="A260" s="30">
        <v>0.39026799999999862</v>
      </c>
      <c r="B260" s="26">
        <v>1.266</v>
      </c>
    </row>
    <row r="261" spans="1:2" x14ac:dyDescent="0.25">
      <c r="A261" s="29">
        <v>0.39159199999999861</v>
      </c>
      <c r="B261" s="25">
        <v>1.2669999999999999</v>
      </c>
    </row>
    <row r="262" spans="1:2" x14ac:dyDescent="0.25">
      <c r="A262" s="30">
        <v>0.3929159999999986</v>
      </c>
      <c r="B262" s="26">
        <v>1.268</v>
      </c>
    </row>
    <row r="263" spans="1:2" x14ac:dyDescent="0.25">
      <c r="A263" s="29">
        <v>0.39423999999999859</v>
      </c>
      <c r="B263" s="25">
        <v>1.2689999999999999</v>
      </c>
    </row>
    <row r="264" spans="1:2" x14ac:dyDescent="0.25">
      <c r="A264" s="30">
        <v>0.39556399999999858</v>
      </c>
      <c r="B264" s="26">
        <v>1.27</v>
      </c>
    </row>
    <row r="265" spans="1:2" x14ac:dyDescent="0.25">
      <c r="A265" s="29">
        <v>0.39688799999999858</v>
      </c>
      <c r="B265" s="25">
        <v>1.2709999999999999</v>
      </c>
    </row>
    <row r="266" spans="1:2" x14ac:dyDescent="0.25">
      <c r="A266" s="30">
        <v>0.39821199999999857</v>
      </c>
      <c r="B266" s="26">
        <v>1.272</v>
      </c>
    </row>
    <row r="267" spans="1:2" x14ac:dyDescent="0.25">
      <c r="A267" s="29">
        <v>0.39953599999999856</v>
      </c>
      <c r="B267" s="25">
        <v>1.2729999999999999</v>
      </c>
    </row>
    <row r="268" spans="1:2" x14ac:dyDescent="0.25">
      <c r="A268" s="30">
        <v>0.40085999999999855</v>
      </c>
      <c r="B268" s="26">
        <v>1.274</v>
      </c>
    </row>
    <row r="269" spans="1:2" x14ac:dyDescent="0.25">
      <c r="A269" s="29">
        <v>0.40218399999999854</v>
      </c>
      <c r="B269" s="25">
        <v>1.2749999999999999</v>
      </c>
    </row>
    <row r="270" spans="1:2" x14ac:dyDescent="0.25">
      <c r="A270" s="30">
        <v>0.40350799999999853</v>
      </c>
      <c r="B270" s="26">
        <v>1.276</v>
      </c>
    </row>
    <row r="271" spans="1:2" x14ac:dyDescent="0.25">
      <c r="A271" s="29">
        <v>0.40483199999999853</v>
      </c>
      <c r="B271" s="25">
        <v>1.2769999999999999</v>
      </c>
    </row>
    <row r="272" spans="1:2" x14ac:dyDescent="0.25">
      <c r="A272" s="30">
        <v>0.40615599999999852</v>
      </c>
      <c r="B272" s="26">
        <v>1.278</v>
      </c>
    </row>
    <row r="273" spans="1:2" x14ac:dyDescent="0.25">
      <c r="A273" s="29">
        <v>0.40747999999999851</v>
      </c>
      <c r="B273" s="25">
        <v>1.2789999999999999</v>
      </c>
    </row>
    <row r="274" spans="1:2" x14ac:dyDescent="0.25">
      <c r="A274" s="30">
        <v>0.4088039999999985</v>
      </c>
      <c r="B274" s="26">
        <v>1.28</v>
      </c>
    </row>
    <row r="275" spans="1:2" x14ac:dyDescent="0.25">
      <c r="A275" s="29">
        <v>0.41012799999999849</v>
      </c>
      <c r="B275" s="25">
        <v>1.2809999999999999</v>
      </c>
    </row>
    <row r="276" spans="1:2" x14ac:dyDescent="0.25">
      <c r="A276" s="30">
        <v>0.41145199999999849</v>
      </c>
      <c r="B276" s="26">
        <v>1.282</v>
      </c>
    </row>
    <row r="277" spans="1:2" x14ac:dyDescent="0.25">
      <c r="A277" s="29">
        <v>0.41277599999999848</v>
      </c>
      <c r="B277" s="25">
        <v>1.2829999999999999</v>
      </c>
    </row>
    <row r="278" spans="1:2" x14ac:dyDescent="0.25">
      <c r="A278" s="30">
        <v>0.41409999999999847</v>
      </c>
      <c r="B278" s="26">
        <v>1.284</v>
      </c>
    </row>
    <row r="279" spans="1:2" x14ac:dyDescent="0.25">
      <c r="A279" s="29">
        <v>0.41542399999999846</v>
      </c>
      <c r="B279" s="25">
        <v>1.2849999999999999</v>
      </c>
    </row>
    <row r="280" spans="1:2" x14ac:dyDescent="0.25">
      <c r="A280" s="30">
        <v>0.41674799999999845</v>
      </c>
      <c r="B280" s="26">
        <v>1.286</v>
      </c>
    </row>
    <row r="281" spans="1:2" x14ac:dyDescent="0.25">
      <c r="A281" s="29">
        <v>0.41807199999999844</v>
      </c>
      <c r="B281" s="25">
        <v>1.2869999999999999</v>
      </c>
    </row>
    <row r="282" spans="1:2" x14ac:dyDescent="0.25">
      <c r="A282" s="30">
        <v>0.41939599999999844</v>
      </c>
      <c r="B282" s="26">
        <v>1.288</v>
      </c>
    </row>
    <row r="283" spans="1:2" x14ac:dyDescent="0.25">
      <c r="A283" s="29">
        <v>0.42071999999999843</v>
      </c>
      <c r="B283" s="25">
        <v>1.2889999999999999</v>
      </c>
    </row>
    <row r="284" spans="1:2" x14ac:dyDescent="0.25">
      <c r="A284" s="30">
        <v>0.42204399999999842</v>
      </c>
      <c r="B284" s="26">
        <v>1.29</v>
      </c>
    </row>
    <row r="285" spans="1:2" x14ac:dyDescent="0.25">
      <c r="A285" s="29">
        <v>0.42336799999999841</v>
      </c>
      <c r="B285" s="25">
        <v>1.2909999999999999</v>
      </c>
    </row>
    <row r="286" spans="1:2" x14ac:dyDescent="0.25">
      <c r="A286" s="30">
        <v>0.4246919999999984</v>
      </c>
      <c r="B286" s="26">
        <v>1.292</v>
      </c>
    </row>
    <row r="287" spans="1:2" x14ac:dyDescent="0.25">
      <c r="A287" s="29">
        <v>0.4260159999999984</v>
      </c>
      <c r="B287" s="25">
        <v>1.2929999999999999</v>
      </c>
    </row>
    <row r="288" spans="1:2" x14ac:dyDescent="0.25">
      <c r="A288" s="30">
        <v>0.42733999999999839</v>
      </c>
      <c r="B288" s="26">
        <v>1.294</v>
      </c>
    </row>
    <row r="289" spans="1:2" x14ac:dyDescent="0.25">
      <c r="A289" s="29">
        <v>0.42866399999999838</v>
      </c>
      <c r="B289" s="25">
        <v>1.2949999999999999</v>
      </c>
    </row>
    <row r="290" spans="1:2" x14ac:dyDescent="0.25">
      <c r="A290" s="30">
        <v>0.42998799999999837</v>
      </c>
      <c r="B290" s="26">
        <v>1.296</v>
      </c>
    </row>
    <row r="291" spans="1:2" x14ac:dyDescent="0.25">
      <c r="A291" s="29">
        <v>0.43131199999999836</v>
      </c>
      <c r="B291" s="25">
        <v>1.2969999999999999</v>
      </c>
    </row>
    <row r="292" spans="1:2" x14ac:dyDescent="0.25">
      <c r="A292" s="30">
        <v>0.43263599999999836</v>
      </c>
      <c r="B292" s="26">
        <v>1.298</v>
      </c>
    </row>
    <row r="293" spans="1:2" x14ac:dyDescent="0.25">
      <c r="A293" s="29">
        <v>0.43395999999999835</v>
      </c>
      <c r="B293" s="25">
        <v>1.2989999999999999</v>
      </c>
    </row>
    <row r="294" spans="1:2" x14ac:dyDescent="0.25">
      <c r="A294" s="30">
        <v>0.43528399999999834</v>
      </c>
      <c r="B294" s="26">
        <v>1.3</v>
      </c>
    </row>
    <row r="295" spans="1:2" x14ac:dyDescent="0.25">
      <c r="A295" s="29">
        <v>0.43660799999999833</v>
      </c>
      <c r="B295" s="25">
        <v>1.3009999999999999</v>
      </c>
    </row>
    <row r="296" spans="1:2" x14ac:dyDescent="0.25">
      <c r="A296" s="30">
        <v>0.43793199999999832</v>
      </c>
      <c r="B296" s="26">
        <v>1.302</v>
      </c>
    </row>
    <row r="297" spans="1:2" x14ac:dyDescent="0.25">
      <c r="A297" s="29">
        <v>0.43925599999999831</v>
      </c>
      <c r="B297" s="25">
        <v>1.3029999999999999</v>
      </c>
    </row>
    <row r="298" spans="1:2" x14ac:dyDescent="0.25">
      <c r="A298" s="30">
        <v>0.44057999999999831</v>
      </c>
      <c r="B298" s="26">
        <v>1.304</v>
      </c>
    </row>
    <row r="299" spans="1:2" x14ac:dyDescent="0.25">
      <c r="A299" s="29">
        <v>0.4419039999999983</v>
      </c>
      <c r="B299" s="25">
        <v>1.3049999999999999</v>
      </c>
    </row>
    <row r="300" spans="1:2" x14ac:dyDescent="0.25">
      <c r="A300" s="30">
        <v>0.44322799999999829</v>
      </c>
      <c r="B300" s="26">
        <v>1.306</v>
      </c>
    </row>
    <row r="301" spans="1:2" x14ac:dyDescent="0.25">
      <c r="A301" s="29">
        <v>0.44455199999999828</v>
      </c>
      <c r="B301" s="25">
        <v>1.3069999999999999</v>
      </c>
    </row>
    <row r="302" spans="1:2" x14ac:dyDescent="0.25">
      <c r="A302" s="30">
        <v>0.44587599999999827</v>
      </c>
      <c r="B302" s="26">
        <v>1.3080000000000001</v>
      </c>
    </row>
    <row r="303" spans="1:2" x14ac:dyDescent="0.25">
      <c r="A303" s="29">
        <v>0.44719999999999827</v>
      </c>
      <c r="B303" s="25">
        <v>1.3089999999999999</v>
      </c>
    </row>
    <row r="304" spans="1:2" x14ac:dyDescent="0.25">
      <c r="A304" s="30">
        <v>0.44852399999999826</v>
      </c>
      <c r="B304" s="26">
        <v>1.31</v>
      </c>
    </row>
    <row r="305" spans="1:2" x14ac:dyDescent="0.25">
      <c r="A305" s="29">
        <v>0.44984799999999825</v>
      </c>
      <c r="B305" s="25">
        <v>1.3109999999999999</v>
      </c>
    </row>
    <row r="306" spans="1:2" x14ac:dyDescent="0.25">
      <c r="A306" s="30">
        <v>0.45117199999999824</v>
      </c>
      <c r="B306" s="26">
        <v>1.3120000000000001</v>
      </c>
    </row>
    <row r="307" spans="1:2" x14ac:dyDescent="0.25">
      <c r="A307" s="29">
        <v>0.45249599999999823</v>
      </c>
      <c r="B307" s="25">
        <v>1.3129999999999999</v>
      </c>
    </row>
    <row r="308" spans="1:2" x14ac:dyDescent="0.25">
      <c r="A308" s="30">
        <v>0.45381999999999822</v>
      </c>
      <c r="B308" s="26">
        <v>1.3140000000000001</v>
      </c>
    </row>
    <row r="309" spans="1:2" x14ac:dyDescent="0.25">
      <c r="A309" s="29">
        <v>0.45514399999999822</v>
      </c>
      <c r="B309" s="25">
        <v>1.3149999999999999</v>
      </c>
    </row>
    <row r="310" spans="1:2" x14ac:dyDescent="0.25">
      <c r="A310" s="30">
        <v>0.45646799999999821</v>
      </c>
      <c r="B310" s="26">
        <v>1.3160000000000001</v>
      </c>
    </row>
    <row r="311" spans="1:2" x14ac:dyDescent="0.25">
      <c r="A311" s="29">
        <v>0.4577919999999982</v>
      </c>
      <c r="B311" s="25">
        <v>1.3169999999999999</v>
      </c>
    </row>
    <row r="312" spans="1:2" x14ac:dyDescent="0.25">
      <c r="A312" s="30">
        <v>0.45911599999999819</v>
      </c>
      <c r="B312" s="26">
        <v>1.3180000000000001</v>
      </c>
    </row>
    <row r="313" spans="1:2" x14ac:dyDescent="0.25">
      <c r="A313" s="29">
        <v>0.46043999999999818</v>
      </c>
      <c r="B313" s="25">
        <v>1.319</v>
      </c>
    </row>
    <row r="314" spans="1:2" x14ac:dyDescent="0.25">
      <c r="A314" s="30">
        <v>0.46176399999999818</v>
      </c>
      <c r="B314" s="26">
        <v>1.32</v>
      </c>
    </row>
    <row r="315" spans="1:2" x14ac:dyDescent="0.25">
      <c r="A315" s="29">
        <v>0.46308799999999817</v>
      </c>
      <c r="B315" s="25">
        <v>1.321</v>
      </c>
    </row>
    <row r="316" spans="1:2" x14ac:dyDescent="0.25">
      <c r="A316" s="30">
        <v>0.46441199999999816</v>
      </c>
      <c r="B316" s="26">
        <v>1.3220000000000001</v>
      </c>
    </row>
    <row r="317" spans="1:2" x14ac:dyDescent="0.25">
      <c r="A317" s="29">
        <v>0.46573599999999815</v>
      </c>
      <c r="B317" s="25">
        <v>1.323</v>
      </c>
    </row>
    <row r="318" spans="1:2" x14ac:dyDescent="0.25">
      <c r="A318" s="30">
        <v>0.46705999999999814</v>
      </c>
      <c r="B318" s="26">
        <v>1.3240000000000001</v>
      </c>
    </row>
    <row r="319" spans="1:2" x14ac:dyDescent="0.25">
      <c r="A319" s="29">
        <v>0.46838399999999814</v>
      </c>
      <c r="B319" s="25">
        <v>1.325</v>
      </c>
    </row>
    <row r="320" spans="1:2" x14ac:dyDescent="0.25">
      <c r="A320" s="30">
        <v>0.46970799999999813</v>
      </c>
      <c r="B320" s="26">
        <v>1.3260000000000001</v>
      </c>
    </row>
    <row r="321" spans="1:2" x14ac:dyDescent="0.25">
      <c r="A321" s="29">
        <v>0.47103199999999812</v>
      </c>
      <c r="B321" s="25">
        <v>1.327</v>
      </c>
    </row>
    <row r="322" spans="1:2" x14ac:dyDescent="0.25">
      <c r="A322" s="30">
        <v>0.47235599999999811</v>
      </c>
      <c r="B322" s="26">
        <v>1.3280000000000001</v>
      </c>
    </row>
    <row r="323" spans="1:2" x14ac:dyDescent="0.25">
      <c r="A323" s="29">
        <v>0.4736799999999981</v>
      </c>
      <c r="B323" s="25">
        <v>1.329</v>
      </c>
    </row>
    <row r="324" spans="1:2" x14ac:dyDescent="0.25">
      <c r="A324" s="30">
        <v>0.47500399999999809</v>
      </c>
      <c r="B324" s="26">
        <v>1.33</v>
      </c>
    </row>
    <row r="325" spans="1:2" x14ac:dyDescent="0.25">
      <c r="A325" s="29">
        <v>0.47632799999999809</v>
      </c>
      <c r="B325" s="25">
        <v>1.331</v>
      </c>
    </row>
    <row r="326" spans="1:2" x14ac:dyDescent="0.25">
      <c r="A326" s="30">
        <v>0.47765199999999808</v>
      </c>
      <c r="B326" s="26">
        <v>1.3320000000000001</v>
      </c>
    </row>
    <row r="327" spans="1:2" x14ac:dyDescent="0.25">
      <c r="A327" s="29">
        <v>0.47897599999999807</v>
      </c>
      <c r="B327" s="25">
        <v>1.333</v>
      </c>
    </row>
    <row r="328" spans="1:2" x14ac:dyDescent="0.25">
      <c r="A328" s="30">
        <v>0.48029999999999806</v>
      </c>
      <c r="B328" s="26">
        <v>1.3340000000000001</v>
      </c>
    </row>
    <row r="329" spans="1:2" x14ac:dyDescent="0.25">
      <c r="A329" s="29">
        <v>0.48162399999999805</v>
      </c>
      <c r="B329" s="25">
        <v>1.335</v>
      </c>
    </row>
    <row r="330" spans="1:2" x14ac:dyDescent="0.25">
      <c r="A330" s="30">
        <v>0.48294799999999805</v>
      </c>
      <c r="B330" s="26">
        <v>1.3360000000000001</v>
      </c>
    </row>
    <row r="331" spans="1:2" x14ac:dyDescent="0.25">
      <c r="A331" s="29">
        <v>0.48427199999999804</v>
      </c>
      <c r="B331" s="25">
        <v>1.337</v>
      </c>
    </row>
    <row r="332" spans="1:2" x14ac:dyDescent="0.25">
      <c r="A332" s="30">
        <v>0.48559599999999803</v>
      </c>
      <c r="B332" s="26">
        <v>1.3380000000000001</v>
      </c>
    </row>
    <row r="333" spans="1:2" x14ac:dyDescent="0.25">
      <c r="A333" s="29">
        <v>0.48691999999999802</v>
      </c>
      <c r="B333" s="25">
        <v>1.339</v>
      </c>
    </row>
    <row r="334" spans="1:2" x14ac:dyDescent="0.25">
      <c r="A334" s="30">
        <v>0.48824399999999801</v>
      </c>
      <c r="B334" s="26">
        <v>1.34</v>
      </c>
    </row>
    <row r="335" spans="1:2" x14ac:dyDescent="0.25">
      <c r="A335" s="29">
        <v>0.489567999999998</v>
      </c>
      <c r="B335" s="25">
        <v>1.341</v>
      </c>
    </row>
    <row r="336" spans="1:2" x14ac:dyDescent="0.25">
      <c r="A336" s="30">
        <v>0.490891999999998</v>
      </c>
      <c r="B336" s="26">
        <v>1.3420000000000001</v>
      </c>
    </row>
    <row r="337" spans="1:2" x14ac:dyDescent="0.25">
      <c r="A337" s="29">
        <v>0.49221599999999799</v>
      </c>
      <c r="B337" s="25">
        <v>1.343</v>
      </c>
    </row>
    <row r="338" spans="1:2" x14ac:dyDescent="0.25">
      <c r="A338" s="30">
        <v>0.49353999999999798</v>
      </c>
      <c r="B338" s="26">
        <v>1.3440000000000001</v>
      </c>
    </row>
    <row r="339" spans="1:2" x14ac:dyDescent="0.25">
      <c r="A339" s="29">
        <v>0.49486399999999797</v>
      </c>
      <c r="B339" s="25">
        <v>1.345</v>
      </c>
    </row>
    <row r="340" spans="1:2" x14ac:dyDescent="0.25">
      <c r="A340" s="30">
        <v>0.49618799999999796</v>
      </c>
      <c r="B340" s="26">
        <v>1.3460000000000001</v>
      </c>
    </row>
    <row r="341" spans="1:2" x14ac:dyDescent="0.25">
      <c r="A341" s="29">
        <v>0.49751199999999796</v>
      </c>
      <c r="B341" s="25">
        <v>1.347</v>
      </c>
    </row>
    <row r="342" spans="1:2" x14ac:dyDescent="0.25">
      <c r="A342" s="30">
        <v>0.49883599999999795</v>
      </c>
      <c r="B342" s="26">
        <v>1.3480000000000001</v>
      </c>
    </row>
    <row r="343" spans="1:2" x14ac:dyDescent="0.25">
      <c r="A343" s="29">
        <v>0.50015999999999794</v>
      </c>
      <c r="B343" s="25">
        <v>1.349</v>
      </c>
    </row>
    <row r="344" spans="1:2" x14ac:dyDescent="0.25">
      <c r="A344" s="30">
        <v>0.50148399999999793</v>
      </c>
      <c r="B344" s="26">
        <v>1.35</v>
      </c>
    </row>
    <row r="345" spans="1:2" x14ac:dyDescent="0.25">
      <c r="A345" s="29">
        <v>0.50280799999999792</v>
      </c>
      <c r="B345" s="25">
        <v>1.351</v>
      </c>
    </row>
    <row r="346" spans="1:2" x14ac:dyDescent="0.25">
      <c r="A346" s="30">
        <v>0.50413199999999792</v>
      </c>
      <c r="B346" s="26">
        <v>1.3520000000000001</v>
      </c>
    </row>
    <row r="347" spans="1:2" x14ac:dyDescent="0.25">
      <c r="A347" s="29">
        <v>0.50545599999999791</v>
      </c>
      <c r="B347" s="25">
        <v>1.353</v>
      </c>
    </row>
    <row r="348" spans="1:2" x14ac:dyDescent="0.25">
      <c r="A348" s="30">
        <v>0.5067799999999979</v>
      </c>
      <c r="B348" s="26">
        <v>1.3540000000000001</v>
      </c>
    </row>
    <row r="349" spans="1:2" x14ac:dyDescent="0.25">
      <c r="A349" s="29">
        <v>0.50810399999999789</v>
      </c>
      <c r="B349" s="25">
        <v>1.355</v>
      </c>
    </row>
    <row r="350" spans="1:2" x14ac:dyDescent="0.25">
      <c r="A350" s="30">
        <v>0.50942799999999788</v>
      </c>
      <c r="B350" s="26">
        <v>1.3560000000000001</v>
      </c>
    </row>
    <row r="351" spans="1:2" x14ac:dyDescent="0.25">
      <c r="A351" s="29">
        <v>0.51075199999999787</v>
      </c>
      <c r="B351" s="25">
        <v>1.357</v>
      </c>
    </row>
    <row r="352" spans="1:2" x14ac:dyDescent="0.25">
      <c r="A352" s="30">
        <v>0.51207599999999787</v>
      </c>
      <c r="B352" s="26">
        <v>1.3580000000000001</v>
      </c>
    </row>
    <row r="353" spans="1:2" x14ac:dyDescent="0.25">
      <c r="A353" s="29">
        <v>0.51339999999999786</v>
      </c>
      <c r="B353" s="25">
        <v>1.359</v>
      </c>
    </row>
    <row r="354" spans="1:2" x14ac:dyDescent="0.25">
      <c r="A354" s="30">
        <v>0.51472399999999785</v>
      </c>
      <c r="B354" s="26">
        <v>1.36</v>
      </c>
    </row>
    <row r="355" spans="1:2" x14ac:dyDescent="0.25">
      <c r="A355" s="29">
        <v>0.51604799999999784</v>
      </c>
      <c r="B355" s="25">
        <v>1.361</v>
      </c>
    </row>
    <row r="356" spans="1:2" x14ac:dyDescent="0.25">
      <c r="A356" s="30">
        <v>0.51737199999999783</v>
      </c>
      <c r="B356" s="26">
        <v>1.3620000000000001</v>
      </c>
    </row>
    <row r="357" spans="1:2" x14ac:dyDescent="0.25">
      <c r="A357" s="29">
        <v>0.51869599999999783</v>
      </c>
      <c r="B357" s="25">
        <v>1.363</v>
      </c>
    </row>
    <row r="358" spans="1:2" x14ac:dyDescent="0.25">
      <c r="A358" s="30">
        <v>0.52001999999999782</v>
      </c>
      <c r="B358" s="26">
        <v>1.3640000000000001</v>
      </c>
    </row>
    <row r="359" spans="1:2" x14ac:dyDescent="0.25">
      <c r="A359" s="29">
        <v>0.52134399999999781</v>
      </c>
      <c r="B359" s="25">
        <v>1.365</v>
      </c>
    </row>
    <row r="360" spans="1:2" x14ac:dyDescent="0.25">
      <c r="A360" s="30">
        <v>0.5226679999999978</v>
      </c>
      <c r="B360" s="26">
        <v>1.3660000000000001</v>
      </c>
    </row>
    <row r="361" spans="1:2" x14ac:dyDescent="0.25">
      <c r="A361" s="29">
        <v>0.52399199999999779</v>
      </c>
      <c r="B361" s="25">
        <v>1.367</v>
      </c>
    </row>
    <row r="362" spans="1:2" x14ac:dyDescent="0.25">
      <c r="A362" s="30">
        <v>0.52531599999999778</v>
      </c>
      <c r="B362" s="26">
        <v>1.3680000000000001</v>
      </c>
    </row>
    <row r="363" spans="1:2" x14ac:dyDescent="0.25">
      <c r="A363" s="29">
        <v>0.52663999999999778</v>
      </c>
      <c r="B363" s="25">
        <v>1.369</v>
      </c>
    </row>
    <row r="364" spans="1:2" x14ac:dyDescent="0.25">
      <c r="A364" s="30">
        <v>0.52796399999999777</v>
      </c>
      <c r="B364" s="26">
        <v>1.37</v>
      </c>
    </row>
    <row r="365" spans="1:2" x14ac:dyDescent="0.25">
      <c r="A365" s="29">
        <v>0.52928799999999776</v>
      </c>
      <c r="B365" s="25">
        <v>1.371</v>
      </c>
    </row>
    <row r="366" spans="1:2" x14ac:dyDescent="0.25">
      <c r="A366" s="30">
        <v>0.53061199999999775</v>
      </c>
      <c r="B366" s="26">
        <v>1.3720000000000001</v>
      </c>
    </row>
    <row r="367" spans="1:2" x14ac:dyDescent="0.25">
      <c r="A367" s="29">
        <v>0.53193599999999774</v>
      </c>
      <c r="B367" s="25">
        <v>1.373</v>
      </c>
    </row>
    <row r="368" spans="1:2" x14ac:dyDescent="0.25">
      <c r="A368" s="30">
        <v>0.53325999999999774</v>
      </c>
      <c r="B368" s="26">
        <v>1.3740000000000001</v>
      </c>
    </row>
    <row r="369" spans="1:2" x14ac:dyDescent="0.25">
      <c r="A369" s="29">
        <v>0.53458399999999773</v>
      </c>
      <c r="B369" s="25">
        <v>1.375</v>
      </c>
    </row>
    <row r="370" spans="1:2" x14ac:dyDescent="0.25">
      <c r="A370" s="30">
        <v>0.53590799999999772</v>
      </c>
      <c r="B370" s="26">
        <v>1.3759999999999999</v>
      </c>
    </row>
    <row r="371" spans="1:2" x14ac:dyDescent="0.25">
      <c r="A371" s="29">
        <v>0.53723199999999771</v>
      </c>
      <c r="B371" s="25">
        <v>1.377</v>
      </c>
    </row>
    <row r="372" spans="1:2" x14ac:dyDescent="0.25">
      <c r="A372" s="30">
        <v>0.5385559999999977</v>
      </c>
      <c r="B372" s="26">
        <v>1.3779999999999999</v>
      </c>
    </row>
    <row r="373" spans="1:2" x14ac:dyDescent="0.25">
      <c r="A373" s="29">
        <v>0.5398799999999977</v>
      </c>
      <c r="B373" s="25">
        <v>1.379</v>
      </c>
    </row>
    <row r="374" spans="1:2" x14ac:dyDescent="0.25">
      <c r="A374" s="30">
        <v>0.54120399999999769</v>
      </c>
      <c r="B374" s="26">
        <v>1.38</v>
      </c>
    </row>
    <row r="375" spans="1:2" x14ac:dyDescent="0.25">
      <c r="A375" s="29">
        <v>0.54252799999999768</v>
      </c>
      <c r="B375" s="25">
        <v>1.381</v>
      </c>
    </row>
    <row r="376" spans="1:2" x14ac:dyDescent="0.25">
      <c r="A376" s="30">
        <v>0.54385199999999767</v>
      </c>
      <c r="B376" s="26">
        <v>1.3819999999999999</v>
      </c>
    </row>
    <row r="377" spans="1:2" x14ac:dyDescent="0.25">
      <c r="A377" s="29">
        <v>0.54517599999999766</v>
      </c>
      <c r="B377" s="25">
        <v>1.383</v>
      </c>
    </row>
    <row r="378" spans="1:2" x14ac:dyDescent="0.25">
      <c r="A378" s="30">
        <v>0.54649999999999765</v>
      </c>
      <c r="B378" s="26">
        <v>1.3839999999999999</v>
      </c>
    </row>
    <row r="379" spans="1:2" x14ac:dyDescent="0.25">
      <c r="A379" s="29">
        <v>0.54782399999999765</v>
      </c>
      <c r="B379" s="25">
        <v>1.385</v>
      </c>
    </row>
    <row r="380" spans="1:2" x14ac:dyDescent="0.25">
      <c r="A380" s="30">
        <v>0.54914799999999764</v>
      </c>
      <c r="B380" s="26">
        <v>1.3859999999999999</v>
      </c>
    </row>
    <row r="381" spans="1:2" x14ac:dyDescent="0.25">
      <c r="A381" s="29">
        <v>0.55047199999999763</v>
      </c>
      <c r="B381" s="25">
        <v>1.387</v>
      </c>
    </row>
    <row r="382" spans="1:2" x14ac:dyDescent="0.25">
      <c r="A382" s="30">
        <v>0.55179599999999762</v>
      </c>
      <c r="B382" s="26">
        <v>1.3879999999999999</v>
      </c>
    </row>
    <row r="383" spans="1:2" x14ac:dyDescent="0.25">
      <c r="A383" s="29">
        <v>0.55311999999999761</v>
      </c>
      <c r="B383" s="25">
        <v>1.389</v>
      </c>
    </row>
    <row r="384" spans="1:2" x14ac:dyDescent="0.25">
      <c r="A384" s="30">
        <v>0.55444399999999761</v>
      </c>
      <c r="B384" s="26">
        <v>1.39</v>
      </c>
    </row>
    <row r="385" spans="1:2" x14ac:dyDescent="0.25">
      <c r="A385" s="29">
        <v>0.5557679999999976</v>
      </c>
      <c r="B385" s="25">
        <v>1.391</v>
      </c>
    </row>
    <row r="386" spans="1:2" x14ac:dyDescent="0.25">
      <c r="A386" s="30">
        <v>0.55709199999999759</v>
      </c>
      <c r="B386" s="26">
        <v>1.3919999999999999</v>
      </c>
    </row>
    <row r="387" spans="1:2" x14ac:dyDescent="0.25">
      <c r="A387" s="29">
        <v>0.55841599999999758</v>
      </c>
      <c r="B387" s="25">
        <v>1.393</v>
      </c>
    </row>
    <row r="388" spans="1:2" x14ac:dyDescent="0.25">
      <c r="A388" s="30">
        <v>0.55973999999999757</v>
      </c>
      <c r="B388" s="26">
        <v>1.3939999999999999</v>
      </c>
    </row>
    <row r="389" spans="1:2" x14ac:dyDescent="0.25">
      <c r="A389" s="29">
        <v>0.56106399999999756</v>
      </c>
      <c r="B389" s="25">
        <v>1.395</v>
      </c>
    </row>
    <row r="390" spans="1:2" x14ac:dyDescent="0.25">
      <c r="A390" s="30">
        <v>0.56238799999999756</v>
      </c>
      <c r="B390" s="26">
        <v>1.3959999999999999</v>
      </c>
    </row>
    <row r="391" spans="1:2" x14ac:dyDescent="0.25">
      <c r="A391" s="29">
        <v>0.56371199999999755</v>
      </c>
      <c r="B391" s="25">
        <v>1.397</v>
      </c>
    </row>
    <row r="392" spans="1:2" x14ac:dyDescent="0.25">
      <c r="A392" s="30">
        <v>0.56503599999999754</v>
      </c>
      <c r="B392" s="26">
        <v>1.3979999999999999</v>
      </c>
    </row>
    <row r="393" spans="1:2" x14ac:dyDescent="0.25">
      <c r="A393" s="29">
        <v>0.56635999999999753</v>
      </c>
      <c r="B393" s="25">
        <v>1.399</v>
      </c>
    </row>
    <row r="394" spans="1:2" x14ac:dyDescent="0.25">
      <c r="A394" s="30">
        <v>0.56768399999999752</v>
      </c>
      <c r="B394" s="26">
        <v>1.4</v>
      </c>
    </row>
    <row r="395" spans="1:2" x14ac:dyDescent="0.25">
      <c r="A395" s="29">
        <v>0.56900799999999752</v>
      </c>
      <c r="B395" s="25">
        <v>1.401</v>
      </c>
    </row>
    <row r="396" spans="1:2" x14ac:dyDescent="0.25">
      <c r="A396" s="30">
        <v>0.57033199999999751</v>
      </c>
      <c r="B396" s="26">
        <v>1.4019999999999999</v>
      </c>
    </row>
    <row r="397" spans="1:2" x14ac:dyDescent="0.25">
      <c r="A397" s="29">
        <v>0.5716559999999975</v>
      </c>
      <c r="B397" s="25">
        <v>1.403</v>
      </c>
    </row>
    <row r="398" spans="1:2" x14ac:dyDescent="0.25">
      <c r="A398" s="30">
        <v>0.57297999999999749</v>
      </c>
      <c r="B398" s="26">
        <v>1.4039999999999999</v>
      </c>
    </row>
    <row r="399" spans="1:2" x14ac:dyDescent="0.25">
      <c r="A399" s="29">
        <v>0.57430399999999748</v>
      </c>
      <c r="B399" s="25">
        <v>1.405</v>
      </c>
    </row>
    <row r="400" spans="1:2" x14ac:dyDescent="0.25">
      <c r="A400" s="30">
        <v>0.57562799999999748</v>
      </c>
      <c r="B400" s="26">
        <v>1.4059999999999999</v>
      </c>
    </row>
    <row r="401" spans="1:2" x14ac:dyDescent="0.25">
      <c r="A401" s="29">
        <v>0.57695199999999747</v>
      </c>
      <c r="B401" s="25">
        <v>1.407</v>
      </c>
    </row>
    <row r="402" spans="1:2" x14ac:dyDescent="0.25">
      <c r="A402" s="30">
        <v>0.57827599999999746</v>
      </c>
      <c r="B402" s="26">
        <v>1.4079999999999999</v>
      </c>
    </row>
    <row r="403" spans="1:2" x14ac:dyDescent="0.25">
      <c r="A403" s="29">
        <v>0.57959999999999745</v>
      </c>
      <c r="B403" s="25">
        <v>1.409</v>
      </c>
    </row>
    <row r="404" spans="1:2" x14ac:dyDescent="0.25">
      <c r="A404" s="30">
        <v>0.58092399999999744</v>
      </c>
      <c r="B404" s="26">
        <v>1.41</v>
      </c>
    </row>
    <row r="405" spans="1:2" x14ac:dyDescent="0.25">
      <c r="A405" s="29">
        <v>0.58224799999999743</v>
      </c>
      <c r="B405" s="25">
        <v>1.411</v>
      </c>
    </row>
    <row r="406" spans="1:2" x14ac:dyDescent="0.25">
      <c r="A406" s="30">
        <v>0.58357199999999743</v>
      </c>
      <c r="B406" s="26">
        <v>1.4119999999999999</v>
      </c>
    </row>
    <row r="407" spans="1:2" x14ac:dyDescent="0.25">
      <c r="A407" s="29">
        <v>0.58489599999999742</v>
      </c>
      <c r="B407" s="25">
        <v>1.413</v>
      </c>
    </row>
    <row r="408" spans="1:2" x14ac:dyDescent="0.25">
      <c r="A408" s="30">
        <v>0.58621999999999741</v>
      </c>
      <c r="B408" s="26">
        <v>1.4139999999999999</v>
      </c>
    </row>
    <row r="409" spans="1:2" x14ac:dyDescent="0.25">
      <c r="A409" s="29">
        <v>0.5875439999999974</v>
      </c>
      <c r="B409" s="25">
        <v>1.415</v>
      </c>
    </row>
    <row r="410" spans="1:2" x14ac:dyDescent="0.25">
      <c r="A410" s="30">
        <v>0.58886799999999739</v>
      </c>
      <c r="B410" s="26">
        <v>1.4159999999999999</v>
      </c>
    </row>
    <row r="411" spans="1:2" x14ac:dyDescent="0.25">
      <c r="A411" s="29">
        <v>0.59019199999999739</v>
      </c>
      <c r="B411" s="25">
        <v>1.417</v>
      </c>
    </row>
    <row r="412" spans="1:2" x14ac:dyDescent="0.25">
      <c r="A412" s="30">
        <v>0.59151599999999738</v>
      </c>
      <c r="B412" s="26">
        <v>1.4179999999999999</v>
      </c>
    </row>
    <row r="413" spans="1:2" x14ac:dyDescent="0.25">
      <c r="A413" s="29">
        <v>0.59283999999999737</v>
      </c>
      <c r="B413" s="25">
        <v>1.419</v>
      </c>
    </row>
    <row r="414" spans="1:2" x14ac:dyDescent="0.25">
      <c r="A414" s="30">
        <v>0.59416399999999736</v>
      </c>
      <c r="B414" s="26">
        <v>1.42</v>
      </c>
    </row>
    <row r="415" spans="1:2" x14ac:dyDescent="0.25">
      <c r="A415" s="29">
        <v>0.59548799999999735</v>
      </c>
      <c r="B415" s="25">
        <v>1.421</v>
      </c>
    </row>
    <row r="416" spans="1:2" x14ac:dyDescent="0.25">
      <c r="A416" s="30">
        <v>0.59681199999999734</v>
      </c>
      <c r="B416" s="26">
        <v>1.4219999999999999</v>
      </c>
    </row>
    <row r="417" spans="1:2" x14ac:dyDescent="0.25">
      <c r="A417" s="29">
        <v>0.59813599999999734</v>
      </c>
      <c r="B417" s="25">
        <v>1.423</v>
      </c>
    </row>
    <row r="418" spans="1:2" x14ac:dyDescent="0.25">
      <c r="A418" s="30">
        <v>0.59945999999999733</v>
      </c>
      <c r="B418" s="26">
        <v>1.4239999999999999</v>
      </c>
    </row>
    <row r="419" spans="1:2" x14ac:dyDescent="0.25">
      <c r="A419" s="29">
        <v>0.60078399999999732</v>
      </c>
      <c r="B419" s="25">
        <v>1.425</v>
      </c>
    </row>
    <row r="420" spans="1:2" x14ac:dyDescent="0.25">
      <c r="A420" s="30">
        <v>0.60210799999999731</v>
      </c>
      <c r="B420" s="26">
        <v>1.4259999999999999</v>
      </c>
    </row>
    <row r="421" spans="1:2" x14ac:dyDescent="0.25">
      <c r="A421" s="29">
        <v>0.6034319999999973</v>
      </c>
      <c r="B421" s="25">
        <v>1.427</v>
      </c>
    </row>
    <row r="422" spans="1:2" x14ac:dyDescent="0.25">
      <c r="A422" s="30">
        <v>0.6047559999999973</v>
      </c>
      <c r="B422" s="26">
        <v>1.4279999999999999</v>
      </c>
    </row>
    <row r="423" spans="1:2" x14ac:dyDescent="0.25">
      <c r="A423" s="29">
        <v>0.60607999999999729</v>
      </c>
      <c r="B423" s="25">
        <v>1.429</v>
      </c>
    </row>
    <row r="424" spans="1:2" x14ac:dyDescent="0.25">
      <c r="A424" s="30">
        <v>0.60740399999999728</v>
      </c>
      <c r="B424" s="26">
        <v>1.43</v>
      </c>
    </row>
    <row r="425" spans="1:2" x14ac:dyDescent="0.25">
      <c r="A425" s="29">
        <v>0.60872799999999727</v>
      </c>
      <c r="B425" s="25">
        <v>1.431</v>
      </c>
    </row>
    <row r="426" spans="1:2" x14ac:dyDescent="0.25">
      <c r="A426" s="30">
        <v>0.61005199999999726</v>
      </c>
      <c r="B426" s="26">
        <v>1.4319999999999999</v>
      </c>
    </row>
    <row r="427" spans="1:2" x14ac:dyDescent="0.25">
      <c r="A427" s="29">
        <v>0.61137599999999725</v>
      </c>
      <c r="B427" s="25">
        <v>1.4330000000000001</v>
      </c>
    </row>
    <row r="428" spans="1:2" x14ac:dyDescent="0.25">
      <c r="A428" s="30">
        <v>0.61269999999999725</v>
      </c>
      <c r="B428" s="26">
        <v>1.4339999999999999</v>
      </c>
    </row>
    <row r="429" spans="1:2" x14ac:dyDescent="0.25">
      <c r="A429" s="29">
        <v>0.61402399999999724</v>
      </c>
      <c r="B429" s="25">
        <v>1.4350000000000001</v>
      </c>
    </row>
    <row r="430" spans="1:2" x14ac:dyDescent="0.25">
      <c r="A430" s="30">
        <v>0.61534799999999723</v>
      </c>
      <c r="B430" s="26">
        <v>1.4359999999999999</v>
      </c>
    </row>
    <row r="431" spans="1:2" x14ac:dyDescent="0.25">
      <c r="A431" s="29">
        <v>0.61667199999999722</v>
      </c>
      <c r="B431" s="25">
        <v>1.4370000000000001</v>
      </c>
    </row>
    <row r="432" spans="1:2" x14ac:dyDescent="0.25">
      <c r="A432" s="30">
        <v>0.61799599999999721</v>
      </c>
      <c r="B432" s="26">
        <v>1.4379999999999999</v>
      </c>
    </row>
    <row r="433" spans="1:2" x14ac:dyDescent="0.25">
      <c r="A433" s="29">
        <v>0.61931999999999721</v>
      </c>
      <c r="B433" s="25">
        <v>1.4390000000000001</v>
      </c>
    </row>
    <row r="434" spans="1:2" x14ac:dyDescent="0.25">
      <c r="A434" s="30">
        <v>0.6206439999999972</v>
      </c>
      <c r="B434" s="26">
        <v>1.44</v>
      </c>
    </row>
    <row r="435" spans="1:2" x14ac:dyDescent="0.25">
      <c r="A435" s="29">
        <v>0.62196799999999719</v>
      </c>
      <c r="B435" s="25">
        <v>1.4410000000000001</v>
      </c>
    </row>
    <row r="436" spans="1:2" x14ac:dyDescent="0.25">
      <c r="A436" s="30">
        <v>0.62329199999999718</v>
      </c>
      <c r="B436" s="26">
        <v>1.4419999999999999</v>
      </c>
    </row>
    <row r="437" spans="1:2" x14ac:dyDescent="0.25">
      <c r="A437" s="29">
        <v>0.62461599999999717</v>
      </c>
      <c r="B437" s="25">
        <v>1.4430000000000001</v>
      </c>
    </row>
    <row r="438" spans="1:2" x14ac:dyDescent="0.25">
      <c r="A438" s="30">
        <v>0.62593999999999717</v>
      </c>
      <c r="B438" s="26">
        <v>1.444</v>
      </c>
    </row>
    <row r="439" spans="1:2" x14ac:dyDescent="0.25">
      <c r="A439" s="29">
        <v>0.62726399999999716</v>
      </c>
      <c r="B439" s="25">
        <v>1.4450000000000001</v>
      </c>
    </row>
    <row r="440" spans="1:2" x14ac:dyDescent="0.25">
      <c r="A440" s="30">
        <v>0.62858799999999715</v>
      </c>
      <c r="B440" s="26">
        <v>1.446</v>
      </c>
    </row>
    <row r="441" spans="1:2" x14ac:dyDescent="0.25">
      <c r="A441" s="29">
        <v>0.62991199999999714</v>
      </c>
      <c r="B441" s="25">
        <v>1.4470000000000001</v>
      </c>
    </row>
    <row r="442" spans="1:2" x14ac:dyDescent="0.25">
      <c r="A442" s="30">
        <v>0.63123599999999713</v>
      </c>
      <c r="B442" s="26">
        <v>1.448</v>
      </c>
    </row>
    <row r="443" spans="1:2" x14ac:dyDescent="0.25">
      <c r="A443" s="29">
        <v>0.63255999999999712</v>
      </c>
      <c r="B443" s="25">
        <v>1.4490000000000001</v>
      </c>
    </row>
    <row r="444" spans="1:2" x14ac:dyDescent="0.25">
      <c r="A444" s="30">
        <v>0.63388399999999712</v>
      </c>
      <c r="B444" s="26">
        <v>1.45</v>
      </c>
    </row>
    <row r="445" spans="1:2" x14ac:dyDescent="0.25">
      <c r="A445" s="29">
        <v>0.63520799999999711</v>
      </c>
      <c r="B445" s="25">
        <v>1.4510000000000001</v>
      </c>
    </row>
    <row r="446" spans="1:2" x14ac:dyDescent="0.25">
      <c r="A446" s="30">
        <v>0.6365319999999971</v>
      </c>
      <c r="B446" s="26">
        <v>1.452</v>
      </c>
    </row>
    <row r="447" spans="1:2" x14ac:dyDescent="0.25">
      <c r="A447" s="29">
        <v>0.63785599999999709</v>
      </c>
      <c r="B447" s="25">
        <v>1.4530000000000001</v>
      </c>
    </row>
    <row r="448" spans="1:2" x14ac:dyDescent="0.25">
      <c r="A448" s="30">
        <v>0.63917999999999708</v>
      </c>
      <c r="B448" s="26">
        <v>1.454</v>
      </c>
    </row>
    <row r="449" spans="1:2" x14ac:dyDescent="0.25">
      <c r="A449" s="29">
        <v>0.64050399999999708</v>
      </c>
      <c r="B449" s="25">
        <v>1.4550000000000001</v>
      </c>
    </row>
    <row r="450" spans="1:2" x14ac:dyDescent="0.25">
      <c r="A450" s="30">
        <v>0.64182799999999707</v>
      </c>
      <c r="B450" s="26">
        <v>1.456</v>
      </c>
    </row>
    <row r="451" spans="1:2" x14ac:dyDescent="0.25">
      <c r="A451" s="29">
        <v>0.64315199999999706</v>
      </c>
      <c r="B451" s="25">
        <v>1.4570000000000001</v>
      </c>
    </row>
    <row r="452" spans="1:2" x14ac:dyDescent="0.25">
      <c r="A452" s="30">
        <v>0.64447599999999705</v>
      </c>
      <c r="B452" s="26">
        <v>1.458</v>
      </c>
    </row>
    <row r="453" spans="1:2" x14ac:dyDescent="0.25">
      <c r="A453" s="29">
        <v>0.64579999999999704</v>
      </c>
      <c r="B453" s="25">
        <v>1.4590000000000001</v>
      </c>
    </row>
    <row r="454" spans="1:2" x14ac:dyDescent="0.25">
      <c r="A454" s="30">
        <v>0.64712399999999703</v>
      </c>
      <c r="B454" s="26">
        <v>1.46</v>
      </c>
    </row>
    <row r="455" spans="1:2" x14ac:dyDescent="0.25">
      <c r="A455" s="29">
        <v>0.64844799999999703</v>
      </c>
      <c r="B455" s="25">
        <v>1.4610000000000001</v>
      </c>
    </row>
    <row r="456" spans="1:2" x14ac:dyDescent="0.25">
      <c r="A456" s="30">
        <v>0.64977199999999702</v>
      </c>
      <c r="B456" s="26">
        <v>1.462</v>
      </c>
    </row>
    <row r="457" spans="1:2" x14ac:dyDescent="0.25">
      <c r="A457" s="29">
        <v>0.65109599999999701</v>
      </c>
      <c r="B457" s="25">
        <v>1.4630000000000001</v>
      </c>
    </row>
    <row r="458" spans="1:2" x14ac:dyDescent="0.25">
      <c r="A458" s="30">
        <v>0.652419999999997</v>
      </c>
      <c r="B458" s="26">
        <v>1.464</v>
      </c>
    </row>
    <row r="459" spans="1:2" x14ac:dyDescent="0.25">
      <c r="A459" s="29">
        <v>0.65374399999999699</v>
      </c>
      <c r="B459" s="25">
        <v>1.4650000000000001</v>
      </c>
    </row>
    <row r="460" spans="1:2" x14ac:dyDescent="0.25">
      <c r="A460" s="30">
        <v>0.65506799999999699</v>
      </c>
      <c r="B460" s="26">
        <v>1.466</v>
      </c>
    </row>
    <row r="461" spans="1:2" x14ac:dyDescent="0.25">
      <c r="A461" s="29">
        <v>0.65639199999999698</v>
      </c>
      <c r="B461" s="25">
        <v>1.4670000000000001</v>
      </c>
    </row>
    <row r="462" spans="1:2" x14ac:dyDescent="0.25">
      <c r="A462" s="30">
        <v>0.65771599999999697</v>
      </c>
      <c r="B462" s="26">
        <v>1.468</v>
      </c>
    </row>
    <row r="463" spans="1:2" x14ac:dyDescent="0.25">
      <c r="A463" s="29">
        <v>0.65903999999999696</v>
      </c>
      <c r="B463" s="25">
        <v>1.4690000000000001</v>
      </c>
    </row>
    <row r="464" spans="1:2" x14ac:dyDescent="0.25">
      <c r="A464" s="30">
        <v>0.66036399999999695</v>
      </c>
      <c r="B464" s="26">
        <v>1.47</v>
      </c>
    </row>
    <row r="465" spans="1:2" x14ac:dyDescent="0.25">
      <c r="A465" s="29">
        <v>0.66168799999999695</v>
      </c>
      <c r="B465" s="25">
        <v>1.4710000000000001</v>
      </c>
    </row>
    <row r="466" spans="1:2" x14ac:dyDescent="0.25">
      <c r="A466" s="30">
        <v>0.66301199999999694</v>
      </c>
      <c r="B466" s="26">
        <v>1.472</v>
      </c>
    </row>
    <row r="467" spans="1:2" x14ac:dyDescent="0.25">
      <c r="A467" s="29">
        <v>0.66433599999999693</v>
      </c>
      <c r="B467" s="25">
        <v>1.4730000000000001</v>
      </c>
    </row>
    <row r="468" spans="1:2" x14ac:dyDescent="0.25">
      <c r="A468" s="30">
        <v>0.66565999999999692</v>
      </c>
      <c r="B468" s="26">
        <v>1.474</v>
      </c>
    </row>
    <row r="469" spans="1:2" x14ac:dyDescent="0.25">
      <c r="A469" s="29">
        <v>0.66698399999999691</v>
      </c>
      <c r="B469" s="25">
        <v>1.4750000000000001</v>
      </c>
    </row>
    <row r="470" spans="1:2" x14ac:dyDescent="0.25">
      <c r="A470" s="30">
        <v>0.6683079999999969</v>
      </c>
      <c r="B470" s="26">
        <v>1.476</v>
      </c>
    </row>
    <row r="471" spans="1:2" x14ac:dyDescent="0.25">
      <c r="A471" s="29">
        <v>0.6696319999999969</v>
      </c>
      <c r="B471" s="25">
        <v>1.4770000000000001</v>
      </c>
    </row>
    <row r="472" spans="1:2" x14ac:dyDescent="0.25">
      <c r="A472" s="30">
        <v>0.67095599999999689</v>
      </c>
      <c r="B472" s="26">
        <v>1.478</v>
      </c>
    </row>
    <row r="473" spans="1:2" x14ac:dyDescent="0.25">
      <c r="A473" s="29">
        <v>0.67227999999999688</v>
      </c>
      <c r="B473" s="25">
        <v>1.4790000000000001</v>
      </c>
    </row>
    <row r="474" spans="1:2" x14ac:dyDescent="0.25">
      <c r="A474" s="30">
        <v>0.67360399999999687</v>
      </c>
      <c r="B474" s="26">
        <v>1.48</v>
      </c>
    </row>
    <row r="475" spans="1:2" x14ac:dyDescent="0.25">
      <c r="A475" s="29">
        <v>0.67492799999999686</v>
      </c>
      <c r="B475" s="25">
        <v>1.4810000000000001</v>
      </c>
    </row>
    <row r="476" spans="1:2" x14ac:dyDescent="0.25">
      <c r="A476" s="30">
        <v>0.67625199999999686</v>
      </c>
      <c r="B476" s="26">
        <v>1.482</v>
      </c>
    </row>
    <row r="477" spans="1:2" x14ac:dyDescent="0.25">
      <c r="A477" s="29">
        <v>0.67757599999999685</v>
      </c>
      <c r="B477" s="25">
        <v>1.4830000000000001</v>
      </c>
    </row>
    <row r="478" spans="1:2" x14ac:dyDescent="0.25">
      <c r="A478" s="30">
        <v>0.67889999999999684</v>
      </c>
      <c r="B478" s="26">
        <v>1.484</v>
      </c>
    </row>
    <row r="479" spans="1:2" x14ac:dyDescent="0.25">
      <c r="A479" s="29">
        <v>0.68022399999999683</v>
      </c>
      <c r="B479" s="25">
        <v>1.4850000000000001</v>
      </c>
    </row>
    <row r="480" spans="1:2" x14ac:dyDescent="0.25">
      <c r="A480" s="30">
        <v>0.68154799999999682</v>
      </c>
      <c r="B480" s="26">
        <v>1.486</v>
      </c>
    </row>
    <row r="481" spans="1:2" x14ac:dyDescent="0.25">
      <c r="A481" s="29">
        <v>0.68287199999999681</v>
      </c>
      <c r="B481" s="25">
        <v>1.4870000000000001</v>
      </c>
    </row>
    <row r="482" spans="1:2" x14ac:dyDescent="0.25">
      <c r="A482" s="30">
        <v>0.68419599999999681</v>
      </c>
      <c r="B482" s="26">
        <v>1.488</v>
      </c>
    </row>
    <row r="483" spans="1:2" x14ac:dyDescent="0.25">
      <c r="A483" s="29">
        <v>0.6855199999999968</v>
      </c>
      <c r="B483" s="25">
        <v>1.4890000000000001</v>
      </c>
    </row>
    <row r="484" spans="1:2" x14ac:dyDescent="0.25">
      <c r="A484" s="30">
        <v>0.68684399999999679</v>
      </c>
      <c r="B484" s="26">
        <v>1.49</v>
      </c>
    </row>
    <row r="485" spans="1:2" x14ac:dyDescent="0.25">
      <c r="A485" s="29">
        <v>0.68816799999999678</v>
      </c>
      <c r="B485" s="25">
        <v>1.4910000000000001</v>
      </c>
    </row>
    <row r="486" spans="1:2" x14ac:dyDescent="0.25">
      <c r="A486" s="30">
        <v>0.68949199999999677</v>
      </c>
      <c r="B486" s="26">
        <v>1.492</v>
      </c>
    </row>
    <row r="487" spans="1:2" x14ac:dyDescent="0.25">
      <c r="A487" s="29">
        <v>0.69081599999999677</v>
      </c>
      <c r="B487" s="25">
        <v>1.4930000000000001</v>
      </c>
    </row>
    <row r="488" spans="1:2" x14ac:dyDescent="0.25">
      <c r="A488" s="30">
        <v>0.69213999999999676</v>
      </c>
      <c r="B488" s="26">
        <v>1.494</v>
      </c>
    </row>
    <row r="489" spans="1:2" x14ac:dyDescent="0.25">
      <c r="A489" s="29">
        <v>0.69346399999999675</v>
      </c>
      <c r="B489" s="25">
        <v>1.4950000000000001</v>
      </c>
    </row>
    <row r="490" spans="1:2" x14ac:dyDescent="0.25">
      <c r="A490" s="30">
        <v>0.69478799999999674</v>
      </c>
      <c r="B490" s="26">
        <v>1.496</v>
      </c>
    </row>
    <row r="491" spans="1:2" x14ac:dyDescent="0.25">
      <c r="A491" s="29">
        <v>0.69611199999999673</v>
      </c>
      <c r="B491" s="25">
        <v>1.4970000000000001</v>
      </c>
    </row>
    <row r="492" spans="1:2" x14ac:dyDescent="0.25">
      <c r="A492" s="30">
        <v>0.69743599999999673</v>
      </c>
      <c r="B492" s="26">
        <v>1.498</v>
      </c>
    </row>
    <row r="493" spans="1:2" x14ac:dyDescent="0.25">
      <c r="A493" s="29">
        <v>0.69875999999999672</v>
      </c>
      <c r="B493" s="25">
        <v>1.4990000000000001</v>
      </c>
    </row>
    <row r="494" spans="1:2" x14ac:dyDescent="0.25">
      <c r="A494" s="31">
        <v>0.70008399999999671</v>
      </c>
      <c r="B494" s="32">
        <v>1.5</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84"/>
  <sheetViews>
    <sheetView zoomScale="70" zoomScaleNormal="70" workbookViewId="0">
      <selection activeCell="E1776" sqref="E1776"/>
    </sheetView>
  </sheetViews>
  <sheetFormatPr defaultRowHeight="15" x14ac:dyDescent="0.25"/>
  <cols>
    <col min="1" max="1" width="30.7109375" bestFit="1" customWidth="1"/>
    <col min="2" max="2" width="34" customWidth="1"/>
    <col min="3" max="3" width="49" bestFit="1" customWidth="1"/>
    <col min="4" max="4" width="15.28515625" style="1" bestFit="1" customWidth="1"/>
    <col min="5" max="5" width="22.140625" customWidth="1"/>
    <col min="6" max="6" width="45.5703125" customWidth="1"/>
    <col min="7" max="7" width="9.140625" customWidth="1"/>
    <col min="8" max="8" width="10.85546875" bestFit="1" customWidth="1"/>
    <col min="9" max="9" width="14.28515625" bestFit="1" customWidth="1"/>
    <col min="10" max="10" width="12.5703125" bestFit="1" customWidth="1"/>
    <col min="11" max="11" width="16.28515625" bestFit="1" customWidth="1"/>
    <col min="12" max="12" width="10.140625" bestFit="1" customWidth="1"/>
  </cols>
  <sheetData>
    <row r="1" spans="1:17" x14ac:dyDescent="0.25">
      <c r="A1" t="s">
        <v>135</v>
      </c>
      <c r="B1" t="s">
        <v>136</v>
      </c>
      <c r="C1" t="s">
        <v>137</v>
      </c>
      <c r="D1" s="1" t="s">
        <v>138</v>
      </c>
      <c r="E1" t="s">
        <v>139</v>
      </c>
      <c r="F1" t="s">
        <v>140</v>
      </c>
    </row>
    <row r="2" spans="1:17" ht="15" hidden="1" customHeight="1" x14ac:dyDescent="0.25">
      <c r="A2" s="201" t="s">
        <v>6</v>
      </c>
      <c r="B2" s="175" t="s">
        <v>141</v>
      </c>
      <c r="C2" s="175" t="str">
        <f t="shared" ref="C2:C65" si="0">CONCATENATE(A2,B2)</f>
        <v>AlbaniaRTS 1</v>
      </c>
      <c r="D2" s="176">
        <v>1000000</v>
      </c>
      <c r="E2" s="175" t="s">
        <v>142</v>
      </c>
      <c r="F2" s="175"/>
    </row>
    <row r="3" spans="1:17" ht="15" hidden="1" customHeight="1" x14ac:dyDescent="0.25">
      <c r="A3" s="202" t="s">
        <v>6</v>
      </c>
      <c r="B3" s="175" t="s">
        <v>143</v>
      </c>
      <c r="C3" s="175" t="str">
        <f t="shared" si="0"/>
        <v>AlbaniaRTS 2</v>
      </c>
      <c r="D3" s="176">
        <v>1000000</v>
      </c>
      <c r="E3" s="175" t="s">
        <v>142</v>
      </c>
      <c r="F3" s="175"/>
    </row>
    <row r="4" spans="1:17" ht="15" hidden="1" customHeight="1" x14ac:dyDescent="0.25">
      <c r="A4" s="39" t="s">
        <v>6</v>
      </c>
      <c r="B4" t="s">
        <v>144</v>
      </c>
      <c r="C4" s="112" t="str">
        <f t="shared" si="0"/>
        <v>AlbaniaRTSH</v>
      </c>
      <c r="D4" s="1">
        <v>1000000</v>
      </c>
      <c r="E4" t="s">
        <v>142</v>
      </c>
      <c r="F4" t="s">
        <v>145</v>
      </c>
    </row>
    <row r="5" spans="1:17" ht="15" hidden="1" customHeight="1" x14ac:dyDescent="0.25">
      <c r="A5" s="13" t="s">
        <v>6</v>
      </c>
      <c r="B5" s="74" t="s">
        <v>146</v>
      </c>
      <c r="C5" t="str">
        <f t="shared" si="0"/>
        <v>AlbaniaRTSH 1</v>
      </c>
      <c r="D5" s="1">
        <v>1000000</v>
      </c>
      <c r="E5" t="s">
        <v>142</v>
      </c>
    </row>
    <row r="6" spans="1:17" ht="15" hidden="1" customHeight="1" x14ac:dyDescent="0.25">
      <c r="A6" s="13" t="s">
        <v>6</v>
      </c>
      <c r="B6" s="74" t="s">
        <v>147</v>
      </c>
      <c r="C6" t="str">
        <f t="shared" si="0"/>
        <v>AlbaniaRTSH Sport</v>
      </c>
      <c r="D6" s="1">
        <v>1000000</v>
      </c>
      <c r="E6" t="s">
        <v>142</v>
      </c>
    </row>
    <row r="7" spans="1:17" ht="15" hidden="1" customHeight="1" x14ac:dyDescent="0.25">
      <c r="A7" s="33" t="s">
        <v>6</v>
      </c>
      <c r="B7" s="34" t="s">
        <v>148</v>
      </c>
      <c r="C7" t="str">
        <f t="shared" si="0"/>
        <v>AlbaniaSuperSport</v>
      </c>
      <c r="D7" s="1">
        <v>200000</v>
      </c>
      <c r="E7" t="s">
        <v>149</v>
      </c>
      <c r="F7" t="s">
        <v>145</v>
      </c>
    </row>
    <row r="8" spans="1:17" ht="15" hidden="1" customHeight="1" x14ac:dyDescent="0.25">
      <c r="A8" s="113" t="s">
        <v>6</v>
      </c>
      <c r="B8" t="s">
        <v>150</v>
      </c>
      <c r="C8" t="str">
        <f t="shared" si="0"/>
        <v>AlbaniaSuperSport 1</v>
      </c>
      <c r="D8" s="1">
        <v>200000</v>
      </c>
      <c r="E8" t="s">
        <v>149</v>
      </c>
      <c r="F8" t="s">
        <v>145</v>
      </c>
      <c r="M8" s="1"/>
    </row>
    <row r="9" spans="1:17" ht="15" hidden="1" customHeight="1" x14ac:dyDescent="0.25">
      <c r="A9" s="39" t="s">
        <v>6</v>
      </c>
      <c r="B9" t="s">
        <v>151</v>
      </c>
      <c r="C9" t="str">
        <f t="shared" si="0"/>
        <v>AlbaniaSuperSport 2</v>
      </c>
      <c r="D9" s="1">
        <v>200000</v>
      </c>
      <c r="E9" t="s">
        <v>149</v>
      </c>
      <c r="F9" t="s">
        <v>145</v>
      </c>
    </row>
    <row r="10" spans="1:17" ht="15" hidden="1" customHeight="1" x14ac:dyDescent="0.25">
      <c r="A10" s="113" t="s">
        <v>6</v>
      </c>
      <c r="B10" t="s">
        <v>152</v>
      </c>
      <c r="C10" t="str">
        <f t="shared" si="0"/>
        <v>AlbaniaSuperSport 3</v>
      </c>
      <c r="D10" s="1">
        <v>200000</v>
      </c>
      <c r="E10" t="s">
        <v>149</v>
      </c>
      <c r="F10" t="s">
        <v>145</v>
      </c>
    </row>
    <row r="11" spans="1:17" ht="15" hidden="1" customHeight="1" x14ac:dyDescent="0.25">
      <c r="A11" s="39" t="s">
        <v>6</v>
      </c>
      <c r="B11" t="s">
        <v>153</v>
      </c>
      <c r="C11" t="str">
        <f t="shared" si="0"/>
        <v>AlbaniaSuperSport 5</v>
      </c>
      <c r="D11" s="1">
        <v>200000</v>
      </c>
      <c r="E11" t="s">
        <v>149</v>
      </c>
      <c r="F11" t="s">
        <v>145</v>
      </c>
    </row>
    <row r="12" spans="1:17" ht="15" hidden="1" customHeight="1" x14ac:dyDescent="0.25">
      <c r="A12" s="39" t="s">
        <v>6</v>
      </c>
      <c r="B12" t="s">
        <v>154</v>
      </c>
      <c r="C12" t="str">
        <f t="shared" si="0"/>
        <v>AlbaniaSuperSport 6</v>
      </c>
      <c r="D12" s="1">
        <v>200000</v>
      </c>
      <c r="E12" t="s">
        <v>149</v>
      </c>
      <c r="F12" t="s">
        <v>145</v>
      </c>
      <c r="L12" s="1"/>
      <c r="O12" s="36">
        <v>2556.1902911999996</v>
      </c>
      <c r="P12">
        <f>(O12/($O$12+$O$100))*2300000</f>
        <v>1753245.063974217</v>
      </c>
      <c r="Q12">
        <f>ROUND(P12,0)</f>
        <v>1753245</v>
      </c>
    </row>
    <row r="13" spans="1:17" ht="15" hidden="1" customHeight="1" x14ac:dyDescent="0.25">
      <c r="A13" s="39" t="s">
        <v>6</v>
      </c>
      <c r="B13" t="s">
        <v>155</v>
      </c>
      <c r="C13" t="str">
        <f t="shared" si="0"/>
        <v>AlbaniaSuperSport 7</v>
      </c>
      <c r="D13" s="1">
        <v>200000</v>
      </c>
      <c r="E13" t="s">
        <v>149</v>
      </c>
      <c r="F13" t="s">
        <v>145</v>
      </c>
    </row>
    <row r="14" spans="1:17" ht="15" hidden="1" customHeight="1" x14ac:dyDescent="0.25">
      <c r="A14" s="13" t="s">
        <v>6</v>
      </c>
      <c r="B14" t="s">
        <v>156</v>
      </c>
      <c r="C14" t="str">
        <f t="shared" si="0"/>
        <v>AlbaniaSuperSport 8</v>
      </c>
      <c r="D14" s="1">
        <v>200000</v>
      </c>
      <c r="E14" t="s">
        <v>149</v>
      </c>
      <c r="F14" t="s">
        <v>145</v>
      </c>
    </row>
    <row r="15" spans="1:17" ht="15" hidden="1" customHeight="1" x14ac:dyDescent="0.25">
      <c r="A15" s="39" t="s">
        <v>6</v>
      </c>
      <c r="B15" t="s">
        <v>157</v>
      </c>
      <c r="C15" t="str">
        <f t="shared" si="0"/>
        <v>AlbaniaTop Channel</v>
      </c>
      <c r="D15" s="1">
        <v>1000000</v>
      </c>
      <c r="E15" t="s">
        <v>142</v>
      </c>
      <c r="F15" t="s">
        <v>145</v>
      </c>
    </row>
    <row r="16" spans="1:17" ht="15" hidden="1" customHeight="1" x14ac:dyDescent="0.25">
      <c r="A16" s="39" t="s">
        <v>10</v>
      </c>
      <c r="B16" s="35" t="s">
        <v>158</v>
      </c>
      <c r="C16" t="str">
        <f t="shared" si="0"/>
        <v>Andorra#0</v>
      </c>
      <c r="D16" s="1">
        <v>7000</v>
      </c>
      <c r="E16" t="s">
        <v>149</v>
      </c>
      <c r="F16" t="s">
        <v>159</v>
      </c>
    </row>
    <row r="17" spans="1:10" ht="15" hidden="1" customHeight="1" x14ac:dyDescent="0.25">
      <c r="A17" s="39" t="s">
        <v>10</v>
      </c>
      <c r="B17" t="s">
        <v>160</v>
      </c>
      <c r="C17" t="str">
        <f t="shared" si="0"/>
        <v>Andorra#VAMOS</v>
      </c>
      <c r="D17" s="1">
        <v>7000</v>
      </c>
      <c r="E17" t="s">
        <v>149</v>
      </c>
    </row>
    <row r="18" spans="1:10" ht="15" hidden="1" customHeight="1" x14ac:dyDescent="0.25">
      <c r="A18" s="13" t="s">
        <v>10</v>
      </c>
      <c r="B18" t="s">
        <v>161</v>
      </c>
      <c r="C18" t="str">
        <f t="shared" si="0"/>
        <v>AndorraDMAX</v>
      </c>
      <c r="D18" s="1">
        <v>30000</v>
      </c>
      <c r="E18" t="s">
        <v>142</v>
      </c>
    </row>
    <row r="19" spans="1:10" ht="15" hidden="1" customHeight="1" x14ac:dyDescent="0.25">
      <c r="A19" s="39" t="s">
        <v>10</v>
      </c>
      <c r="B19" t="s">
        <v>162</v>
      </c>
      <c r="C19" t="str">
        <f t="shared" si="0"/>
        <v>AndorraEsport3</v>
      </c>
      <c r="D19" s="1">
        <v>7000</v>
      </c>
      <c r="E19" t="s">
        <v>149</v>
      </c>
      <c r="F19" t="s">
        <v>159</v>
      </c>
      <c r="I19">
        <f>3605000</f>
        <v>3605000</v>
      </c>
      <c r="J19">
        <f>I19*0.573</f>
        <v>2065664.9999999998</v>
      </c>
    </row>
    <row r="20" spans="1:10" ht="15" hidden="1" customHeight="1" x14ac:dyDescent="0.25">
      <c r="A20" s="39" t="s">
        <v>10</v>
      </c>
      <c r="B20" t="s">
        <v>163</v>
      </c>
      <c r="C20" t="str">
        <f t="shared" si="0"/>
        <v>AndorraFrance 2</v>
      </c>
      <c r="D20" s="1">
        <v>31110</v>
      </c>
      <c r="E20" t="s">
        <v>142</v>
      </c>
      <c r="F20" t="s">
        <v>164</v>
      </c>
      <c r="H20" s="1">
        <v>3791876</v>
      </c>
    </row>
    <row r="21" spans="1:10" ht="15" hidden="1" customHeight="1" x14ac:dyDescent="0.25">
      <c r="A21" s="37" t="s">
        <v>10</v>
      </c>
      <c r="B21" s="35" t="s">
        <v>165</v>
      </c>
      <c r="C21" t="str">
        <f t="shared" si="0"/>
        <v>AndorraFrance2</v>
      </c>
      <c r="D21" s="1">
        <v>31110</v>
      </c>
      <c r="E21" t="s">
        <v>142</v>
      </c>
      <c r="F21" t="s">
        <v>164</v>
      </c>
    </row>
    <row r="22" spans="1:10" ht="15" hidden="1" customHeight="1" x14ac:dyDescent="0.25">
      <c r="A22" s="13" t="s">
        <v>10</v>
      </c>
      <c r="B22" t="s">
        <v>166</v>
      </c>
      <c r="C22" t="str">
        <f t="shared" si="0"/>
        <v>AndorraGOL</v>
      </c>
      <c r="D22" s="1">
        <v>2200</v>
      </c>
      <c r="E22" t="s">
        <v>142</v>
      </c>
      <c r="F22" t="s">
        <v>167</v>
      </c>
    </row>
    <row r="23" spans="1:10" ht="15" hidden="1" customHeight="1" x14ac:dyDescent="0.25">
      <c r="A23" s="13" t="s">
        <v>10</v>
      </c>
      <c r="B23" t="s">
        <v>168</v>
      </c>
      <c r="C23" t="str">
        <f t="shared" si="0"/>
        <v>AndorraGOLF+</v>
      </c>
      <c r="D23" s="1">
        <v>7000</v>
      </c>
      <c r="E23" t="s">
        <v>149</v>
      </c>
      <c r="F23" t="s">
        <v>159</v>
      </c>
    </row>
    <row r="24" spans="1:10" ht="15" hidden="1" customHeight="1" x14ac:dyDescent="0.25">
      <c r="A24" s="39" t="s">
        <v>10</v>
      </c>
      <c r="B24" t="s">
        <v>169</v>
      </c>
      <c r="C24" t="str">
        <f t="shared" si="0"/>
        <v>AndorraLa 1</v>
      </c>
      <c r="D24" s="1">
        <f>34000*0.994</f>
        <v>33796</v>
      </c>
      <c r="E24" t="s">
        <v>142</v>
      </c>
      <c r="F24" t="s">
        <v>170</v>
      </c>
    </row>
    <row r="25" spans="1:10" ht="15" hidden="1" customHeight="1" x14ac:dyDescent="0.25">
      <c r="A25" s="13" t="s">
        <v>10</v>
      </c>
      <c r="B25" t="s">
        <v>171</v>
      </c>
      <c r="C25" t="str">
        <f t="shared" si="0"/>
        <v>AndorraLa 2</v>
      </c>
      <c r="D25" s="1">
        <v>33350</v>
      </c>
      <c r="E25" t="s">
        <v>142</v>
      </c>
      <c r="F25" t="s">
        <v>172</v>
      </c>
    </row>
    <row r="26" spans="1:10" ht="15" hidden="1" customHeight="1" x14ac:dyDescent="0.25">
      <c r="A26" s="33" t="s">
        <v>10</v>
      </c>
      <c r="B26" s="35" t="s">
        <v>173</v>
      </c>
      <c r="C26" t="str">
        <f t="shared" si="0"/>
        <v>AndorraLa1</v>
      </c>
      <c r="D26" s="1">
        <v>33350</v>
      </c>
      <c r="E26" t="s">
        <v>142</v>
      </c>
      <c r="F26" t="s">
        <v>172</v>
      </c>
    </row>
    <row r="27" spans="1:10" ht="15" hidden="1" customHeight="1" x14ac:dyDescent="0.25">
      <c r="A27" s="39" t="s">
        <v>10</v>
      </c>
      <c r="B27" t="s">
        <v>174</v>
      </c>
      <c r="C27" t="str">
        <f t="shared" si="0"/>
        <v>AndorraMovistar Deportes 1</v>
      </c>
      <c r="D27" s="1">
        <v>7000</v>
      </c>
      <c r="E27" t="s">
        <v>149</v>
      </c>
      <c r="F27" t="s">
        <v>159</v>
      </c>
    </row>
    <row r="28" spans="1:10" ht="15" hidden="1" customHeight="1" x14ac:dyDescent="0.25">
      <c r="A28" s="13" t="s">
        <v>10</v>
      </c>
      <c r="B28" t="s">
        <v>175</v>
      </c>
      <c r="C28" t="str">
        <f t="shared" si="0"/>
        <v>AndorraMovistar Deportes 2</v>
      </c>
      <c r="D28" s="1">
        <v>7000</v>
      </c>
      <c r="E28" t="s">
        <v>149</v>
      </c>
      <c r="F28" t="s">
        <v>159</v>
      </c>
    </row>
    <row r="29" spans="1:10" ht="15" hidden="1" customHeight="1" x14ac:dyDescent="0.25">
      <c r="A29" s="13" t="s">
        <v>10</v>
      </c>
      <c r="B29" t="s">
        <v>176</v>
      </c>
      <c r="C29" t="str">
        <f t="shared" si="0"/>
        <v>AndorraMOVISTAR F1</v>
      </c>
      <c r="D29" s="1">
        <v>7000</v>
      </c>
      <c r="E29" t="s">
        <v>149</v>
      </c>
      <c r="F29" t="s">
        <v>159</v>
      </c>
    </row>
    <row r="30" spans="1:10" ht="15" hidden="1" customHeight="1" x14ac:dyDescent="0.25">
      <c r="A30" s="13" t="s">
        <v>10</v>
      </c>
      <c r="B30" t="s">
        <v>177</v>
      </c>
      <c r="C30" t="str">
        <f t="shared" si="0"/>
        <v>AndorraMOVISTAR GOLF</v>
      </c>
      <c r="D30" s="1">
        <v>7000</v>
      </c>
      <c r="E30" t="s">
        <v>149</v>
      </c>
      <c r="F30" t="s">
        <v>159</v>
      </c>
    </row>
    <row r="31" spans="1:10" ht="15" hidden="1" customHeight="1" x14ac:dyDescent="0.25">
      <c r="A31" s="39" t="s">
        <v>10</v>
      </c>
      <c r="B31" t="s">
        <v>178</v>
      </c>
      <c r="C31" t="str">
        <f t="shared" si="0"/>
        <v>AndorraMOVISTARGOLF</v>
      </c>
      <c r="D31" s="1">
        <v>7000</v>
      </c>
      <c r="E31" t="s">
        <v>149</v>
      </c>
    </row>
    <row r="32" spans="1:10" ht="15" hidden="1" customHeight="1" x14ac:dyDescent="0.25">
      <c r="A32" s="13" t="s">
        <v>10</v>
      </c>
      <c r="B32" t="s">
        <v>179</v>
      </c>
      <c r="C32" t="str">
        <f t="shared" si="0"/>
        <v>AndorraTeledeporte</v>
      </c>
      <c r="D32" s="1">
        <v>30000</v>
      </c>
      <c r="E32" t="s">
        <v>142</v>
      </c>
      <c r="F32" t="s">
        <v>180</v>
      </c>
    </row>
    <row r="33" spans="1:11" ht="15" hidden="1" customHeight="1" x14ac:dyDescent="0.25">
      <c r="A33" s="13" t="s">
        <v>10</v>
      </c>
      <c r="B33" t="s">
        <v>181</v>
      </c>
      <c r="C33" t="str">
        <f t="shared" si="0"/>
        <v>AndorraTV3</v>
      </c>
      <c r="D33" s="1">
        <v>5800</v>
      </c>
      <c r="E33" t="s">
        <v>142</v>
      </c>
      <c r="F33" t="s">
        <v>182</v>
      </c>
    </row>
    <row r="34" spans="1:11" ht="15" hidden="1" customHeight="1" x14ac:dyDescent="0.25">
      <c r="A34" s="13" t="s">
        <v>13</v>
      </c>
      <c r="B34" t="s">
        <v>183</v>
      </c>
      <c r="C34" t="str">
        <f t="shared" si="0"/>
        <v>ArgentinaESPN</v>
      </c>
      <c r="D34" s="1">
        <v>10977116</v>
      </c>
      <c r="E34" t="s">
        <v>149</v>
      </c>
    </row>
    <row r="35" spans="1:11" ht="15" hidden="1" customHeight="1" x14ac:dyDescent="0.25">
      <c r="A35" s="203" t="s">
        <v>13</v>
      </c>
      <c r="B35" s="147" t="s">
        <v>184</v>
      </c>
      <c r="C35" s="11" t="str">
        <f t="shared" si="0"/>
        <v>ArgentinaESPN +</v>
      </c>
      <c r="D35" s="1">
        <v>10977116</v>
      </c>
      <c r="E35" t="s">
        <v>149</v>
      </c>
      <c r="F35" s="11"/>
    </row>
    <row r="36" spans="1:11" ht="15" hidden="1" customHeight="1" x14ac:dyDescent="0.25">
      <c r="A36" s="13" t="s">
        <v>13</v>
      </c>
      <c r="B36" t="s">
        <v>185</v>
      </c>
      <c r="C36" t="str">
        <f t="shared" si="0"/>
        <v>ArgentinaESPN 2</v>
      </c>
      <c r="D36" s="1">
        <v>10977116</v>
      </c>
      <c r="E36" t="s">
        <v>149</v>
      </c>
    </row>
    <row r="37" spans="1:11" ht="15" hidden="1" customHeight="1" x14ac:dyDescent="0.25">
      <c r="A37" s="13" t="s">
        <v>13</v>
      </c>
      <c r="B37" t="s">
        <v>186</v>
      </c>
      <c r="C37" t="str">
        <f t="shared" si="0"/>
        <v>ArgentinaESPN 3</v>
      </c>
      <c r="D37" s="1">
        <v>10977116</v>
      </c>
      <c r="E37" t="s">
        <v>149</v>
      </c>
    </row>
    <row r="38" spans="1:11" ht="15" hidden="1" customHeight="1" x14ac:dyDescent="0.25">
      <c r="A38" s="13" t="s">
        <v>13</v>
      </c>
      <c r="B38" s="38" t="s">
        <v>187</v>
      </c>
      <c r="C38" t="str">
        <f t="shared" si="0"/>
        <v>ArgentinaESPN Deportes</v>
      </c>
      <c r="D38" s="1">
        <v>10977116</v>
      </c>
      <c r="E38" t="s">
        <v>149</v>
      </c>
    </row>
    <row r="39" spans="1:11" ht="15" hidden="1" customHeight="1" x14ac:dyDescent="0.25">
      <c r="A39" s="13" t="s">
        <v>13</v>
      </c>
      <c r="B39" s="40" t="s">
        <v>188</v>
      </c>
      <c r="C39" t="str">
        <f t="shared" si="0"/>
        <v>ArgentinaESPN Dos</v>
      </c>
      <c r="D39" s="1">
        <v>10977116</v>
      </c>
      <c r="E39" t="s">
        <v>149</v>
      </c>
    </row>
    <row r="40" spans="1:11" ht="15" hidden="1" customHeight="1" x14ac:dyDescent="0.25">
      <c r="A40" s="13" t="s">
        <v>13</v>
      </c>
      <c r="B40" s="40" t="s">
        <v>189</v>
      </c>
      <c r="C40" t="str">
        <f t="shared" si="0"/>
        <v>ArgentinaESPN HD</v>
      </c>
      <c r="D40" s="1">
        <v>10977116</v>
      </c>
      <c r="E40" t="s">
        <v>149</v>
      </c>
      <c r="H40">
        <f>SUM(95%*8867000)</f>
        <v>8423650</v>
      </c>
    </row>
    <row r="41" spans="1:11" ht="15" hidden="1" customHeight="1" x14ac:dyDescent="0.25">
      <c r="A41" s="13" t="s">
        <v>13</v>
      </c>
      <c r="B41" t="s">
        <v>190</v>
      </c>
      <c r="C41" t="str">
        <f t="shared" si="0"/>
        <v>ArgentinaESPN Internacional</v>
      </c>
      <c r="D41" s="1">
        <v>10977116</v>
      </c>
      <c r="E41" t="s">
        <v>149</v>
      </c>
      <c r="H41">
        <f>SUM(94.2%*8867000)</f>
        <v>8352714.0000000009</v>
      </c>
    </row>
    <row r="42" spans="1:11" ht="15" hidden="1" customHeight="1" x14ac:dyDescent="0.25">
      <c r="A42" s="204" t="s">
        <v>13</v>
      </c>
      <c r="B42" s="184" t="s">
        <v>191</v>
      </c>
      <c r="C42" t="str">
        <f t="shared" si="0"/>
        <v>ArgentinaESPN Latin</v>
      </c>
      <c r="D42" s="1">
        <v>10977116</v>
      </c>
      <c r="E42" t="s">
        <v>149</v>
      </c>
    </row>
    <row r="43" spans="1:11" ht="15" hidden="1" customHeight="1" x14ac:dyDescent="0.25">
      <c r="A43" t="s">
        <v>13</v>
      </c>
      <c r="B43" t="s">
        <v>192</v>
      </c>
      <c r="C43" t="str">
        <f t="shared" si="0"/>
        <v>ArgentinaESPN+</v>
      </c>
      <c r="D43" s="1">
        <v>10977116</v>
      </c>
      <c r="E43" t="s">
        <v>149</v>
      </c>
    </row>
    <row r="44" spans="1:11" ht="15" hidden="1" customHeight="1" x14ac:dyDescent="0.25">
      <c r="A44" s="113" t="s">
        <v>13</v>
      </c>
      <c r="B44" t="s">
        <v>193</v>
      </c>
      <c r="C44" t="str">
        <f t="shared" si="0"/>
        <v>ArgentinaESPN2 Argentina</v>
      </c>
      <c r="D44" s="1">
        <v>10977116</v>
      </c>
      <c r="E44" t="s">
        <v>149</v>
      </c>
    </row>
    <row r="45" spans="1:11" ht="15" hidden="1" customHeight="1" x14ac:dyDescent="0.25">
      <c r="A45" s="39" t="s">
        <v>13</v>
      </c>
      <c r="B45" t="s">
        <v>194</v>
      </c>
      <c r="C45" t="str">
        <f t="shared" si="0"/>
        <v>ArgentinaFox Sports</v>
      </c>
      <c r="D45">
        <v>5512655</v>
      </c>
      <c r="E45" t="s">
        <v>149</v>
      </c>
      <c r="I45" s="1">
        <v>1862922</v>
      </c>
      <c r="J45">
        <v>0.82799999999999996</v>
      </c>
      <c r="K45" s="51">
        <f>J45*I45</f>
        <v>1542499.416</v>
      </c>
    </row>
    <row r="46" spans="1:11" ht="15" hidden="1" customHeight="1" x14ac:dyDescent="0.25">
      <c r="A46" s="39" t="s">
        <v>13</v>
      </c>
      <c r="B46" t="s">
        <v>195</v>
      </c>
      <c r="C46" t="str">
        <f t="shared" si="0"/>
        <v>ArgentinaFox Sports 2</v>
      </c>
      <c r="D46" s="1">
        <v>9565137</v>
      </c>
      <c r="E46" t="s">
        <v>149</v>
      </c>
      <c r="F46" t="s">
        <v>196</v>
      </c>
    </row>
    <row r="47" spans="1:11" ht="15" hidden="1" customHeight="1" x14ac:dyDescent="0.25">
      <c r="A47" s="39" t="s">
        <v>13</v>
      </c>
      <c r="B47" t="s">
        <v>197</v>
      </c>
      <c r="C47" t="str">
        <f t="shared" si="0"/>
        <v>ArgentinaFox Sports 3</v>
      </c>
      <c r="D47" s="1">
        <v>5512655</v>
      </c>
      <c r="E47" t="s">
        <v>149</v>
      </c>
      <c r="F47" t="s">
        <v>198</v>
      </c>
    </row>
    <row r="48" spans="1:11" ht="15" hidden="1" customHeight="1" x14ac:dyDescent="0.25">
      <c r="A48" s="39" t="s">
        <v>13</v>
      </c>
      <c r="B48" t="s">
        <v>199</v>
      </c>
      <c r="C48" t="str">
        <f t="shared" si="0"/>
        <v>ArgentinaFox Sports HD</v>
      </c>
      <c r="D48" s="1">
        <v>1843299</v>
      </c>
      <c r="E48" t="s">
        <v>149</v>
      </c>
      <c r="F48" t="s">
        <v>200</v>
      </c>
    </row>
    <row r="49" spans="1:9" ht="15" hidden="1" customHeight="1" x14ac:dyDescent="0.25">
      <c r="A49" s="39" t="s">
        <v>13</v>
      </c>
      <c r="B49" s="41" t="s">
        <v>201</v>
      </c>
      <c r="C49" t="str">
        <f t="shared" si="0"/>
        <v>ArgentinaTYC Sports</v>
      </c>
      <c r="D49" s="1">
        <v>6519000</v>
      </c>
      <c r="E49" t="s">
        <v>149</v>
      </c>
      <c r="F49" t="s">
        <v>202</v>
      </c>
    </row>
    <row r="50" spans="1:9" ht="15" hidden="1" customHeight="1" x14ac:dyDescent="0.25">
      <c r="A50" s="39" t="s">
        <v>13</v>
      </c>
      <c r="B50" s="41" t="s">
        <v>203</v>
      </c>
      <c r="C50" t="str">
        <f t="shared" si="0"/>
        <v>ArgentinaTyC Sports HD</v>
      </c>
      <c r="D50" s="1">
        <v>6519000</v>
      </c>
      <c r="E50" t="s">
        <v>149</v>
      </c>
      <c r="F50" t="s">
        <v>202</v>
      </c>
    </row>
    <row r="51" spans="1:9" ht="15" hidden="1" customHeight="1" x14ac:dyDescent="0.25">
      <c r="A51" s="13" t="s">
        <v>13</v>
      </c>
      <c r="B51" s="41" t="s">
        <v>204</v>
      </c>
      <c r="C51" t="str">
        <f t="shared" si="0"/>
        <v>ArgentinaTyC Sports Interior</v>
      </c>
      <c r="D51" s="1">
        <v>6519000</v>
      </c>
      <c r="E51" t="s">
        <v>149</v>
      </c>
      <c r="F51" t="s">
        <v>202</v>
      </c>
    </row>
    <row r="52" spans="1:9" ht="15" hidden="1" customHeight="1" x14ac:dyDescent="0.25">
      <c r="A52" s="13" t="s">
        <v>13</v>
      </c>
      <c r="B52" s="41" t="s">
        <v>205</v>
      </c>
      <c r="C52" t="str">
        <f t="shared" si="0"/>
        <v>ArgentinaTyC Sports Internacional</v>
      </c>
      <c r="D52" s="1">
        <v>6519000</v>
      </c>
      <c r="E52" t="s">
        <v>149</v>
      </c>
      <c r="F52" t="s">
        <v>202</v>
      </c>
    </row>
    <row r="53" spans="1:9" ht="15" hidden="1" customHeight="1" x14ac:dyDescent="0.25">
      <c r="A53" s="39" t="s">
        <v>17</v>
      </c>
      <c r="B53" s="38" t="s">
        <v>206</v>
      </c>
      <c r="C53" t="str">
        <f t="shared" si="0"/>
        <v>Australia7mate</v>
      </c>
      <c r="D53" s="1">
        <v>8317250</v>
      </c>
      <c r="E53" t="s">
        <v>142</v>
      </c>
      <c r="F53" t="s">
        <v>207</v>
      </c>
    </row>
    <row r="54" spans="1:9" ht="15" hidden="1" customHeight="1" x14ac:dyDescent="0.25">
      <c r="A54" s="13" t="s">
        <v>17</v>
      </c>
      <c r="B54" s="41" t="s">
        <v>208</v>
      </c>
      <c r="C54" t="str">
        <f t="shared" si="0"/>
        <v>Australia7Two</v>
      </c>
      <c r="D54" s="1">
        <v>8397050</v>
      </c>
      <c r="E54" t="s">
        <v>142</v>
      </c>
      <c r="F54" t="s">
        <v>209</v>
      </c>
    </row>
    <row r="55" spans="1:9" ht="15" hidden="1" customHeight="1" x14ac:dyDescent="0.25">
      <c r="A55" s="13" t="s">
        <v>17</v>
      </c>
      <c r="B55" t="s">
        <v>210</v>
      </c>
      <c r="C55" t="str">
        <f t="shared" si="0"/>
        <v>Australia9Gem</v>
      </c>
      <c r="D55" s="1">
        <v>7545800</v>
      </c>
      <c r="E55" t="s">
        <v>142</v>
      </c>
    </row>
    <row r="56" spans="1:9" ht="15" hidden="1" customHeight="1" x14ac:dyDescent="0.25">
      <c r="A56" s="13" t="s">
        <v>17</v>
      </c>
      <c r="B56" t="s">
        <v>211</v>
      </c>
      <c r="C56" t="str">
        <f t="shared" si="0"/>
        <v>Australia9Go!</v>
      </c>
      <c r="D56" s="1">
        <v>8867000</v>
      </c>
      <c r="E56" t="s">
        <v>142</v>
      </c>
      <c r="I56">
        <f>432729000*0.909</f>
        <v>393350661</v>
      </c>
    </row>
    <row r="57" spans="1:9" ht="15" hidden="1" customHeight="1" x14ac:dyDescent="0.25">
      <c r="A57" s="13" t="s">
        <v>17</v>
      </c>
      <c r="B57" t="s">
        <v>212</v>
      </c>
      <c r="C57" t="str">
        <f t="shared" si="0"/>
        <v>AustraliaABC</v>
      </c>
      <c r="D57" s="51">
        <v>7457150</v>
      </c>
      <c r="E57" t="s">
        <v>142</v>
      </c>
      <c r="F57" t="s">
        <v>213</v>
      </c>
    </row>
    <row r="58" spans="1:9" ht="15" hidden="1" customHeight="1" x14ac:dyDescent="0.25">
      <c r="A58" s="13" t="s">
        <v>17</v>
      </c>
      <c r="B58" s="41" t="s">
        <v>214</v>
      </c>
      <c r="C58" t="str">
        <f t="shared" si="0"/>
        <v>AustraliabeIN Sports 1</v>
      </c>
      <c r="D58" s="1">
        <v>2465000</v>
      </c>
      <c r="E58" t="s">
        <v>149</v>
      </c>
      <c r="F58" t="s">
        <v>215</v>
      </c>
    </row>
    <row r="59" spans="1:9" ht="15" hidden="1" customHeight="1" x14ac:dyDescent="0.25">
      <c r="A59" t="s">
        <v>17</v>
      </c>
      <c r="B59" t="s">
        <v>216</v>
      </c>
      <c r="C59" t="str">
        <f t="shared" si="0"/>
        <v>AustraliaBeIN Sports 2</v>
      </c>
      <c r="D59" s="1">
        <v>2465000</v>
      </c>
      <c r="E59" t="s">
        <v>149</v>
      </c>
      <c r="F59" t="s">
        <v>215</v>
      </c>
    </row>
    <row r="60" spans="1:9" ht="15" hidden="1" customHeight="1" x14ac:dyDescent="0.25">
      <c r="A60" s="13" t="s">
        <v>17</v>
      </c>
      <c r="B60" s="41" t="s">
        <v>217</v>
      </c>
      <c r="C60" t="str">
        <f t="shared" si="0"/>
        <v>AustraliabeIN Sports 3</v>
      </c>
      <c r="D60" s="1">
        <v>2465000</v>
      </c>
      <c r="E60" t="s">
        <v>149</v>
      </c>
      <c r="F60" t="s">
        <v>215</v>
      </c>
    </row>
    <row r="61" spans="1:9" ht="15" hidden="1" customHeight="1" x14ac:dyDescent="0.25">
      <c r="A61" s="13" t="s">
        <v>17</v>
      </c>
      <c r="B61" t="s">
        <v>218</v>
      </c>
      <c r="C61" t="str">
        <f t="shared" si="0"/>
        <v>AustraliaBold</v>
      </c>
      <c r="D61" s="1">
        <v>8751730</v>
      </c>
      <c r="E61" t="s">
        <v>142</v>
      </c>
    </row>
    <row r="62" spans="1:9" ht="15" hidden="1" customHeight="1" x14ac:dyDescent="0.25">
      <c r="A62" s="13" t="s">
        <v>17</v>
      </c>
      <c r="B62" t="s">
        <v>183</v>
      </c>
      <c r="C62" t="str">
        <f t="shared" si="0"/>
        <v>AustraliaESPN</v>
      </c>
      <c r="D62" s="1">
        <v>1753245</v>
      </c>
      <c r="E62" t="s">
        <v>149</v>
      </c>
      <c r="F62" t="s">
        <v>219</v>
      </c>
    </row>
    <row r="63" spans="1:9" ht="15" hidden="1" customHeight="1" x14ac:dyDescent="0.25">
      <c r="A63" s="39" t="s">
        <v>17</v>
      </c>
      <c r="B63" t="s">
        <v>185</v>
      </c>
      <c r="C63" t="str">
        <f t="shared" si="0"/>
        <v>AustraliaESPN 2</v>
      </c>
      <c r="D63" s="1">
        <v>1753245</v>
      </c>
      <c r="E63" t="s">
        <v>149</v>
      </c>
      <c r="F63" t="s">
        <v>219</v>
      </c>
    </row>
    <row r="64" spans="1:9" ht="15" hidden="1" customHeight="1" x14ac:dyDescent="0.25">
      <c r="A64" s="39" t="s">
        <v>17</v>
      </c>
      <c r="B64" t="s">
        <v>220</v>
      </c>
      <c r="C64" t="str">
        <f t="shared" si="0"/>
        <v>AustraliaESPN2</v>
      </c>
      <c r="D64" s="1">
        <v>1753245</v>
      </c>
      <c r="E64" t="s">
        <v>149</v>
      </c>
      <c r="F64" t="s">
        <v>219</v>
      </c>
    </row>
    <row r="65" spans="1:13" ht="15" hidden="1" customHeight="1" x14ac:dyDescent="0.25">
      <c r="A65" s="13" t="s">
        <v>17</v>
      </c>
      <c r="B65" t="s">
        <v>221</v>
      </c>
      <c r="C65" t="str">
        <f t="shared" si="0"/>
        <v>AustraliaEurosport</v>
      </c>
      <c r="D65" s="1">
        <v>590044.21956231527</v>
      </c>
      <c r="E65" t="s">
        <v>149</v>
      </c>
      <c r="F65" t="s">
        <v>222</v>
      </c>
    </row>
    <row r="66" spans="1:13" ht="15" hidden="1" customHeight="1" x14ac:dyDescent="0.25">
      <c r="A66" s="39" t="s">
        <v>17</v>
      </c>
      <c r="B66" t="s">
        <v>223</v>
      </c>
      <c r="C66" t="str">
        <f t="shared" ref="C66:C129" si="1">CONCATENATE(A66,B66)</f>
        <v>AustraliaFOX Sports 1</v>
      </c>
      <c r="D66" s="1">
        <v>2465000</v>
      </c>
      <c r="E66" t="s">
        <v>149</v>
      </c>
      <c r="F66" t="s">
        <v>224</v>
      </c>
    </row>
    <row r="67" spans="1:13" ht="15" hidden="1" customHeight="1" x14ac:dyDescent="0.25">
      <c r="A67" s="13" t="s">
        <v>17</v>
      </c>
      <c r="B67" t="s">
        <v>225</v>
      </c>
      <c r="C67" t="str">
        <f t="shared" si="1"/>
        <v>AustraliaFOX Sports 2</v>
      </c>
      <c r="D67" s="1">
        <v>2465000</v>
      </c>
      <c r="E67" t="s">
        <v>149</v>
      </c>
      <c r="F67" t="s">
        <v>224</v>
      </c>
    </row>
    <row r="68" spans="1:13" ht="15" hidden="1" customHeight="1" x14ac:dyDescent="0.25">
      <c r="A68" s="13" t="s">
        <v>17</v>
      </c>
      <c r="B68" t="s">
        <v>226</v>
      </c>
      <c r="C68" t="str">
        <f t="shared" si="1"/>
        <v>AustraliaFOX Sports 3</v>
      </c>
      <c r="D68" s="1">
        <v>2465000</v>
      </c>
      <c r="E68" t="s">
        <v>149</v>
      </c>
      <c r="F68" t="s">
        <v>224</v>
      </c>
    </row>
    <row r="69" spans="1:13" ht="15" hidden="1" customHeight="1" x14ac:dyDescent="0.25">
      <c r="A69" s="13" t="s">
        <v>17</v>
      </c>
      <c r="B69" t="s">
        <v>227</v>
      </c>
      <c r="C69" t="str">
        <f t="shared" si="1"/>
        <v>AustraliaFOX Sports 4</v>
      </c>
      <c r="D69" s="1">
        <v>2465000</v>
      </c>
      <c r="E69" t="s">
        <v>149</v>
      </c>
      <c r="F69" t="s">
        <v>224</v>
      </c>
    </row>
    <row r="70" spans="1:13" ht="15" hidden="1" customHeight="1" x14ac:dyDescent="0.25">
      <c r="A70" s="13" t="s">
        <v>17</v>
      </c>
      <c r="B70" t="s">
        <v>228</v>
      </c>
      <c r="C70" t="str">
        <f t="shared" si="1"/>
        <v>AustraliaFOX Sports 5</v>
      </c>
      <c r="D70" s="1">
        <v>2465000</v>
      </c>
      <c r="E70" t="s">
        <v>149</v>
      </c>
      <c r="F70" t="s">
        <v>224</v>
      </c>
    </row>
    <row r="71" spans="1:13" ht="15" hidden="1" customHeight="1" x14ac:dyDescent="0.25">
      <c r="A71" s="13" t="s">
        <v>17</v>
      </c>
      <c r="B71" s="42" t="s">
        <v>229</v>
      </c>
      <c r="C71" t="str">
        <f t="shared" si="1"/>
        <v>AustraliaFOX SPORTS 501</v>
      </c>
      <c r="D71" s="1">
        <v>2465000</v>
      </c>
      <c r="E71" t="s">
        <v>149</v>
      </c>
      <c r="F71" t="s">
        <v>224</v>
      </c>
    </row>
    <row r="72" spans="1:13" ht="15" hidden="1" customHeight="1" x14ac:dyDescent="0.25">
      <c r="A72" s="13" t="s">
        <v>17</v>
      </c>
      <c r="B72" s="42" t="s">
        <v>230</v>
      </c>
      <c r="C72" t="str">
        <f t="shared" si="1"/>
        <v>AustraliaFOX SPORTS 503</v>
      </c>
      <c r="D72" s="1">
        <v>2465000</v>
      </c>
      <c r="E72" t="s">
        <v>149</v>
      </c>
      <c r="F72" t="s">
        <v>224</v>
      </c>
    </row>
    <row r="73" spans="1:13" ht="15" hidden="1" customHeight="1" x14ac:dyDescent="0.25">
      <c r="A73" s="113" t="s">
        <v>17</v>
      </c>
      <c r="B73" t="s">
        <v>231</v>
      </c>
      <c r="C73" t="str">
        <f t="shared" si="1"/>
        <v>AustraliaFOX SPORTS 505</v>
      </c>
      <c r="D73" s="1">
        <v>2465000</v>
      </c>
      <c r="E73" t="s">
        <v>149</v>
      </c>
      <c r="F73" t="s">
        <v>224</v>
      </c>
    </row>
    <row r="74" spans="1:13" ht="15" hidden="1" customHeight="1" x14ac:dyDescent="0.25">
      <c r="A74" t="s">
        <v>17</v>
      </c>
      <c r="B74" t="s">
        <v>232</v>
      </c>
      <c r="C74" t="str">
        <f t="shared" si="1"/>
        <v>AustraliaFOX SPORTS 506</v>
      </c>
      <c r="D74" s="1">
        <v>2465000</v>
      </c>
      <c r="E74" t="s">
        <v>149</v>
      </c>
      <c r="F74" t="s">
        <v>224</v>
      </c>
    </row>
    <row r="75" spans="1:13" ht="15" hidden="1" customHeight="1" x14ac:dyDescent="0.25">
      <c r="A75" s="13" t="s">
        <v>17</v>
      </c>
      <c r="B75" t="s">
        <v>233</v>
      </c>
      <c r="C75" t="str">
        <f t="shared" si="1"/>
        <v>AustraliaFox Sports 6</v>
      </c>
      <c r="D75">
        <v>2465000</v>
      </c>
      <c r="E75" t="s">
        <v>149</v>
      </c>
    </row>
    <row r="76" spans="1:13" ht="15" hidden="1" customHeight="1" x14ac:dyDescent="0.25">
      <c r="A76" s="13" t="s">
        <v>17</v>
      </c>
      <c r="B76" t="s">
        <v>234</v>
      </c>
      <c r="C76" t="str">
        <f t="shared" si="1"/>
        <v>AustraliaFOX Sports 7</v>
      </c>
      <c r="D76" s="1">
        <v>2465000</v>
      </c>
      <c r="E76" t="s">
        <v>149</v>
      </c>
      <c r="F76" t="s">
        <v>224</v>
      </c>
    </row>
    <row r="77" spans="1:13" ht="15" hidden="1" customHeight="1" x14ac:dyDescent="0.25">
      <c r="A77" t="s">
        <v>17</v>
      </c>
      <c r="B77" t="s">
        <v>235</v>
      </c>
      <c r="C77" t="str">
        <f t="shared" si="1"/>
        <v>AustraliaFOX SPORTS MORE</v>
      </c>
      <c r="D77" s="1">
        <v>2465000</v>
      </c>
      <c r="E77" t="s">
        <v>149</v>
      </c>
      <c r="F77" t="s">
        <v>224</v>
      </c>
    </row>
    <row r="78" spans="1:13" ht="15" hidden="1" customHeight="1" x14ac:dyDescent="0.25">
      <c r="A78" s="13" t="s">
        <v>17</v>
      </c>
      <c r="B78" t="s">
        <v>236</v>
      </c>
      <c r="C78" t="str">
        <f t="shared" si="1"/>
        <v>AustraliaFOX SPORTS NEWS 500</v>
      </c>
      <c r="D78" s="1">
        <v>2465000</v>
      </c>
      <c r="E78" t="s">
        <v>149</v>
      </c>
      <c r="I78" t="s">
        <v>237</v>
      </c>
      <c r="J78" t="s">
        <v>238</v>
      </c>
      <c r="K78" t="s">
        <v>239</v>
      </c>
      <c r="L78" t="s">
        <v>240</v>
      </c>
      <c r="M78" t="s">
        <v>241</v>
      </c>
    </row>
    <row r="79" spans="1:13" ht="15" hidden="1" customHeight="1" x14ac:dyDescent="0.25">
      <c r="A79" t="s">
        <v>17</v>
      </c>
      <c r="B79" t="s">
        <v>242</v>
      </c>
      <c r="C79" t="str">
        <f t="shared" si="1"/>
        <v>AustraliaGem</v>
      </c>
      <c r="D79" s="1">
        <v>7545800</v>
      </c>
      <c r="E79" t="s">
        <v>142</v>
      </c>
      <c r="F79" t="s">
        <v>243</v>
      </c>
    </row>
    <row r="80" spans="1:13" ht="15" hidden="1" customHeight="1" x14ac:dyDescent="0.25">
      <c r="A80" s="205" t="s">
        <v>17</v>
      </c>
      <c r="B80" s="11" t="s">
        <v>244</v>
      </c>
      <c r="C80" s="11" t="str">
        <f t="shared" si="1"/>
        <v>AustraliaGO!</v>
      </c>
      <c r="D80" s="1">
        <v>8867000</v>
      </c>
      <c r="E80" t="s">
        <v>142</v>
      </c>
      <c r="F80" s="11"/>
    </row>
    <row r="81" spans="1:13" ht="15" hidden="1" customHeight="1" x14ac:dyDescent="0.25">
      <c r="A81" s="39" t="s">
        <v>17</v>
      </c>
      <c r="B81" t="s">
        <v>245</v>
      </c>
      <c r="C81" t="str">
        <f t="shared" si="1"/>
        <v>AustraliaHorse and Country</v>
      </c>
      <c r="D81" s="51">
        <v>100000</v>
      </c>
      <c r="E81" t="s">
        <v>149</v>
      </c>
      <c r="I81" t="s">
        <v>237</v>
      </c>
      <c r="J81" t="s">
        <v>238</v>
      </c>
      <c r="K81" t="s">
        <v>239</v>
      </c>
      <c r="L81" t="s">
        <v>240</v>
      </c>
      <c r="M81" t="s">
        <v>241</v>
      </c>
    </row>
    <row r="82" spans="1:13" ht="15" hidden="1" customHeight="1" x14ac:dyDescent="0.25">
      <c r="A82" s="205" t="s">
        <v>17</v>
      </c>
      <c r="B82" s="11" t="s">
        <v>246</v>
      </c>
      <c r="C82" s="11" t="str">
        <f t="shared" si="1"/>
        <v>AustraliaNine</v>
      </c>
      <c r="D82" s="1">
        <v>8867000</v>
      </c>
      <c r="E82" t="s">
        <v>142</v>
      </c>
      <c r="F82" s="11"/>
      <c r="I82" t="s">
        <v>237</v>
      </c>
      <c r="J82" t="s">
        <v>238</v>
      </c>
      <c r="K82" t="s">
        <v>239</v>
      </c>
      <c r="L82" t="s">
        <v>240</v>
      </c>
      <c r="M82" t="s">
        <v>241</v>
      </c>
    </row>
    <row r="83" spans="1:13" ht="15" hidden="1" customHeight="1" x14ac:dyDescent="0.25">
      <c r="A83" s="13" t="s">
        <v>17</v>
      </c>
      <c r="B83" t="s">
        <v>247</v>
      </c>
      <c r="C83" t="str">
        <f t="shared" si="1"/>
        <v>AustraliaONE</v>
      </c>
      <c r="D83" s="1">
        <v>8255000</v>
      </c>
      <c r="E83" t="s">
        <v>142</v>
      </c>
      <c r="F83" t="s">
        <v>248</v>
      </c>
    </row>
    <row r="84" spans="1:13" ht="15" hidden="1" customHeight="1" x14ac:dyDescent="0.25">
      <c r="A84" s="13" t="s">
        <v>17</v>
      </c>
      <c r="B84" t="s">
        <v>249</v>
      </c>
      <c r="C84" t="str">
        <f t="shared" si="1"/>
        <v>AustraliaPrime7/7QLD</v>
      </c>
      <c r="D84" s="51">
        <v>8423650</v>
      </c>
      <c r="E84" t="s">
        <v>142</v>
      </c>
      <c r="F84" t="s">
        <v>250</v>
      </c>
      <c r="I84" t="s">
        <v>237</v>
      </c>
      <c r="J84" t="s">
        <v>238</v>
      </c>
      <c r="L84" t="s">
        <v>240</v>
      </c>
      <c r="M84" t="s">
        <v>241</v>
      </c>
    </row>
    <row r="85" spans="1:13" ht="15" hidden="1" customHeight="1" x14ac:dyDescent="0.25">
      <c r="A85" s="13" t="s">
        <v>17</v>
      </c>
      <c r="B85" t="s">
        <v>251</v>
      </c>
      <c r="C85" t="str">
        <f t="shared" si="1"/>
        <v>AustraliaSBS</v>
      </c>
      <c r="D85" s="1">
        <v>7430500</v>
      </c>
      <c r="E85" t="s">
        <v>142</v>
      </c>
      <c r="F85" t="s">
        <v>248</v>
      </c>
      <c r="I85" t="s">
        <v>237</v>
      </c>
      <c r="J85" t="s">
        <v>238</v>
      </c>
      <c r="L85" t="s">
        <v>240</v>
      </c>
      <c r="M85" t="s">
        <v>241</v>
      </c>
    </row>
    <row r="86" spans="1:13" ht="15" hidden="1" customHeight="1" x14ac:dyDescent="0.25">
      <c r="A86" s="39" t="s">
        <v>17</v>
      </c>
      <c r="B86" t="s">
        <v>252</v>
      </c>
      <c r="C86" t="str">
        <f t="shared" si="1"/>
        <v>AustraliaSBS One</v>
      </c>
      <c r="D86" s="51">
        <v>7430500</v>
      </c>
      <c r="E86" t="s">
        <v>142</v>
      </c>
      <c r="F86" t="s">
        <v>253</v>
      </c>
    </row>
    <row r="87" spans="1:13" ht="15" hidden="1" customHeight="1" x14ac:dyDescent="0.25">
      <c r="A87" s="13" t="s">
        <v>17</v>
      </c>
      <c r="B87" t="s">
        <v>254</v>
      </c>
      <c r="C87" t="str">
        <f t="shared" si="1"/>
        <v>AustraliaSCA Nine/NBN</v>
      </c>
      <c r="D87" s="1">
        <v>8867000</v>
      </c>
      <c r="E87" t="s">
        <v>142</v>
      </c>
    </row>
    <row r="88" spans="1:13" ht="15" hidden="1" customHeight="1" x14ac:dyDescent="0.25">
      <c r="A88" s="13" t="s">
        <v>17</v>
      </c>
      <c r="B88" t="s">
        <v>255</v>
      </c>
      <c r="C88" t="str">
        <f t="shared" si="1"/>
        <v>AustraliaSCA TEN NNSW</v>
      </c>
      <c r="D88" s="51">
        <v>8352700</v>
      </c>
      <c r="E88" t="s">
        <v>142</v>
      </c>
      <c r="F88" t="s">
        <v>256</v>
      </c>
    </row>
    <row r="89" spans="1:13" ht="15" hidden="1" customHeight="1" x14ac:dyDescent="0.25">
      <c r="A89" s="13" t="s">
        <v>17</v>
      </c>
      <c r="B89" s="41" t="s">
        <v>257</v>
      </c>
      <c r="C89" t="str">
        <f t="shared" si="1"/>
        <v>AustraliaSeven</v>
      </c>
      <c r="D89" s="51">
        <v>8423650</v>
      </c>
      <c r="E89" t="s">
        <v>142</v>
      </c>
      <c r="F89" t="s">
        <v>250</v>
      </c>
    </row>
    <row r="90" spans="1:13" ht="15" hidden="1" customHeight="1" x14ac:dyDescent="0.25">
      <c r="A90" s="13" t="s">
        <v>17</v>
      </c>
      <c r="B90" t="s">
        <v>258</v>
      </c>
      <c r="C90" t="str">
        <f t="shared" si="1"/>
        <v>AustraliaSouthern Cross Tas</v>
      </c>
      <c r="D90" s="51">
        <v>8352714.0000000009</v>
      </c>
      <c r="E90" t="s">
        <v>142</v>
      </c>
      <c r="F90" t="s">
        <v>259</v>
      </c>
    </row>
    <row r="91" spans="1:13" ht="15" hidden="1" customHeight="1" x14ac:dyDescent="0.25">
      <c r="A91" s="13" t="s">
        <v>17</v>
      </c>
      <c r="B91" t="s">
        <v>260</v>
      </c>
      <c r="C91" t="str">
        <f t="shared" si="1"/>
        <v>AustraliaTDT</v>
      </c>
      <c r="D91" s="1">
        <v>8867000</v>
      </c>
      <c r="E91" t="s">
        <v>142</v>
      </c>
    </row>
    <row r="92" spans="1:13" ht="15" hidden="1" customHeight="1" x14ac:dyDescent="0.25">
      <c r="A92" s="13" t="s">
        <v>17</v>
      </c>
      <c r="B92" t="s">
        <v>261</v>
      </c>
      <c r="C92" t="str">
        <f t="shared" si="1"/>
        <v>AustraliaWIN</v>
      </c>
      <c r="D92" s="51">
        <v>8867000</v>
      </c>
      <c r="E92" t="s">
        <v>142</v>
      </c>
      <c r="F92" t="s">
        <v>262</v>
      </c>
    </row>
    <row r="93" spans="1:13" ht="15" hidden="1" customHeight="1" x14ac:dyDescent="0.25">
      <c r="A93" s="13" t="s">
        <v>23</v>
      </c>
      <c r="B93" t="s">
        <v>263</v>
      </c>
      <c r="C93" t="str">
        <f t="shared" si="1"/>
        <v>AustriaARD</v>
      </c>
      <c r="D93" s="1">
        <v>3157980</v>
      </c>
      <c r="E93" t="s">
        <v>142</v>
      </c>
      <c r="F93" t="s">
        <v>264</v>
      </c>
    </row>
    <row r="94" spans="1:13" ht="15" hidden="1" customHeight="1" x14ac:dyDescent="0.25">
      <c r="A94" s="13" t="s">
        <v>23</v>
      </c>
      <c r="B94" s="41" t="s">
        <v>265</v>
      </c>
      <c r="C94" t="str">
        <f t="shared" si="1"/>
        <v>AustriaDAZN</v>
      </c>
      <c r="D94" s="1">
        <v>7797</v>
      </c>
      <c r="E94" t="s">
        <v>149</v>
      </c>
      <c r="F94" t="s">
        <v>266</v>
      </c>
    </row>
    <row r="95" spans="1:13" ht="15" hidden="1" customHeight="1" x14ac:dyDescent="0.25">
      <c r="A95" s="13" t="s">
        <v>23</v>
      </c>
      <c r="B95" t="s">
        <v>221</v>
      </c>
      <c r="C95" t="str">
        <f t="shared" si="1"/>
        <v>AustriaEurosport</v>
      </c>
      <c r="D95" s="51">
        <v>3045000</v>
      </c>
      <c r="E95" t="s">
        <v>149</v>
      </c>
      <c r="F95" t="s">
        <v>267</v>
      </c>
    </row>
    <row r="96" spans="1:13" ht="15" hidden="1" customHeight="1" x14ac:dyDescent="0.25">
      <c r="A96" s="203" t="s">
        <v>23</v>
      </c>
      <c r="B96" s="147" t="s">
        <v>268</v>
      </c>
      <c r="C96" s="11" t="str">
        <f t="shared" si="1"/>
        <v>AustriaEurosport 1</v>
      </c>
      <c r="D96" s="1">
        <v>3045000</v>
      </c>
      <c r="E96" t="s">
        <v>149</v>
      </c>
      <c r="F96" s="11"/>
    </row>
    <row r="97" spans="1:17" ht="15" hidden="1" customHeight="1" x14ac:dyDescent="0.25">
      <c r="A97" s="205" t="s">
        <v>23</v>
      </c>
      <c r="B97" s="11" t="s">
        <v>269</v>
      </c>
      <c r="C97" s="11" t="str">
        <f t="shared" si="1"/>
        <v>AustriaEurosport 2</v>
      </c>
      <c r="D97" s="22">
        <v>52785.504510029394</v>
      </c>
      <c r="E97" t="s">
        <v>149</v>
      </c>
      <c r="F97" s="11"/>
    </row>
    <row r="98" spans="1:17" ht="15" hidden="1" customHeight="1" x14ac:dyDescent="0.25">
      <c r="A98" t="s">
        <v>23</v>
      </c>
      <c r="B98" t="s">
        <v>270</v>
      </c>
      <c r="C98" t="str">
        <f t="shared" si="1"/>
        <v>AustriaNTV</v>
      </c>
      <c r="D98" s="1">
        <v>3280550</v>
      </c>
      <c r="E98" t="s">
        <v>142</v>
      </c>
      <c r="F98" t="s">
        <v>271</v>
      </c>
    </row>
    <row r="99" spans="1:17" ht="15" hidden="1" customHeight="1" x14ac:dyDescent="0.25">
      <c r="A99" s="13" t="s">
        <v>23</v>
      </c>
      <c r="B99" t="s">
        <v>272</v>
      </c>
      <c r="C99" t="str">
        <f t="shared" si="1"/>
        <v>AustriaN-TV GESAMT</v>
      </c>
      <c r="D99" s="1">
        <v>3280550</v>
      </c>
      <c r="E99" t="s">
        <v>142</v>
      </c>
    </row>
    <row r="100" spans="1:17" ht="15" hidden="1" customHeight="1" x14ac:dyDescent="0.25">
      <c r="A100" s="13" t="s">
        <v>23</v>
      </c>
      <c r="B100" t="s">
        <v>273</v>
      </c>
      <c r="C100" t="str">
        <f t="shared" si="1"/>
        <v>AustriaORF 1</v>
      </c>
      <c r="D100" s="1">
        <v>3554530</v>
      </c>
      <c r="E100" t="s">
        <v>142</v>
      </c>
      <c r="F100" t="s">
        <v>274</v>
      </c>
      <c r="O100" s="43">
        <v>797.1559069824001</v>
      </c>
      <c r="P100">
        <f>(O100/($O$12+$O$100))*2300000</f>
        <v>546754.93602578284</v>
      </c>
      <c r="Q100">
        <f>ROUND(P100,0)</f>
        <v>546755</v>
      </c>
    </row>
    <row r="101" spans="1:17" ht="15" hidden="1" customHeight="1" x14ac:dyDescent="0.25">
      <c r="A101" s="39" t="s">
        <v>23</v>
      </c>
      <c r="B101" t="s">
        <v>275</v>
      </c>
      <c r="C101" t="str">
        <f t="shared" si="1"/>
        <v>AustriaORF 2</v>
      </c>
      <c r="D101" s="1">
        <v>3536505</v>
      </c>
      <c r="E101" t="s">
        <v>142</v>
      </c>
      <c r="F101" t="s">
        <v>276</v>
      </c>
      <c r="O101" s="44"/>
    </row>
    <row r="102" spans="1:17" ht="15" hidden="1" customHeight="1" x14ac:dyDescent="0.25">
      <c r="A102" s="39" t="s">
        <v>23</v>
      </c>
      <c r="B102" t="s">
        <v>277</v>
      </c>
      <c r="C102" t="str">
        <f t="shared" si="1"/>
        <v>AustriaORF Sport +</v>
      </c>
      <c r="D102">
        <v>2065665</v>
      </c>
      <c r="E102" t="s">
        <v>142</v>
      </c>
      <c r="O102" s="44"/>
    </row>
    <row r="103" spans="1:17" ht="15" hidden="1" customHeight="1" x14ac:dyDescent="0.25">
      <c r="A103" s="13" t="s">
        <v>23</v>
      </c>
      <c r="B103" t="s">
        <v>278</v>
      </c>
      <c r="C103" t="str">
        <f t="shared" si="1"/>
        <v>AustriaORF Sport Plus</v>
      </c>
      <c r="D103" s="1">
        <v>2065664.9999999998</v>
      </c>
      <c r="E103" t="s">
        <v>142</v>
      </c>
      <c r="F103" t="s">
        <v>279</v>
      </c>
    </row>
    <row r="104" spans="1:17" ht="15" hidden="1" customHeight="1" x14ac:dyDescent="0.25">
      <c r="A104" s="13" t="s">
        <v>23</v>
      </c>
      <c r="B104" t="s">
        <v>280</v>
      </c>
      <c r="C104" t="str">
        <f t="shared" si="1"/>
        <v>AustriaRTL</v>
      </c>
      <c r="D104" s="1">
        <v>3280550</v>
      </c>
      <c r="E104" t="s">
        <v>142</v>
      </c>
      <c r="F104" t="s">
        <v>281</v>
      </c>
    </row>
    <row r="105" spans="1:17" ht="15" hidden="1" customHeight="1" x14ac:dyDescent="0.25">
      <c r="A105" s="13" t="s">
        <v>23</v>
      </c>
      <c r="B105" t="s">
        <v>282</v>
      </c>
      <c r="C105" t="str">
        <f t="shared" si="1"/>
        <v>AustriaServus TV</v>
      </c>
      <c r="D105" s="1">
        <v>3180534</v>
      </c>
      <c r="E105" t="s">
        <v>142</v>
      </c>
    </row>
    <row r="106" spans="1:17" ht="15" hidden="1" customHeight="1" x14ac:dyDescent="0.25">
      <c r="A106" s="39" t="s">
        <v>23</v>
      </c>
      <c r="B106" t="s">
        <v>283</v>
      </c>
      <c r="C106" t="str">
        <f t="shared" si="1"/>
        <v>AustriaSky Sport 1</v>
      </c>
      <c r="D106" s="1">
        <v>656000</v>
      </c>
      <c r="E106" t="s">
        <v>149</v>
      </c>
      <c r="F106" t="s">
        <v>284</v>
      </c>
    </row>
    <row r="107" spans="1:17" ht="15" hidden="1" customHeight="1" x14ac:dyDescent="0.25">
      <c r="A107" t="s">
        <v>23</v>
      </c>
      <c r="B107" t="s">
        <v>285</v>
      </c>
      <c r="C107" t="str">
        <f t="shared" si="1"/>
        <v>AustriaSky Sport 10</v>
      </c>
      <c r="D107" s="1">
        <v>656000</v>
      </c>
      <c r="E107" t="s">
        <v>149</v>
      </c>
      <c r="F107" t="s">
        <v>284</v>
      </c>
    </row>
    <row r="108" spans="1:17" ht="15" hidden="1" customHeight="1" x14ac:dyDescent="0.25">
      <c r="A108" s="13" t="s">
        <v>23</v>
      </c>
      <c r="B108" t="s">
        <v>286</v>
      </c>
      <c r="C108" t="str">
        <f t="shared" si="1"/>
        <v>AustriaSky Sport 11</v>
      </c>
      <c r="D108" s="1">
        <v>656000</v>
      </c>
      <c r="E108" t="s">
        <v>149</v>
      </c>
    </row>
    <row r="109" spans="1:17" ht="15" hidden="1" customHeight="1" x14ac:dyDescent="0.25">
      <c r="A109" s="13" t="s">
        <v>23</v>
      </c>
      <c r="B109" t="s">
        <v>287</v>
      </c>
      <c r="C109" t="str">
        <f t="shared" si="1"/>
        <v>AustriaSky Sport 2</v>
      </c>
      <c r="D109" s="1">
        <v>656000</v>
      </c>
      <c r="E109" t="s">
        <v>149</v>
      </c>
      <c r="F109" t="s">
        <v>284</v>
      </c>
    </row>
    <row r="110" spans="1:17" hidden="1" x14ac:dyDescent="0.25">
      <c r="A110" s="13" t="s">
        <v>23</v>
      </c>
      <c r="B110" t="s">
        <v>288</v>
      </c>
      <c r="C110" t="str">
        <f t="shared" si="1"/>
        <v>AustriaSky Sport 3</v>
      </c>
      <c r="D110" s="1">
        <v>656000</v>
      </c>
      <c r="E110" t="s">
        <v>149</v>
      </c>
      <c r="F110" t="s">
        <v>284</v>
      </c>
    </row>
    <row r="111" spans="1:17" hidden="1" x14ac:dyDescent="0.25">
      <c r="A111" s="39" t="s">
        <v>23</v>
      </c>
      <c r="B111" t="s">
        <v>289</v>
      </c>
      <c r="C111" t="str">
        <f t="shared" si="1"/>
        <v>AustriaSky Sport 4</v>
      </c>
      <c r="D111" s="1">
        <v>656000</v>
      </c>
      <c r="E111" t="s">
        <v>149</v>
      </c>
      <c r="F111" t="s">
        <v>284</v>
      </c>
    </row>
    <row r="112" spans="1:17" hidden="1" x14ac:dyDescent="0.25">
      <c r="A112" s="39" t="s">
        <v>23</v>
      </c>
      <c r="B112" t="s">
        <v>290</v>
      </c>
      <c r="C112" t="str">
        <f t="shared" si="1"/>
        <v>AustriaSky Sport 5</v>
      </c>
      <c r="D112" s="1">
        <v>656000</v>
      </c>
      <c r="E112" t="s">
        <v>149</v>
      </c>
      <c r="F112" t="s">
        <v>284</v>
      </c>
    </row>
    <row r="113" spans="1:11" hidden="1" x14ac:dyDescent="0.25">
      <c r="A113" t="s">
        <v>23</v>
      </c>
      <c r="B113" t="s">
        <v>291</v>
      </c>
      <c r="C113" t="str">
        <f t="shared" si="1"/>
        <v>AustriaSky Sport 6</v>
      </c>
      <c r="D113" s="1">
        <v>656000</v>
      </c>
      <c r="E113" t="s">
        <v>149</v>
      </c>
      <c r="F113" t="s">
        <v>284</v>
      </c>
    </row>
    <row r="114" spans="1:11" hidden="1" x14ac:dyDescent="0.25">
      <c r="A114" t="s">
        <v>23</v>
      </c>
      <c r="B114" t="s">
        <v>292</v>
      </c>
      <c r="C114" t="str">
        <f t="shared" si="1"/>
        <v>AustriaSky Sport 7</v>
      </c>
      <c r="D114" s="1">
        <v>656000</v>
      </c>
      <c r="E114" t="s">
        <v>149</v>
      </c>
      <c r="F114" t="s">
        <v>284</v>
      </c>
    </row>
    <row r="115" spans="1:11" hidden="1" x14ac:dyDescent="0.25">
      <c r="A115" s="13" t="s">
        <v>23</v>
      </c>
      <c r="B115" t="s">
        <v>293</v>
      </c>
      <c r="C115" t="str">
        <f t="shared" si="1"/>
        <v>AustriaSky Sport 8</v>
      </c>
      <c r="D115" s="1">
        <v>656000</v>
      </c>
      <c r="E115" t="s">
        <v>149</v>
      </c>
      <c r="F115" t="s">
        <v>284</v>
      </c>
    </row>
    <row r="116" spans="1:11" hidden="1" x14ac:dyDescent="0.25">
      <c r="A116" s="13" t="s">
        <v>23</v>
      </c>
      <c r="B116" t="s">
        <v>294</v>
      </c>
      <c r="C116" t="str">
        <f t="shared" si="1"/>
        <v>AustriaSky Sport Multifeed Group 1</v>
      </c>
      <c r="D116" s="1">
        <v>656000</v>
      </c>
      <c r="E116" t="s">
        <v>149</v>
      </c>
      <c r="F116" t="s">
        <v>284</v>
      </c>
    </row>
    <row r="117" spans="1:11" hidden="1" x14ac:dyDescent="0.25">
      <c r="A117" t="s">
        <v>23</v>
      </c>
      <c r="B117" t="s">
        <v>295</v>
      </c>
      <c r="C117" t="str">
        <f t="shared" si="1"/>
        <v>AustriaSky Sport Multifeed Group 10</v>
      </c>
      <c r="D117" s="1">
        <v>656000</v>
      </c>
      <c r="E117" t="s">
        <v>149</v>
      </c>
      <c r="F117" t="s">
        <v>284</v>
      </c>
    </row>
    <row r="118" spans="1:11" hidden="1" x14ac:dyDescent="0.25">
      <c r="A118" s="206" t="s">
        <v>23</v>
      </c>
      <c r="B118" s="158" t="s">
        <v>296</v>
      </c>
      <c r="C118" s="155" t="str">
        <f t="shared" si="1"/>
        <v>AustriaSky Sport Multifeed Group 11</v>
      </c>
      <c r="D118" s="1">
        <v>656000</v>
      </c>
      <c r="E118" t="s">
        <v>149</v>
      </c>
      <c r="F118" s="155"/>
    </row>
    <row r="119" spans="1:11" hidden="1" x14ac:dyDescent="0.25">
      <c r="A119" s="39" t="s">
        <v>23</v>
      </c>
      <c r="B119" t="s">
        <v>297</v>
      </c>
      <c r="C119" t="str">
        <f t="shared" si="1"/>
        <v>AustriaSky Sport Multifeed Group 2</v>
      </c>
      <c r="D119" s="1">
        <v>656000</v>
      </c>
      <c r="E119" t="s">
        <v>149</v>
      </c>
      <c r="F119" t="s">
        <v>284</v>
      </c>
    </row>
    <row r="120" spans="1:11" hidden="1" x14ac:dyDescent="0.25">
      <c r="A120" s="113" t="s">
        <v>23</v>
      </c>
      <c r="B120" t="s">
        <v>298</v>
      </c>
      <c r="C120" t="str">
        <f t="shared" si="1"/>
        <v>AustriaSky Sport Multifeed Group 3</v>
      </c>
      <c r="D120" s="1">
        <v>656000</v>
      </c>
      <c r="E120" t="s">
        <v>149</v>
      </c>
      <c r="F120" t="s">
        <v>284</v>
      </c>
    </row>
    <row r="121" spans="1:11" hidden="1" x14ac:dyDescent="0.25">
      <c r="A121" s="113" t="s">
        <v>23</v>
      </c>
      <c r="B121" t="s">
        <v>299</v>
      </c>
      <c r="C121" t="str">
        <f t="shared" si="1"/>
        <v>AustriaSky Sport Multifeed Group 4</v>
      </c>
      <c r="D121" s="1">
        <v>656000</v>
      </c>
      <c r="E121" t="s">
        <v>149</v>
      </c>
      <c r="F121" t="s">
        <v>284</v>
      </c>
      <c r="K121">
        <f>0.265*24888923</f>
        <v>6595564.5950000007</v>
      </c>
    </row>
    <row r="122" spans="1:11" hidden="1" x14ac:dyDescent="0.25">
      <c r="A122" t="s">
        <v>23</v>
      </c>
      <c r="B122" t="s">
        <v>300</v>
      </c>
      <c r="C122" t="str">
        <f t="shared" si="1"/>
        <v>AustriaSky Sport Multifeed Group 5</v>
      </c>
      <c r="D122" s="1">
        <v>656000</v>
      </c>
      <c r="E122" t="s">
        <v>149</v>
      </c>
      <c r="F122" t="s">
        <v>284</v>
      </c>
    </row>
    <row r="123" spans="1:11" hidden="1" x14ac:dyDescent="0.25">
      <c r="A123" s="113" t="s">
        <v>23</v>
      </c>
      <c r="B123" t="s">
        <v>301</v>
      </c>
      <c r="C123" t="str">
        <f t="shared" si="1"/>
        <v>AustriaSky Sport Multifeed Group 6</v>
      </c>
      <c r="D123" s="1">
        <v>656000</v>
      </c>
      <c r="E123" t="s">
        <v>149</v>
      </c>
      <c r="F123" t="s">
        <v>284</v>
      </c>
    </row>
    <row r="124" spans="1:11" hidden="1" x14ac:dyDescent="0.25">
      <c r="A124" s="33" t="s">
        <v>23</v>
      </c>
      <c r="B124" s="34" t="s">
        <v>302</v>
      </c>
      <c r="C124" t="str">
        <f t="shared" si="1"/>
        <v>AustriaSky Sport News</v>
      </c>
      <c r="D124" s="1">
        <v>656000</v>
      </c>
      <c r="E124" t="s">
        <v>149</v>
      </c>
      <c r="F124" t="s">
        <v>284</v>
      </c>
    </row>
    <row r="125" spans="1:11" hidden="1" x14ac:dyDescent="0.25">
      <c r="A125" s="13" t="s">
        <v>303</v>
      </c>
      <c r="B125" t="s">
        <v>304</v>
      </c>
      <c r="C125" t="str">
        <f t="shared" si="1"/>
        <v>AUstriaSport 1</v>
      </c>
      <c r="D125" s="1">
        <v>1845760</v>
      </c>
      <c r="E125" t="s">
        <v>142</v>
      </c>
      <c r="F125" t="s">
        <v>305</v>
      </c>
    </row>
    <row r="126" spans="1:11" hidden="1" x14ac:dyDescent="0.25">
      <c r="A126" s="13" t="s">
        <v>23</v>
      </c>
      <c r="B126" t="s">
        <v>306</v>
      </c>
      <c r="C126" t="str">
        <f t="shared" si="1"/>
        <v>AustriaSport 1+</v>
      </c>
      <c r="D126" s="1">
        <v>964000</v>
      </c>
      <c r="E126" t="s">
        <v>149</v>
      </c>
      <c r="F126" t="s">
        <v>307</v>
      </c>
    </row>
    <row r="127" spans="1:11" hidden="1" x14ac:dyDescent="0.25">
      <c r="A127" s="39" t="s">
        <v>23</v>
      </c>
      <c r="B127" t="s">
        <v>308</v>
      </c>
      <c r="C127" t="str">
        <f t="shared" si="1"/>
        <v>AustriaZDF</v>
      </c>
      <c r="D127" s="1">
        <f>0.892*3605000</f>
        <v>3215660</v>
      </c>
      <c r="E127" t="s">
        <v>142</v>
      </c>
      <c r="F127" t="s">
        <v>309</v>
      </c>
    </row>
    <row r="128" spans="1:11" hidden="1" x14ac:dyDescent="0.25">
      <c r="A128" s="13" t="s">
        <v>26</v>
      </c>
      <c r="B128" t="s">
        <v>310</v>
      </c>
      <c r="C128" t="str">
        <f t="shared" si="1"/>
        <v>AzerbaijanIdman TV</v>
      </c>
      <c r="D128" s="1">
        <v>1543000</v>
      </c>
      <c r="E128" t="s">
        <v>142</v>
      </c>
      <c r="F128" t="s">
        <v>311</v>
      </c>
    </row>
    <row r="129" spans="1:9" hidden="1" x14ac:dyDescent="0.25">
      <c r="A129" s="13" t="s">
        <v>26</v>
      </c>
      <c r="B129" t="s">
        <v>312</v>
      </c>
      <c r="C129" t="str">
        <f t="shared" si="1"/>
        <v>AzerbaijanLig TV 4</v>
      </c>
      <c r="D129" s="1">
        <v>541000</v>
      </c>
      <c r="E129" t="s">
        <v>149</v>
      </c>
      <c r="F129" t="s">
        <v>313</v>
      </c>
      <c r="I129" s="1"/>
    </row>
    <row r="130" spans="1:9" hidden="1" x14ac:dyDescent="0.25">
      <c r="A130" s="13" t="s">
        <v>314</v>
      </c>
      <c r="B130" t="s">
        <v>315</v>
      </c>
      <c r="C130" t="str">
        <f t="shared" ref="C130:C193" si="2">CONCATENATE(A130,B130)</f>
        <v>BahamasZNS</v>
      </c>
      <c r="D130" s="1">
        <v>97379.099999999991</v>
      </c>
      <c r="E130" t="s">
        <v>142</v>
      </c>
      <c r="F130" t="s">
        <v>316</v>
      </c>
      <c r="I130" s="1"/>
    </row>
    <row r="131" spans="1:9" hidden="1" x14ac:dyDescent="0.25">
      <c r="A131" s="13" t="s">
        <v>317</v>
      </c>
      <c r="B131" t="s">
        <v>318</v>
      </c>
      <c r="C131" t="str">
        <f t="shared" si="2"/>
        <v>BangladeshMaasranga TV</v>
      </c>
      <c r="D131" s="1">
        <v>19600000</v>
      </c>
      <c r="E131" t="s">
        <v>142</v>
      </c>
      <c r="F131" t="s">
        <v>319</v>
      </c>
    </row>
    <row r="132" spans="1:9" hidden="1" x14ac:dyDescent="0.25">
      <c r="A132" s="39" t="s">
        <v>320</v>
      </c>
      <c r="B132" t="s">
        <v>321</v>
      </c>
      <c r="C132" t="str">
        <f t="shared" si="2"/>
        <v>BarbadosCBC</v>
      </c>
      <c r="D132" s="1">
        <v>26700</v>
      </c>
      <c r="E132" t="s">
        <v>142</v>
      </c>
      <c r="F132" t="s">
        <v>322</v>
      </c>
    </row>
    <row r="133" spans="1:9" hidden="1" x14ac:dyDescent="0.25">
      <c r="A133" s="13" t="s">
        <v>28</v>
      </c>
      <c r="B133" t="s">
        <v>323</v>
      </c>
      <c r="C133" t="str">
        <f t="shared" si="2"/>
        <v>BelarusBelarus 5</v>
      </c>
      <c r="D133" s="1">
        <v>2652667.6</v>
      </c>
      <c r="E133" t="s">
        <v>142</v>
      </c>
      <c r="F133" t="s">
        <v>324</v>
      </c>
    </row>
    <row r="134" spans="1:9" hidden="1" x14ac:dyDescent="0.25">
      <c r="A134" s="13" t="s">
        <v>28</v>
      </c>
      <c r="B134" t="s">
        <v>325</v>
      </c>
      <c r="C134" t="str">
        <f t="shared" si="2"/>
        <v>BelarusBelarus TV</v>
      </c>
      <c r="D134" s="1">
        <v>2462114.6740000001</v>
      </c>
      <c r="E134" t="s">
        <v>142</v>
      </c>
      <c r="F134" t="s">
        <v>326</v>
      </c>
    </row>
    <row r="135" spans="1:9" hidden="1" x14ac:dyDescent="0.25">
      <c r="A135" s="13" t="s">
        <v>29</v>
      </c>
      <c r="B135" t="s">
        <v>327</v>
      </c>
      <c r="C135" t="str">
        <f t="shared" si="2"/>
        <v>BelgiumBe Sport 1</v>
      </c>
      <c r="D135" s="1">
        <v>872155</v>
      </c>
      <c r="E135" s="51" t="s">
        <v>149</v>
      </c>
      <c r="F135" t="s">
        <v>328</v>
      </c>
    </row>
    <row r="136" spans="1:9" hidden="1" x14ac:dyDescent="0.25">
      <c r="A136" s="13" t="s">
        <v>29</v>
      </c>
      <c r="B136" t="s">
        <v>329</v>
      </c>
      <c r="C136" t="str">
        <f t="shared" si="2"/>
        <v>BelgiumBe Sport 2</v>
      </c>
      <c r="D136" s="1">
        <v>872155</v>
      </c>
      <c r="E136" s="51" t="s">
        <v>149</v>
      </c>
    </row>
    <row r="137" spans="1:9" hidden="1" x14ac:dyDescent="0.25">
      <c r="A137" s="13" t="s">
        <v>29</v>
      </c>
      <c r="B137" t="s">
        <v>330</v>
      </c>
      <c r="C137" t="str">
        <f t="shared" si="2"/>
        <v>BelgiumBeSport 2</v>
      </c>
      <c r="D137" s="1">
        <v>872155</v>
      </c>
      <c r="E137" s="51" t="s">
        <v>149</v>
      </c>
      <c r="F137" t="s">
        <v>331</v>
      </c>
    </row>
    <row r="138" spans="1:9" hidden="1" x14ac:dyDescent="0.25">
      <c r="A138" s="13" t="s">
        <v>29</v>
      </c>
      <c r="B138" s="41" t="s">
        <v>332</v>
      </c>
      <c r="C138" t="str">
        <f t="shared" si="2"/>
        <v>BelgiumCanvas</v>
      </c>
      <c r="D138" s="1">
        <v>4300620</v>
      </c>
      <c r="E138" t="s">
        <v>142</v>
      </c>
      <c r="F138" t="s">
        <v>333</v>
      </c>
    </row>
    <row r="139" spans="1:9" hidden="1" x14ac:dyDescent="0.25">
      <c r="A139" s="13" t="s">
        <v>29</v>
      </c>
      <c r="B139" t="s">
        <v>334</v>
      </c>
      <c r="C139" t="str">
        <f t="shared" si="2"/>
        <v>BelgiumEEN</v>
      </c>
      <c r="D139" s="1">
        <v>4305200</v>
      </c>
      <c r="E139" t="s">
        <v>142</v>
      </c>
      <c r="F139" t="s">
        <v>335</v>
      </c>
    </row>
    <row r="140" spans="1:9" hidden="1" x14ac:dyDescent="0.25">
      <c r="A140" s="203" t="s">
        <v>29</v>
      </c>
      <c r="B140" s="147" t="s">
        <v>268</v>
      </c>
      <c r="C140" s="11" t="str">
        <f t="shared" si="2"/>
        <v>BelgiumEurosport 1</v>
      </c>
      <c r="D140" s="1">
        <v>3319000</v>
      </c>
      <c r="E140" t="s">
        <v>149</v>
      </c>
      <c r="F140" s="11"/>
    </row>
    <row r="141" spans="1:9" ht="15" hidden="1" customHeight="1" x14ac:dyDescent="0.25">
      <c r="A141" s="207" t="s">
        <v>29</v>
      </c>
      <c r="B141" s="11" t="s">
        <v>269</v>
      </c>
      <c r="C141" s="11" t="str">
        <f t="shared" si="2"/>
        <v>BelgiumEurosport 2</v>
      </c>
      <c r="D141" s="22">
        <v>1885000</v>
      </c>
      <c r="E141" t="s">
        <v>149</v>
      </c>
      <c r="F141" s="11"/>
    </row>
    <row r="142" spans="1:9" ht="15" hidden="1" customHeight="1" x14ac:dyDescent="0.25">
      <c r="A142" s="13" t="s">
        <v>29</v>
      </c>
      <c r="B142" s="41" t="s">
        <v>336</v>
      </c>
      <c r="C142" t="str">
        <f t="shared" si="2"/>
        <v>BelgiumKETNET</v>
      </c>
      <c r="D142" s="1">
        <v>4300620</v>
      </c>
      <c r="E142" t="s">
        <v>142</v>
      </c>
      <c r="F142" t="s">
        <v>337</v>
      </c>
    </row>
    <row r="143" spans="1:9" ht="15" hidden="1" customHeight="1" x14ac:dyDescent="0.25">
      <c r="A143" s="13" t="s">
        <v>29</v>
      </c>
      <c r="B143" t="s">
        <v>338</v>
      </c>
      <c r="C143" t="str">
        <f t="shared" si="2"/>
        <v>BelgiumLa Deux</v>
      </c>
      <c r="D143" s="1">
        <v>4158640</v>
      </c>
      <c r="E143" t="s">
        <v>142</v>
      </c>
      <c r="F143" t="s">
        <v>339</v>
      </c>
    </row>
    <row r="144" spans="1:9" ht="15" hidden="1" customHeight="1" x14ac:dyDescent="0.25">
      <c r="A144" s="39" t="s">
        <v>29</v>
      </c>
      <c r="B144" t="s">
        <v>340</v>
      </c>
      <c r="C144" t="str">
        <f t="shared" si="2"/>
        <v>BelgiumLa Une</v>
      </c>
      <c r="D144">
        <v>4244100</v>
      </c>
      <c r="E144" t="s">
        <v>142</v>
      </c>
      <c r="F144" t="s">
        <v>341</v>
      </c>
    </row>
    <row r="145" spans="1:8" ht="15" hidden="1" customHeight="1" x14ac:dyDescent="0.25">
      <c r="A145" s="13" t="s">
        <v>29</v>
      </c>
      <c r="B145" s="41" t="s">
        <v>342</v>
      </c>
      <c r="C145" t="str">
        <f t="shared" si="2"/>
        <v>BelgiumLa2</v>
      </c>
      <c r="D145" s="1">
        <v>4158640</v>
      </c>
      <c r="E145" t="s">
        <v>142</v>
      </c>
      <c r="F145" t="s">
        <v>339</v>
      </c>
    </row>
    <row r="146" spans="1:8" ht="15" hidden="1" customHeight="1" x14ac:dyDescent="0.25">
      <c r="A146" s="13" t="s">
        <v>29</v>
      </c>
      <c r="B146" t="s">
        <v>343</v>
      </c>
      <c r="C146" t="str">
        <f t="shared" si="2"/>
        <v>BelgiumMa Chaine Sport</v>
      </c>
      <c r="D146" s="1">
        <v>969000</v>
      </c>
      <c r="E146" s="51" t="s">
        <v>149</v>
      </c>
      <c r="F146" t="s">
        <v>331</v>
      </c>
    </row>
    <row r="147" spans="1:8" ht="15" hidden="1" customHeight="1" x14ac:dyDescent="0.25">
      <c r="A147" s="39" t="s">
        <v>29</v>
      </c>
      <c r="B147" t="s">
        <v>344</v>
      </c>
      <c r="C147" t="str">
        <f t="shared" si="2"/>
        <v>BelgiumMa Chaine Sport Tennis</v>
      </c>
      <c r="D147" s="1">
        <v>969000</v>
      </c>
      <c r="E147" s="51" t="s">
        <v>149</v>
      </c>
      <c r="F147" t="s">
        <v>331</v>
      </c>
    </row>
    <row r="148" spans="1:8" ht="15" hidden="1" customHeight="1" x14ac:dyDescent="0.25">
      <c r="A148" s="13" t="s">
        <v>29</v>
      </c>
      <c r="B148" t="s">
        <v>345</v>
      </c>
      <c r="C148" t="str">
        <f t="shared" si="2"/>
        <v>BelgiumPlay Sport 1 HD</v>
      </c>
      <c r="D148" s="1">
        <v>1886440</v>
      </c>
      <c r="E148" t="s">
        <v>149</v>
      </c>
    </row>
    <row r="149" spans="1:8" ht="15" hidden="1" customHeight="1" x14ac:dyDescent="0.25">
      <c r="A149" s="13" t="s">
        <v>29</v>
      </c>
      <c r="B149" t="s">
        <v>346</v>
      </c>
      <c r="C149" t="str">
        <f t="shared" si="2"/>
        <v xml:space="preserve">BelgiumPlay Sport 1 HD </v>
      </c>
      <c r="D149" s="1">
        <v>1886440</v>
      </c>
      <c r="E149" t="s">
        <v>149</v>
      </c>
      <c r="F149" t="s">
        <v>347</v>
      </c>
    </row>
    <row r="150" spans="1:8" ht="15" hidden="1" customHeight="1" x14ac:dyDescent="0.25">
      <c r="A150" s="39" t="s">
        <v>29</v>
      </c>
      <c r="B150" t="s">
        <v>348</v>
      </c>
      <c r="C150" t="str">
        <f t="shared" si="2"/>
        <v>BelgiumPlay Sport 2 HD</v>
      </c>
      <c r="D150" s="1">
        <v>1886440</v>
      </c>
      <c r="E150" t="s">
        <v>149</v>
      </c>
      <c r="F150" t="s">
        <v>347</v>
      </c>
    </row>
    <row r="151" spans="1:8" ht="15" hidden="1" customHeight="1" x14ac:dyDescent="0.25">
      <c r="A151" s="39" t="s">
        <v>29</v>
      </c>
      <c r="B151" t="s">
        <v>349</v>
      </c>
      <c r="C151" t="str">
        <f t="shared" si="2"/>
        <v>BelgiumPlay Sport 3 HD</v>
      </c>
      <c r="D151" s="1">
        <v>1886440</v>
      </c>
      <c r="E151" t="s">
        <v>149</v>
      </c>
      <c r="F151" t="s">
        <v>347</v>
      </c>
    </row>
    <row r="152" spans="1:8" ht="15" hidden="1" customHeight="1" x14ac:dyDescent="0.25">
      <c r="A152" s="13" t="s">
        <v>29</v>
      </c>
      <c r="B152" t="s">
        <v>350</v>
      </c>
      <c r="C152" t="str">
        <f t="shared" si="2"/>
        <v>BelgiumPlay Sport 4 HD</v>
      </c>
      <c r="D152" s="1">
        <v>1886440</v>
      </c>
      <c r="E152" t="s">
        <v>149</v>
      </c>
      <c r="F152" t="s">
        <v>347</v>
      </c>
    </row>
    <row r="153" spans="1:8" ht="15" hidden="1" customHeight="1" x14ac:dyDescent="0.25">
      <c r="A153" s="39" t="s">
        <v>29</v>
      </c>
      <c r="B153" t="s">
        <v>351</v>
      </c>
      <c r="C153" t="str">
        <f t="shared" si="2"/>
        <v>BelgiumPlay Sport 5 HD</v>
      </c>
      <c r="D153" s="1">
        <v>1886440</v>
      </c>
      <c r="E153" t="s">
        <v>149</v>
      </c>
      <c r="F153" t="s">
        <v>347</v>
      </c>
    </row>
    <row r="154" spans="1:8" ht="15" hidden="1" customHeight="1" x14ac:dyDescent="0.25">
      <c r="A154" s="13" t="s">
        <v>29</v>
      </c>
      <c r="B154" t="s">
        <v>352</v>
      </c>
      <c r="C154" t="str">
        <f t="shared" si="2"/>
        <v>BelgiumPlay Sport 6 HD</v>
      </c>
      <c r="D154" s="1">
        <v>1886440</v>
      </c>
      <c r="E154" t="s">
        <v>149</v>
      </c>
      <c r="F154" t="s">
        <v>347</v>
      </c>
    </row>
    <row r="155" spans="1:8" ht="15" hidden="1" customHeight="1" x14ac:dyDescent="0.25">
      <c r="A155" s="13" t="s">
        <v>29</v>
      </c>
      <c r="B155" t="s">
        <v>353</v>
      </c>
      <c r="C155" t="str">
        <f t="shared" si="2"/>
        <v>BelgiumPlay Sport 7 HD</v>
      </c>
      <c r="D155" s="1">
        <v>1886440</v>
      </c>
      <c r="E155" t="s">
        <v>149</v>
      </c>
      <c r="F155" t="s">
        <v>347</v>
      </c>
    </row>
    <row r="156" spans="1:8" ht="15" hidden="1" customHeight="1" x14ac:dyDescent="0.25">
      <c r="A156" s="39" t="s">
        <v>29</v>
      </c>
      <c r="B156" t="s">
        <v>354</v>
      </c>
      <c r="C156" t="str">
        <f t="shared" si="2"/>
        <v>BelgiumPlay Sport 8 HD</v>
      </c>
      <c r="D156" s="1">
        <v>1886440</v>
      </c>
      <c r="E156" t="s">
        <v>149</v>
      </c>
      <c r="F156" t="s">
        <v>347</v>
      </c>
    </row>
    <row r="157" spans="1:8" ht="15" hidden="1" customHeight="1" x14ac:dyDescent="0.25">
      <c r="A157" s="13" t="s">
        <v>29</v>
      </c>
      <c r="B157" s="7" t="s">
        <v>355</v>
      </c>
      <c r="C157" t="str">
        <f t="shared" si="2"/>
        <v>BelgiumPlay Sport Golf</v>
      </c>
      <c r="D157" s="1">
        <v>1886440</v>
      </c>
      <c r="E157" t="s">
        <v>149</v>
      </c>
      <c r="F157" t="s">
        <v>347</v>
      </c>
    </row>
    <row r="158" spans="1:8" ht="15" hidden="1" customHeight="1" x14ac:dyDescent="0.25">
      <c r="A158" s="39" t="s">
        <v>29</v>
      </c>
      <c r="B158" t="s">
        <v>356</v>
      </c>
      <c r="C158" t="str">
        <f t="shared" si="2"/>
        <v>BelgiumPlay Sports 1</v>
      </c>
      <c r="D158" s="1">
        <v>1886440</v>
      </c>
      <c r="E158" t="s">
        <v>149</v>
      </c>
    </row>
    <row r="159" spans="1:8" ht="15" hidden="1" customHeight="1" x14ac:dyDescent="0.25">
      <c r="A159" s="13" t="s">
        <v>29</v>
      </c>
      <c r="B159" t="s">
        <v>357</v>
      </c>
      <c r="C159" t="str">
        <f t="shared" si="2"/>
        <v>BelgiumPlay Sports 1 HD</v>
      </c>
      <c r="D159" s="1">
        <v>1886440</v>
      </c>
      <c r="E159" t="s">
        <v>149</v>
      </c>
      <c r="F159" t="s">
        <v>347</v>
      </c>
    </row>
    <row r="160" spans="1:8" ht="15" hidden="1" customHeight="1" x14ac:dyDescent="0.25">
      <c r="A160" s="13" t="s">
        <v>29</v>
      </c>
      <c r="B160" t="s">
        <v>358</v>
      </c>
      <c r="C160" t="str">
        <f t="shared" si="2"/>
        <v xml:space="preserve">BelgiumPlay Sports 1 HD </v>
      </c>
      <c r="D160" s="1">
        <v>1886440</v>
      </c>
      <c r="E160" t="s">
        <v>149</v>
      </c>
      <c r="F160" t="s">
        <v>347</v>
      </c>
      <c r="H160">
        <f>20740000*0.264</f>
        <v>5475360</v>
      </c>
    </row>
    <row r="161" spans="1:6" ht="15" hidden="1" customHeight="1" x14ac:dyDescent="0.25">
      <c r="A161" s="13" t="s">
        <v>29</v>
      </c>
      <c r="B161" t="s">
        <v>359</v>
      </c>
      <c r="C161" t="str">
        <f t="shared" si="2"/>
        <v>BelgiumPlay Sports 2</v>
      </c>
      <c r="D161" s="1">
        <v>1886440</v>
      </c>
      <c r="E161" t="s">
        <v>149</v>
      </c>
    </row>
    <row r="162" spans="1:6" ht="15" hidden="1" customHeight="1" x14ac:dyDescent="0.25">
      <c r="A162" s="13" t="s">
        <v>29</v>
      </c>
      <c r="B162" t="s">
        <v>360</v>
      </c>
      <c r="C162" t="str">
        <f t="shared" si="2"/>
        <v>BelgiumPlay Sports 2 HD</v>
      </c>
      <c r="D162" s="1">
        <v>1886440</v>
      </c>
      <c r="E162" t="s">
        <v>149</v>
      </c>
      <c r="F162" t="s">
        <v>347</v>
      </c>
    </row>
    <row r="163" spans="1:6" ht="15" hidden="1" customHeight="1" x14ac:dyDescent="0.25">
      <c r="A163" s="13" t="s">
        <v>29</v>
      </c>
      <c r="B163" t="s">
        <v>361</v>
      </c>
      <c r="C163" t="str">
        <f t="shared" si="2"/>
        <v>BelgiumPlay Sports 3</v>
      </c>
      <c r="D163" s="1">
        <v>1886440</v>
      </c>
      <c r="E163" t="s">
        <v>149</v>
      </c>
    </row>
    <row r="164" spans="1:6" ht="15" hidden="1" customHeight="1" x14ac:dyDescent="0.25">
      <c r="A164" t="s">
        <v>29</v>
      </c>
      <c r="B164" t="s">
        <v>362</v>
      </c>
      <c r="C164" t="str">
        <f t="shared" si="2"/>
        <v>BelgiumPlay Sports 3 HD</v>
      </c>
      <c r="D164" s="1">
        <v>1886440</v>
      </c>
      <c r="E164" t="s">
        <v>149</v>
      </c>
      <c r="F164" t="s">
        <v>347</v>
      </c>
    </row>
    <row r="165" spans="1:6" ht="15" hidden="1" customHeight="1" x14ac:dyDescent="0.25">
      <c r="A165" s="13" t="s">
        <v>29</v>
      </c>
      <c r="B165" t="s">
        <v>363</v>
      </c>
      <c r="C165" t="str">
        <f t="shared" si="2"/>
        <v>BelgiumPlay Sports 4 HD</v>
      </c>
      <c r="D165" s="1">
        <v>1886440</v>
      </c>
      <c r="E165" t="s">
        <v>149</v>
      </c>
      <c r="F165" t="s">
        <v>347</v>
      </c>
    </row>
    <row r="166" spans="1:6" ht="15" hidden="1" customHeight="1" x14ac:dyDescent="0.25">
      <c r="A166" s="13" t="s">
        <v>29</v>
      </c>
      <c r="B166" t="s">
        <v>364</v>
      </c>
      <c r="C166" t="str">
        <f t="shared" si="2"/>
        <v>BelgiumPlay Sports 5 HD</v>
      </c>
      <c r="D166">
        <v>1886440</v>
      </c>
      <c r="E166" t="s">
        <v>149</v>
      </c>
      <c r="F166" t="s">
        <v>347</v>
      </c>
    </row>
    <row r="167" spans="1:6" ht="15" hidden="1" customHeight="1" x14ac:dyDescent="0.25">
      <c r="A167" s="113" t="s">
        <v>29</v>
      </c>
      <c r="B167" t="s">
        <v>365</v>
      </c>
      <c r="C167" t="str">
        <f t="shared" si="2"/>
        <v xml:space="preserve">BelgiumPlay Sports 5 HD </v>
      </c>
      <c r="D167" s="1">
        <v>1886440</v>
      </c>
      <c r="E167" t="s">
        <v>149</v>
      </c>
      <c r="F167" t="s">
        <v>347</v>
      </c>
    </row>
    <row r="168" spans="1:6" ht="15" hidden="1" customHeight="1" x14ac:dyDescent="0.25">
      <c r="A168" s="13" t="s">
        <v>29</v>
      </c>
      <c r="B168" t="s">
        <v>366</v>
      </c>
      <c r="C168" t="str">
        <f t="shared" si="2"/>
        <v>BelgiumPlay Sports 6 HD</v>
      </c>
      <c r="D168" s="1">
        <v>1886440</v>
      </c>
      <c r="E168" t="s">
        <v>149</v>
      </c>
      <c r="F168" t="s">
        <v>347</v>
      </c>
    </row>
    <row r="169" spans="1:6" ht="15" hidden="1" customHeight="1" x14ac:dyDescent="0.25">
      <c r="A169" s="13" t="s">
        <v>29</v>
      </c>
      <c r="B169" t="s">
        <v>367</v>
      </c>
      <c r="C169" t="str">
        <f t="shared" si="2"/>
        <v>BelgiumPlay Sports 7</v>
      </c>
      <c r="D169" s="1">
        <v>1886440</v>
      </c>
      <c r="E169" t="s">
        <v>149</v>
      </c>
    </row>
    <row r="170" spans="1:6" ht="15" hidden="1" customHeight="1" x14ac:dyDescent="0.25">
      <c r="A170" s="113" t="s">
        <v>29</v>
      </c>
      <c r="B170" t="s">
        <v>368</v>
      </c>
      <c r="C170" t="str">
        <f t="shared" si="2"/>
        <v>BelgiumPlay Sports 7 HD</v>
      </c>
      <c r="D170" s="1">
        <v>1886440</v>
      </c>
      <c r="E170" t="s">
        <v>149</v>
      </c>
      <c r="F170" t="s">
        <v>347</v>
      </c>
    </row>
    <row r="171" spans="1:6" ht="15" hidden="1" customHeight="1" x14ac:dyDescent="0.25">
      <c r="A171" s="39" t="s">
        <v>29</v>
      </c>
      <c r="B171" t="s">
        <v>369</v>
      </c>
      <c r="C171" t="str">
        <f t="shared" si="2"/>
        <v>BelgiumPlay Sports 8 HD</v>
      </c>
      <c r="D171" s="1">
        <v>1886440</v>
      </c>
      <c r="E171" t="s">
        <v>149</v>
      </c>
    </row>
    <row r="172" spans="1:6" ht="15" hidden="1" customHeight="1" x14ac:dyDescent="0.25">
      <c r="A172" s="39" t="s">
        <v>29</v>
      </c>
      <c r="B172" t="s">
        <v>370</v>
      </c>
      <c r="C172" t="str">
        <f t="shared" si="2"/>
        <v>BelgiumPlay Sports Eleven</v>
      </c>
      <c r="D172" s="1">
        <v>1886440</v>
      </c>
      <c r="E172" t="s">
        <v>149</v>
      </c>
      <c r="F172" t="s">
        <v>347</v>
      </c>
    </row>
    <row r="173" spans="1:6" ht="15" hidden="1" customHeight="1" x14ac:dyDescent="0.25">
      <c r="A173" s="13" t="s">
        <v>29</v>
      </c>
      <c r="B173" t="s">
        <v>371</v>
      </c>
      <c r="C173" t="str">
        <f t="shared" si="2"/>
        <v>BelgiumPlay Sports Golf</v>
      </c>
      <c r="D173" s="1">
        <v>1886440</v>
      </c>
      <c r="E173" t="s">
        <v>149</v>
      </c>
      <c r="F173" t="s">
        <v>347</v>
      </c>
    </row>
    <row r="174" spans="1:6" ht="15" hidden="1" customHeight="1" x14ac:dyDescent="0.25">
      <c r="A174" s="13" t="s">
        <v>29</v>
      </c>
      <c r="B174" t="s">
        <v>372</v>
      </c>
      <c r="C174" t="str">
        <f t="shared" si="2"/>
        <v>BelgiumPlay Sports HD 1</v>
      </c>
      <c r="D174" s="1">
        <v>1886440</v>
      </c>
      <c r="E174" t="s">
        <v>149</v>
      </c>
      <c r="F174" t="s">
        <v>347</v>
      </c>
    </row>
    <row r="175" spans="1:6" ht="15" hidden="1" customHeight="1" x14ac:dyDescent="0.25">
      <c r="A175" s="13" t="s">
        <v>29</v>
      </c>
      <c r="B175" t="s">
        <v>373</v>
      </c>
      <c r="C175" t="str">
        <f t="shared" si="2"/>
        <v>BelgiumPlay Sports HD 2</v>
      </c>
      <c r="D175" s="1">
        <v>1886440</v>
      </c>
      <c r="E175" t="s">
        <v>149</v>
      </c>
      <c r="F175" t="s">
        <v>347</v>
      </c>
    </row>
    <row r="176" spans="1:6" ht="15" hidden="1" customHeight="1" x14ac:dyDescent="0.25">
      <c r="A176" s="13" t="s">
        <v>29</v>
      </c>
      <c r="B176" t="s">
        <v>374</v>
      </c>
      <c r="C176" t="str">
        <f t="shared" si="2"/>
        <v>BelgiumPlay Sports HD 3</v>
      </c>
      <c r="D176" s="1">
        <v>1886440</v>
      </c>
      <c r="E176" t="s">
        <v>149</v>
      </c>
      <c r="F176" t="s">
        <v>347</v>
      </c>
    </row>
    <row r="177" spans="1:10" ht="15" hidden="1" customHeight="1" x14ac:dyDescent="0.25">
      <c r="A177" s="13" t="s">
        <v>29</v>
      </c>
      <c r="B177" t="s">
        <v>375</v>
      </c>
      <c r="C177" t="str">
        <f t="shared" si="2"/>
        <v>BelgiumPlay Sports HD 4</v>
      </c>
      <c r="D177" s="1">
        <v>1886440</v>
      </c>
      <c r="E177" t="s">
        <v>149</v>
      </c>
      <c r="F177" t="s">
        <v>347</v>
      </c>
    </row>
    <row r="178" spans="1:10" ht="15" hidden="1" customHeight="1" x14ac:dyDescent="0.25">
      <c r="A178" s="13" t="s">
        <v>29</v>
      </c>
      <c r="B178" t="s">
        <v>376</v>
      </c>
      <c r="C178" t="str">
        <f t="shared" si="2"/>
        <v>BelgiumPlay Sports HD 5</v>
      </c>
      <c r="D178" s="1">
        <v>1886440</v>
      </c>
      <c r="E178" t="s">
        <v>149</v>
      </c>
      <c r="F178" t="s">
        <v>347</v>
      </c>
    </row>
    <row r="179" spans="1:10" ht="15" hidden="1" customHeight="1" x14ac:dyDescent="0.25">
      <c r="A179" s="13" t="s">
        <v>29</v>
      </c>
      <c r="B179" t="s">
        <v>377</v>
      </c>
      <c r="C179" t="str">
        <f t="shared" si="2"/>
        <v>BelgiumPlay Sports Open</v>
      </c>
      <c r="D179" s="1">
        <v>1886440</v>
      </c>
      <c r="E179" t="s">
        <v>149</v>
      </c>
    </row>
    <row r="180" spans="1:10" ht="15" hidden="1" customHeight="1" x14ac:dyDescent="0.25">
      <c r="A180" s="13" t="s">
        <v>29</v>
      </c>
      <c r="B180" t="s">
        <v>378</v>
      </c>
      <c r="C180" t="str">
        <f t="shared" si="2"/>
        <v>BelgiumPlaySports Golf</v>
      </c>
      <c r="D180" s="1">
        <v>1886440</v>
      </c>
      <c r="E180" t="s">
        <v>149</v>
      </c>
      <c r="F180" t="s">
        <v>347</v>
      </c>
    </row>
    <row r="181" spans="1:10" ht="15" hidden="1" customHeight="1" x14ac:dyDescent="0.25">
      <c r="A181" s="13" t="s">
        <v>29</v>
      </c>
      <c r="B181" t="s">
        <v>379</v>
      </c>
      <c r="C181" t="str">
        <f t="shared" si="2"/>
        <v>BelgiumRTBF</v>
      </c>
      <c r="D181" s="1">
        <v>4158640</v>
      </c>
      <c r="E181" t="s">
        <v>142</v>
      </c>
      <c r="F181" t="s">
        <v>339</v>
      </c>
    </row>
    <row r="182" spans="1:10" ht="15" hidden="1" customHeight="1" x14ac:dyDescent="0.25">
      <c r="A182" s="13" t="s">
        <v>29</v>
      </c>
      <c r="B182" t="s">
        <v>380</v>
      </c>
      <c r="C182" t="str">
        <f t="shared" si="2"/>
        <v>BelgiumTF1</v>
      </c>
      <c r="D182" s="1">
        <v>4012080</v>
      </c>
      <c r="E182" t="s">
        <v>142</v>
      </c>
      <c r="F182" t="s">
        <v>381</v>
      </c>
    </row>
    <row r="183" spans="1:10" ht="15" hidden="1" customHeight="1" x14ac:dyDescent="0.25">
      <c r="A183" s="208" t="s">
        <v>29</v>
      </c>
      <c r="B183" s="166" t="s">
        <v>382</v>
      </c>
      <c r="C183" s="162" t="str">
        <f t="shared" si="2"/>
        <v>BelgiumTipik</v>
      </c>
      <c r="D183" s="1">
        <v>4158640</v>
      </c>
      <c r="E183" t="s">
        <v>142</v>
      </c>
      <c r="F183" s="162"/>
    </row>
    <row r="184" spans="1:10" ht="15" hidden="1" customHeight="1" x14ac:dyDescent="0.25">
      <c r="A184" s="13" t="s">
        <v>29</v>
      </c>
      <c r="B184" t="s">
        <v>383</v>
      </c>
      <c r="C184" t="str">
        <f t="shared" si="2"/>
        <v>BelgiumVoo Sport World 1</v>
      </c>
      <c r="D184" s="1">
        <v>872155</v>
      </c>
      <c r="E184" s="51" t="s">
        <v>149</v>
      </c>
      <c r="F184" t="s">
        <v>331</v>
      </c>
      <c r="I184" s="1"/>
    </row>
    <row r="185" spans="1:10" ht="15" hidden="1" customHeight="1" x14ac:dyDescent="0.25">
      <c r="A185" s="13" t="s">
        <v>29</v>
      </c>
      <c r="B185" t="s">
        <v>384</v>
      </c>
      <c r="C185" t="str">
        <f t="shared" si="2"/>
        <v>BelgiumVoo Sport World 2</v>
      </c>
      <c r="D185" s="1">
        <v>872155</v>
      </c>
      <c r="E185" s="51" t="s">
        <v>149</v>
      </c>
    </row>
    <row r="186" spans="1:10" ht="15" hidden="1" customHeight="1" x14ac:dyDescent="0.25">
      <c r="A186" s="13" t="s">
        <v>29</v>
      </c>
      <c r="B186" t="s">
        <v>385</v>
      </c>
      <c r="C186" t="str">
        <f t="shared" si="2"/>
        <v>BelgiumVoo Sport World 3</v>
      </c>
      <c r="D186" s="1">
        <v>872155</v>
      </c>
      <c r="E186" s="51" t="s">
        <v>149</v>
      </c>
      <c r="F186" t="s">
        <v>331</v>
      </c>
    </row>
    <row r="187" spans="1:10" ht="15" hidden="1" customHeight="1" x14ac:dyDescent="0.25">
      <c r="A187" t="s">
        <v>29</v>
      </c>
      <c r="B187" t="s">
        <v>386</v>
      </c>
      <c r="C187" t="str">
        <f t="shared" si="2"/>
        <v>BelgiumVoo Sports World 1</v>
      </c>
      <c r="D187" s="1">
        <v>872155</v>
      </c>
      <c r="E187" s="51" t="s">
        <v>149</v>
      </c>
      <c r="F187" t="s">
        <v>331</v>
      </c>
      <c r="J187" s="1"/>
    </row>
    <row r="188" spans="1:10" ht="15" hidden="1" customHeight="1" x14ac:dyDescent="0.25">
      <c r="A188" t="s">
        <v>29</v>
      </c>
      <c r="B188" t="s">
        <v>387</v>
      </c>
      <c r="C188" t="str">
        <f t="shared" si="2"/>
        <v>BelgiumVooSport World 1</v>
      </c>
      <c r="D188" s="1">
        <v>872155</v>
      </c>
      <c r="E188" s="51" t="s">
        <v>149</v>
      </c>
      <c r="F188" t="s">
        <v>331</v>
      </c>
      <c r="J188" s="1"/>
    </row>
    <row r="189" spans="1:10" ht="15" hidden="1" customHeight="1" x14ac:dyDescent="0.25">
      <c r="A189" t="s">
        <v>29</v>
      </c>
      <c r="B189" t="s">
        <v>388</v>
      </c>
      <c r="C189" t="str">
        <f t="shared" si="2"/>
        <v>BelgiumVooSport World 2</v>
      </c>
      <c r="D189" s="1">
        <v>872155</v>
      </c>
      <c r="E189" s="51" t="s">
        <v>149</v>
      </c>
      <c r="F189" t="s">
        <v>331</v>
      </c>
      <c r="J189" s="1"/>
    </row>
    <row r="190" spans="1:10" ht="15" hidden="1" customHeight="1" x14ac:dyDescent="0.25">
      <c r="A190" s="39" t="s">
        <v>29</v>
      </c>
      <c r="B190" t="s">
        <v>389</v>
      </c>
      <c r="C190" t="str">
        <f t="shared" si="2"/>
        <v>BelgiumVooSport World 3</v>
      </c>
      <c r="D190" s="1">
        <v>872155</v>
      </c>
      <c r="E190" s="51" t="s">
        <v>149</v>
      </c>
    </row>
    <row r="191" spans="1:10" ht="15" hidden="1" customHeight="1" x14ac:dyDescent="0.25">
      <c r="A191" s="39" t="s">
        <v>390</v>
      </c>
      <c r="B191" t="s">
        <v>391</v>
      </c>
      <c r="C191" t="str">
        <f t="shared" si="2"/>
        <v>BhutanBBT</v>
      </c>
      <c r="D191" s="1">
        <v>64620</v>
      </c>
      <c r="E191" t="s">
        <v>142</v>
      </c>
      <c r="F191" t="s">
        <v>322</v>
      </c>
    </row>
    <row r="192" spans="1:10" ht="15" hidden="1" customHeight="1" x14ac:dyDescent="0.25">
      <c r="A192" s="39" t="s">
        <v>30</v>
      </c>
      <c r="B192" t="s">
        <v>392</v>
      </c>
      <c r="C192" t="str">
        <f t="shared" si="2"/>
        <v>Bosnia &amp; HerzegovinaATV</v>
      </c>
      <c r="D192" s="1">
        <v>741704</v>
      </c>
      <c r="E192" t="s">
        <v>149</v>
      </c>
      <c r="F192" t="s">
        <v>393</v>
      </c>
    </row>
    <row r="193" spans="1:10" ht="15" hidden="1" customHeight="1" x14ac:dyDescent="0.25">
      <c r="A193" s="203" t="s">
        <v>30</v>
      </c>
      <c r="B193" s="147" t="s">
        <v>268</v>
      </c>
      <c r="C193" s="11" t="str">
        <f t="shared" si="2"/>
        <v>Bosnia &amp; HerzegovinaEurosport 1</v>
      </c>
      <c r="D193" s="1">
        <v>610000</v>
      </c>
      <c r="E193" t="s">
        <v>149</v>
      </c>
      <c r="F193" s="11"/>
    </row>
    <row r="194" spans="1:10" ht="15" hidden="1" customHeight="1" x14ac:dyDescent="0.25">
      <c r="A194" s="39" t="s">
        <v>30</v>
      </c>
      <c r="B194" t="s">
        <v>269</v>
      </c>
      <c r="C194" t="str">
        <f t="shared" ref="C194:C257" si="3">CONCATENATE(A194,B194)</f>
        <v>Bosnia &amp; HerzegovinaEurosport 2</v>
      </c>
      <c r="D194" s="1">
        <v>574000</v>
      </c>
      <c r="E194" t="s">
        <v>149</v>
      </c>
    </row>
    <row r="195" spans="1:10" ht="15" hidden="1" customHeight="1" x14ac:dyDescent="0.25">
      <c r="A195" s="113" t="s">
        <v>30</v>
      </c>
      <c r="B195" t="s">
        <v>394</v>
      </c>
      <c r="C195" t="str">
        <f t="shared" si="3"/>
        <v>Bosnia &amp; HerzegovinaRTRS</v>
      </c>
      <c r="D195" s="1">
        <f>1069396*0.847</f>
        <v>905778.41200000001</v>
      </c>
      <c r="E195" t="s">
        <v>142</v>
      </c>
      <c r="F195" t="s">
        <v>395</v>
      </c>
    </row>
    <row r="196" spans="1:10" ht="15" hidden="1" customHeight="1" x14ac:dyDescent="0.25">
      <c r="A196" s="39" t="s">
        <v>30</v>
      </c>
      <c r="B196" t="s">
        <v>396</v>
      </c>
      <c r="C196" t="str">
        <f t="shared" si="3"/>
        <v>Bosnia &amp; HerzegovinaSport Klub 1</v>
      </c>
      <c r="D196" s="1">
        <v>150000</v>
      </c>
      <c r="E196" t="s">
        <v>149</v>
      </c>
      <c r="F196" t="s">
        <v>393</v>
      </c>
    </row>
    <row r="197" spans="1:10" ht="15" hidden="1" customHeight="1" x14ac:dyDescent="0.25">
      <c r="A197" s="201" t="s">
        <v>30</v>
      </c>
      <c r="B197" s="175" t="s">
        <v>397</v>
      </c>
      <c r="C197" s="175" t="str">
        <f t="shared" si="3"/>
        <v>Bosnia &amp; HerzegovinaSport Klub 10</v>
      </c>
      <c r="D197" s="1">
        <v>150000</v>
      </c>
      <c r="E197" t="s">
        <v>149</v>
      </c>
      <c r="F197" s="175"/>
    </row>
    <row r="198" spans="1:10" ht="15" hidden="1" customHeight="1" x14ac:dyDescent="0.25">
      <c r="A198" s="13" t="s">
        <v>30</v>
      </c>
      <c r="B198" t="s">
        <v>398</v>
      </c>
      <c r="C198" t="str">
        <f t="shared" si="3"/>
        <v>Bosnia &amp; HerzegovinaSport Klub 2</v>
      </c>
      <c r="D198" s="1">
        <v>150000</v>
      </c>
      <c r="E198" t="s">
        <v>149</v>
      </c>
      <c r="F198" t="s">
        <v>393</v>
      </c>
    </row>
    <row r="199" spans="1:10" ht="15" hidden="1" customHeight="1" x14ac:dyDescent="0.25">
      <c r="A199" s="13" t="s">
        <v>30</v>
      </c>
      <c r="B199" t="s">
        <v>399</v>
      </c>
      <c r="C199" t="str">
        <f t="shared" si="3"/>
        <v>Bosnia &amp; HerzegovinaSport Klub 3</v>
      </c>
      <c r="D199" s="1">
        <v>150000</v>
      </c>
      <c r="E199" t="s">
        <v>149</v>
      </c>
      <c r="F199" t="s">
        <v>393</v>
      </c>
    </row>
    <row r="200" spans="1:10" ht="15" hidden="1" customHeight="1" x14ac:dyDescent="0.25">
      <c r="A200" s="13" t="s">
        <v>30</v>
      </c>
      <c r="B200" t="s">
        <v>400</v>
      </c>
      <c r="C200" t="str">
        <f t="shared" si="3"/>
        <v>Bosnia &amp; HerzegovinaSport Klub 4</v>
      </c>
      <c r="D200" s="1">
        <v>150000</v>
      </c>
      <c r="E200" t="s">
        <v>149</v>
      </c>
      <c r="F200" t="s">
        <v>393</v>
      </c>
    </row>
    <row r="201" spans="1:10" ht="15" hidden="1" customHeight="1" x14ac:dyDescent="0.25">
      <c r="A201" s="13" t="s">
        <v>30</v>
      </c>
      <c r="B201" t="s">
        <v>401</v>
      </c>
      <c r="C201" t="str">
        <f t="shared" si="3"/>
        <v>Bosnia &amp; HerzegovinaSport Klub 5</v>
      </c>
      <c r="D201" s="1">
        <v>150000</v>
      </c>
      <c r="E201" t="s">
        <v>149</v>
      </c>
      <c r="F201" t="s">
        <v>393</v>
      </c>
    </row>
    <row r="202" spans="1:10" ht="15" hidden="1" customHeight="1" x14ac:dyDescent="0.25">
      <c r="A202" s="13" t="s">
        <v>30</v>
      </c>
      <c r="B202" t="s">
        <v>402</v>
      </c>
      <c r="C202" t="str">
        <f t="shared" si="3"/>
        <v>Bosnia &amp; HerzegovinaSport Klub 6</v>
      </c>
      <c r="D202" s="1">
        <v>150000</v>
      </c>
      <c r="E202" t="s">
        <v>149</v>
      </c>
      <c r="J202" s="1"/>
    </row>
    <row r="203" spans="1:10" ht="15" hidden="1" customHeight="1" x14ac:dyDescent="0.25">
      <c r="A203" s="209" t="s">
        <v>30</v>
      </c>
      <c r="B203" s="155" t="s">
        <v>403</v>
      </c>
      <c r="C203" s="155" t="str">
        <f t="shared" si="3"/>
        <v>Bosnia &amp; HerzegovinaSport Klub 7</v>
      </c>
      <c r="D203" s="1">
        <v>150000</v>
      </c>
      <c r="E203" t="s">
        <v>149</v>
      </c>
      <c r="F203" s="155"/>
      <c r="J203" s="1"/>
    </row>
    <row r="204" spans="1:10" ht="15" hidden="1" customHeight="1" x14ac:dyDescent="0.25">
      <c r="A204" s="209" t="s">
        <v>30</v>
      </c>
      <c r="B204" s="155" t="s">
        <v>404</v>
      </c>
      <c r="C204" s="155" t="str">
        <f t="shared" si="3"/>
        <v>Bosnia &amp; HerzegovinaSport Klub 8</v>
      </c>
      <c r="D204" s="1">
        <v>150000</v>
      </c>
      <c r="E204" t="s">
        <v>149</v>
      </c>
      <c r="F204" s="155"/>
    </row>
    <row r="205" spans="1:10" ht="15" hidden="1" customHeight="1" x14ac:dyDescent="0.25">
      <c r="A205" s="209" t="s">
        <v>30</v>
      </c>
      <c r="B205" s="155" t="s">
        <v>405</v>
      </c>
      <c r="C205" s="155" t="str">
        <f t="shared" si="3"/>
        <v>Bosnia &amp; HerzegovinaSport Klub 9</v>
      </c>
      <c r="D205" s="1">
        <v>150000</v>
      </c>
      <c r="E205" t="s">
        <v>149</v>
      </c>
      <c r="F205" s="155"/>
    </row>
    <row r="206" spans="1:10" ht="15" hidden="1" customHeight="1" x14ac:dyDescent="0.25">
      <c r="A206" s="13" t="s">
        <v>30</v>
      </c>
      <c r="B206" t="s">
        <v>406</v>
      </c>
      <c r="C206" t="str">
        <f t="shared" si="3"/>
        <v>Bosnia &amp; HerzegovinaSport Klub Golf</v>
      </c>
      <c r="D206" s="1">
        <v>150000</v>
      </c>
      <c r="E206" t="s">
        <v>149</v>
      </c>
      <c r="F206" t="s">
        <v>393</v>
      </c>
    </row>
    <row r="207" spans="1:10" ht="15" hidden="1" customHeight="1" x14ac:dyDescent="0.25">
      <c r="A207" s="13" t="s">
        <v>30</v>
      </c>
      <c r="B207" t="s">
        <v>407</v>
      </c>
      <c r="C207" t="str">
        <f t="shared" si="3"/>
        <v>Bosnia &amp; HerzegovinaSport Klub HD</v>
      </c>
      <c r="D207" s="1">
        <v>150000</v>
      </c>
      <c r="E207" t="s">
        <v>149</v>
      </c>
      <c r="F207" t="s">
        <v>393</v>
      </c>
    </row>
    <row r="208" spans="1:10" ht="15" hidden="1" customHeight="1" x14ac:dyDescent="0.25">
      <c r="A208" s="13" t="s">
        <v>31</v>
      </c>
      <c r="B208" t="s">
        <v>408</v>
      </c>
      <c r="C208" t="str">
        <f t="shared" si="3"/>
        <v>BrazilBand Sports</v>
      </c>
      <c r="D208" s="1">
        <v>20174000</v>
      </c>
      <c r="E208" t="s">
        <v>149</v>
      </c>
      <c r="F208" t="s">
        <v>409</v>
      </c>
    </row>
    <row r="209" spans="1:6" ht="15" hidden="1" customHeight="1" x14ac:dyDescent="0.25">
      <c r="A209" s="13" t="s">
        <v>31</v>
      </c>
      <c r="B209" t="s">
        <v>183</v>
      </c>
      <c r="C209" t="str">
        <f t="shared" si="3"/>
        <v>BrazilESPN</v>
      </c>
      <c r="D209" s="1">
        <v>10162804.986821327</v>
      </c>
      <c r="E209" t="s">
        <v>149</v>
      </c>
      <c r="F209" t="s">
        <v>410</v>
      </c>
    </row>
    <row r="210" spans="1:6" ht="15" hidden="1" customHeight="1" x14ac:dyDescent="0.25">
      <c r="A210" s="13" t="s">
        <v>31</v>
      </c>
      <c r="B210" s="40" t="s">
        <v>184</v>
      </c>
      <c r="C210" t="str">
        <f t="shared" si="3"/>
        <v>BrazilESPN +</v>
      </c>
      <c r="D210" s="1">
        <v>10162804.986821327</v>
      </c>
      <c r="E210" t="s">
        <v>149</v>
      </c>
      <c r="F210" t="s">
        <v>410</v>
      </c>
    </row>
    <row r="211" spans="1:6" ht="15" hidden="1" customHeight="1" x14ac:dyDescent="0.25">
      <c r="A211" s="13" t="s">
        <v>31</v>
      </c>
      <c r="B211" t="s">
        <v>185</v>
      </c>
      <c r="C211" t="str">
        <f t="shared" si="3"/>
        <v>BrazilESPN 2</v>
      </c>
      <c r="D211" s="1">
        <v>10162804.986821327</v>
      </c>
      <c r="E211" t="s">
        <v>149</v>
      </c>
    </row>
    <row r="212" spans="1:6" ht="15" hidden="1" customHeight="1" x14ac:dyDescent="0.25">
      <c r="A212" s="13" t="s">
        <v>31</v>
      </c>
      <c r="B212" s="40" t="s">
        <v>411</v>
      </c>
      <c r="C212" t="str">
        <f t="shared" si="3"/>
        <v>BrazilESPN Brasil</v>
      </c>
      <c r="D212" s="1">
        <v>10162804.986821327</v>
      </c>
      <c r="E212" t="s">
        <v>149</v>
      </c>
      <c r="F212" t="s">
        <v>410</v>
      </c>
    </row>
    <row r="213" spans="1:6" ht="15" hidden="1" customHeight="1" x14ac:dyDescent="0.25">
      <c r="A213" s="203" t="s">
        <v>31</v>
      </c>
      <c r="B213" s="147" t="s">
        <v>412</v>
      </c>
      <c r="C213" s="11" t="str">
        <f t="shared" si="3"/>
        <v>BrazilESPN Extra</v>
      </c>
      <c r="D213" s="1">
        <v>10162804.986821327</v>
      </c>
      <c r="E213" t="s">
        <v>149</v>
      </c>
      <c r="F213" s="11"/>
    </row>
    <row r="214" spans="1:6" ht="15" hidden="1" customHeight="1" x14ac:dyDescent="0.25">
      <c r="A214" s="39" t="s">
        <v>31</v>
      </c>
      <c r="B214" t="s">
        <v>192</v>
      </c>
      <c r="C214" t="str">
        <f t="shared" si="3"/>
        <v>BrazilESPN+</v>
      </c>
      <c r="D214" s="1">
        <v>10162804.986821327</v>
      </c>
      <c r="E214" t="s">
        <v>149</v>
      </c>
      <c r="F214" t="s">
        <v>410</v>
      </c>
    </row>
    <row r="215" spans="1:6" ht="15" hidden="1" customHeight="1" x14ac:dyDescent="0.25">
      <c r="A215" s="210" t="s">
        <v>31</v>
      </c>
      <c r="B215" s="162" t="s">
        <v>199</v>
      </c>
      <c r="C215" s="162" t="str">
        <f t="shared" si="3"/>
        <v>BrazilFox Sports HD</v>
      </c>
      <c r="D215" s="165"/>
      <c r="E215" t="s">
        <v>149</v>
      </c>
      <c r="F215" s="162"/>
    </row>
    <row r="216" spans="1:6" ht="15" hidden="1" customHeight="1" x14ac:dyDescent="0.25">
      <c r="A216" s="13" t="s">
        <v>31</v>
      </c>
      <c r="B216" t="s">
        <v>413</v>
      </c>
      <c r="C216" t="str">
        <f t="shared" si="3"/>
        <v>BrazilGlobo</v>
      </c>
      <c r="D216" s="1">
        <v>62606000</v>
      </c>
      <c r="E216" t="s">
        <v>142</v>
      </c>
      <c r="F216" t="s">
        <v>414</v>
      </c>
    </row>
    <row r="217" spans="1:6" ht="15" hidden="1" customHeight="1" x14ac:dyDescent="0.25">
      <c r="A217" s="13" t="s">
        <v>31</v>
      </c>
      <c r="B217" t="s">
        <v>415</v>
      </c>
      <c r="C217" t="str">
        <f t="shared" si="3"/>
        <v>BrazilGlobosat</v>
      </c>
      <c r="D217" s="1">
        <v>62606000</v>
      </c>
      <c r="E217" t="s">
        <v>142</v>
      </c>
    </row>
    <row r="218" spans="1:6" ht="30" hidden="1" customHeight="1" x14ac:dyDescent="0.25">
      <c r="A218" s="13" t="s">
        <v>31</v>
      </c>
      <c r="B218" t="s">
        <v>416</v>
      </c>
      <c r="C218" t="str">
        <f t="shared" si="3"/>
        <v>BrazilSky Brasil</v>
      </c>
      <c r="D218" s="1">
        <v>5314000</v>
      </c>
      <c r="E218" t="s">
        <v>149</v>
      </c>
      <c r="F218" t="s">
        <v>417</v>
      </c>
    </row>
    <row r="219" spans="1:6" ht="15" hidden="1" customHeight="1" x14ac:dyDescent="0.25">
      <c r="A219" s="39" t="s">
        <v>31</v>
      </c>
      <c r="B219" t="s">
        <v>418</v>
      </c>
      <c r="C219" t="str">
        <f t="shared" si="3"/>
        <v>BrazilSporTV</v>
      </c>
      <c r="D219" s="1">
        <v>20332000</v>
      </c>
      <c r="E219" t="s">
        <v>149</v>
      </c>
      <c r="F219" t="s">
        <v>419</v>
      </c>
    </row>
    <row r="220" spans="1:6" ht="15" hidden="1" customHeight="1" x14ac:dyDescent="0.25">
      <c r="A220" t="s">
        <v>31</v>
      </c>
      <c r="B220" t="s">
        <v>420</v>
      </c>
      <c r="C220" t="str">
        <f t="shared" si="3"/>
        <v>BrazilSporTV 2</v>
      </c>
      <c r="D220" s="1">
        <v>20332000</v>
      </c>
      <c r="E220" t="s">
        <v>149</v>
      </c>
      <c r="F220" t="s">
        <v>419</v>
      </c>
    </row>
    <row r="221" spans="1:6" ht="15" hidden="1" customHeight="1" x14ac:dyDescent="0.25">
      <c r="A221" s="13" t="s">
        <v>31</v>
      </c>
      <c r="B221" t="s">
        <v>421</v>
      </c>
      <c r="C221" t="str">
        <f t="shared" si="3"/>
        <v>BrazilSporTV 3</v>
      </c>
      <c r="D221" s="1">
        <v>20332000</v>
      </c>
      <c r="E221" t="s">
        <v>149</v>
      </c>
      <c r="F221" t="s">
        <v>419</v>
      </c>
    </row>
    <row r="222" spans="1:6" ht="15" hidden="1" customHeight="1" x14ac:dyDescent="0.25">
      <c r="A222" s="39" t="s">
        <v>31</v>
      </c>
      <c r="B222" t="s">
        <v>422</v>
      </c>
      <c r="C222" t="str">
        <f t="shared" si="3"/>
        <v>BrazilSporTV2</v>
      </c>
      <c r="D222" s="1">
        <v>20332000</v>
      </c>
      <c r="E222" t="s">
        <v>149</v>
      </c>
      <c r="F222" t="s">
        <v>419</v>
      </c>
    </row>
    <row r="223" spans="1:6" ht="15" hidden="1" customHeight="1" x14ac:dyDescent="0.25">
      <c r="A223" s="13" t="s">
        <v>31</v>
      </c>
      <c r="B223" t="s">
        <v>423</v>
      </c>
      <c r="C223" t="str">
        <f t="shared" si="3"/>
        <v>BrazilSporTV3</v>
      </c>
      <c r="D223" s="1">
        <v>20332000</v>
      </c>
      <c r="E223" t="s">
        <v>149</v>
      </c>
      <c r="F223" t="s">
        <v>419</v>
      </c>
    </row>
    <row r="224" spans="1:6" ht="15" hidden="1" customHeight="1" x14ac:dyDescent="0.25">
      <c r="A224" s="13" t="s">
        <v>31</v>
      </c>
      <c r="B224" t="s">
        <v>424</v>
      </c>
      <c r="C224" t="str">
        <f t="shared" si="3"/>
        <v>BrazilTV Cultura</v>
      </c>
      <c r="D224" s="1">
        <v>62606000</v>
      </c>
      <c r="E224" s="1" t="s">
        <v>142</v>
      </c>
      <c r="F224" t="s">
        <v>414</v>
      </c>
    </row>
    <row r="225" spans="1:6" ht="15" hidden="1" customHeight="1" x14ac:dyDescent="0.25">
      <c r="A225" s="13" t="s">
        <v>32</v>
      </c>
      <c r="B225" t="s">
        <v>425</v>
      </c>
      <c r="C225" t="str">
        <f t="shared" si="3"/>
        <v>BruneiAstro SuperSport 2</v>
      </c>
      <c r="D225" s="1">
        <v>50000</v>
      </c>
      <c r="E225" t="s">
        <v>149</v>
      </c>
    </row>
    <row r="226" spans="1:6" ht="15" hidden="1" customHeight="1" x14ac:dyDescent="0.25">
      <c r="A226" s="39" t="s">
        <v>32</v>
      </c>
      <c r="B226" t="s">
        <v>426</v>
      </c>
      <c r="C226" t="str">
        <f t="shared" si="3"/>
        <v>BruneiAstro SuperSport 2 HD</v>
      </c>
      <c r="D226" s="1">
        <v>50000</v>
      </c>
      <c r="E226" t="s">
        <v>149</v>
      </c>
    </row>
    <row r="227" spans="1:6" ht="15" hidden="1" customHeight="1" x14ac:dyDescent="0.25">
      <c r="A227" s="39" t="s">
        <v>32</v>
      </c>
      <c r="B227" t="s">
        <v>427</v>
      </c>
      <c r="C227" t="str">
        <f t="shared" si="3"/>
        <v>BruneiAstro SuperSport 3</v>
      </c>
      <c r="D227" s="1">
        <v>50000</v>
      </c>
      <c r="E227" t="s">
        <v>149</v>
      </c>
      <c r="F227" t="s">
        <v>428</v>
      </c>
    </row>
    <row r="228" spans="1:6" ht="15" hidden="1" customHeight="1" x14ac:dyDescent="0.25">
      <c r="A228" s="39" t="s">
        <v>32</v>
      </c>
      <c r="B228" t="s">
        <v>429</v>
      </c>
      <c r="C228" t="str">
        <f t="shared" si="3"/>
        <v>BruneiAstro SuperSport 3 HD</v>
      </c>
      <c r="D228" s="1">
        <v>50000</v>
      </c>
      <c r="E228" t="s">
        <v>149</v>
      </c>
      <c r="F228" t="s">
        <v>428</v>
      </c>
    </row>
    <row r="229" spans="1:6" ht="15" hidden="1" customHeight="1" x14ac:dyDescent="0.25">
      <c r="A229" s="13" t="s">
        <v>32</v>
      </c>
      <c r="B229" t="s">
        <v>430</v>
      </c>
      <c r="C229" t="str">
        <f t="shared" si="3"/>
        <v>BruneiAstro SuperSport 4</v>
      </c>
      <c r="D229" s="1">
        <v>50000</v>
      </c>
      <c r="E229" t="s">
        <v>149</v>
      </c>
      <c r="F229" t="s">
        <v>428</v>
      </c>
    </row>
    <row r="230" spans="1:6" ht="15" hidden="1" customHeight="1" x14ac:dyDescent="0.25">
      <c r="A230" s="13" t="s">
        <v>32</v>
      </c>
      <c r="B230" t="s">
        <v>431</v>
      </c>
      <c r="C230" t="str">
        <f t="shared" si="3"/>
        <v>BruneiGOLF HD</v>
      </c>
      <c r="D230" s="1">
        <v>50000</v>
      </c>
      <c r="E230" t="s">
        <v>149</v>
      </c>
      <c r="F230" t="s">
        <v>428</v>
      </c>
    </row>
    <row r="231" spans="1:6" ht="15" hidden="1" customHeight="1" x14ac:dyDescent="0.25">
      <c r="A231" s="13" t="s">
        <v>33</v>
      </c>
      <c r="B231" t="s">
        <v>432</v>
      </c>
      <c r="C231" t="str">
        <f t="shared" si="3"/>
        <v>BulgariaBNT</v>
      </c>
      <c r="D231" s="1">
        <v>2937100</v>
      </c>
      <c r="E231" t="s">
        <v>142</v>
      </c>
      <c r="F231" t="s">
        <v>433</v>
      </c>
    </row>
    <row r="232" spans="1:6" ht="15" hidden="1" customHeight="1" x14ac:dyDescent="0.25">
      <c r="A232" s="211" t="s">
        <v>33</v>
      </c>
      <c r="B232" s="166" t="s">
        <v>434</v>
      </c>
      <c r="C232" s="162" t="str">
        <f t="shared" si="3"/>
        <v>BulgariaBNT 2</v>
      </c>
      <c r="D232" s="1">
        <v>2937100</v>
      </c>
      <c r="E232" t="s">
        <v>142</v>
      </c>
      <c r="F232" s="162"/>
    </row>
    <row r="233" spans="1:6" ht="15" hidden="1" customHeight="1" x14ac:dyDescent="0.25">
      <c r="A233" s="210" t="s">
        <v>33</v>
      </c>
      <c r="B233" s="162" t="s">
        <v>435</v>
      </c>
      <c r="C233" s="162" t="str">
        <f t="shared" si="3"/>
        <v>BulgariaBNT 3</v>
      </c>
      <c r="D233" s="1">
        <v>2937100</v>
      </c>
      <c r="E233" t="s">
        <v>142</v>
      </c>
      <c r="F233" s="162"/>
    </row>
    <row r="234" spans="1:6" ht="15" hidden="1" customHeight="1" x14ac:dyDescent="0.25">
      <c r="A234" s="33" t="s">
        <v>33</v>
      </c>
      <c r="B234" s="35" t="s">
        <v>436</v>
      </c>
      <c r="C234" t="str">
        <f t="shared" si="3"/>
        <v>BulgariaBNT1</v>
      </c>
      <c r="D234" s="1">
        <v>2937100</v>
      </c>
      <c r="E234" t="s">
        <v>142</v>
      </c>
      <c r="F234" t="s">
        <v>433</v>
      </c>
    </row>
    <row r="235" spans="1:6" ht="15" hidden="1" customHeight="1" x14ac:dyDescent="0.25">
      <c r="A235" s="39" t="s">
        <v>33</v>
      </c>
      <c r="B235" t="s">
        <v>437</v>
      </c>
      <c r="C235" t="str">
        <f t="shared" si="3"/>
        <v>BulgariaDiema</v>
      </c>
      <c r="D235" s="1">
        <v>2120000</v>
      </c>
      <c r="E235" t="s">
        <v>149</v>
      </c>
      <c r="F235" t="s">
        <v>311</v>
      </c>
    </row>
    <row r="236" spans="1:6" ht="15" hidden="1" customHeight="1" x14ac:dyDescent="0.25">
      <c r="A236" s="13" t="s">
        <v>33</v>
      </c>
      <c r="B236" t="s">
        <v>438</v>
      </c>
      <c r="C236" t="str">
        <f t="shared" si="3"/>
        <v>BulgariaDiema Sport</v>
      </c>
      <c r="D236" s="1">
        <v>1341000</v>
      </c>
      <c r="E236" t="s">
        <v>149</v>
      </c>
      <c r="F236" t="s">
        <v>439</v>
      </c>
    </row>
    <row r="237" spans="1:6" ht="15" hidden="1" customHeight="1" x14ac:dyDescent="0.25">
      <c r="A237" s="13" t="s">
        <v>33</v>
      </c>
      <c r="B237" t="s">
        <v>440</v>
      </c>
      <c r="C237" t="str">
        <f t="shared" si="3"/>
        <v>BulgariaEDGE Sport</v>
      </c>
      <c r="D237" s="1">
        <v>624000</v>
      </c>
      <c r="E237" t="s">
        <v>149</v>
      </c>
    </row>
    <row r="238" spans="1:6" ht="15" hidden="1" customHeight="1" x14ac:dyDescent="0.25">
      <c r="A238" s="209" t="s">
        <v>33</v>
      </c>
      <c r="B238" s="155" t="s">
        <v>269</v>
      </c>
      <c r="C238" s="155" t="str">
        <f t="shared" si="3"/>
        <v>BulgariaEurosport 2</v>
      </c>
      <c r="D238" s="156">
        <v>0</v>
      </c>
      <c r="E238" t="s">
        <v>149</v>
      </c>
      <c r="F238" t="s">
        <v>149</v>
      </c>
    </row>
    <row r="239" spans="1:6" ht="15" hidden="1" customHeight="1" x14ac:dyDescent="0.25">
      <c r="A239" s="13" t="s">
        <v>33</v>
      </c>
      <c r="B239" t="s">
        <v>441</v>
      </c>
      <c r="C239" t="str">
        <f t="shared" si="3"/>
        <v>BulgariaF+</v>
      </c>
      <c r="D239" s="1">
        <v>1061000</v>
      </c>
      <c r="E239" t="s">
        <v>149</v>
      </c>
      <c r="F239" t="s">
        <v>442</v>
      </c>
    </row>
    <row r="240" spans="1:6" ht="15" hidden="1" customHeight="1" x14ac:dyDescent="0.25">
      <c r="A240" t="s">
        <v>33</v>
      </c>
      <c r="B240" t="s">
        <v>443</v>
      </c>
      <c r="C240" t="str">
        <f t="shared" si="3"/>
        <v>BulgariaMax Sport 1</v>
      </c>
      <c r="D240" s="1">
        <v>624000</v>
      </c>
      <c r="E240" t="s">
        <v>149</v>
      </c>
      <c r="F240" t="s">
        <v>444</v>
      </c>
    </row>
    <row r="241" spans="1:6" ht="15" hidden="1" customHeight="1" x14ac:dyDescent="0.25">
      <c r="A241" t="s">
        <v>33</v>
      </c>
      <c r="B241" t="s">
        <v>445</v>
      </c>
      <c r="C241" t="str">
        <f t="shared" si="3"/>
        <v>BulgariaMax Sport 2</v>
      </c>
      <c r="D241" s="1">
        <v>624000</v>
      </c>
      <c r="E241" t="s">
        <v>149</v>
      </c>
      <c r="F241" t="s">
        <v>444</v>
      </c>
    </row>
    <row r="242" spans="1:6" ht="15" hidden="1" customHeight="1" x14ac:dyDescent="0.25">
      <c r="A242" s="13" t="s">
        <v>33</v>
      </c>
      <c r="B242" t="s">
        <v>446</v>
      </c>
      <c r="C242" t="str">
        <f t="shared" si="3"/>
        <v>BulgariaMax Sport 3</v>
      </c>
      <c r="D242" s="1">
        <v>624000</v>
      </c>
      <c r="E242" t="s">
        <v>149</v>
      </c>
    </row>
    <row r="243" spans="1:6" ht="15" hidden="1" customHeight="1" x14ac:dyDescent="0.25">
      <c r="A243" s="13" t="s">
        <v>33</v>
      </c>
      <c r="B243" s="45" t="s">
        <v>447</v>
      </c>
      <c r="C243" t="str">
        <f t="shared" si="3"/>
        <v>BulgariaMobitel</v>
      </c>
      <c r="D243" s="1">
        <v>624000</v>
      </c>
      <c r="E243" t="s">
        <v>149</v>
      </c>
      <c r="F243" t="s">
        <v>448</v>
      </c>
    </row>
    <row r="244" spans="1:6" ht="15" hidden="1" customHeight="1" x14ac:dyDescent="0.25">
      <c r="A244" s="39" t="s">
        <v>33</v>
      </c>
      <c r="B244" s="34" t="s">
        <v>449</v>
      </c>
      <c r="C244" t="str">
        <f t="shared" si="3"/>
        <v>Bulgariamtel</v>
      </c>
      <c r="D244" s="1">
        <v>624000</v>
      </c>
      <c r="E244" t="s">
        <v>149</v>
      </c>
      <c r="F244" t="s">
        <v>448</v>
      </c>
    </row>
    <row r="245" spans="1:6" ht="15" hidden="1" customHeight="1" x14ac:dyDescent="0.25">
      <c r="A245" t="s">
        <v>33</v>
      </c>
      <c r="B245" t="s">
        <v>450</v>
      </c>
      <c r="C245" t="str">
        <f t="shared" si="3"/>
        <v>BulgariaMtel Sport 1</v>
      </c>
      <c r="D245" s="1">
        <v>624000</v>
      </c>
      <c r="E245" t="s">
        <v>149</v>
      </c>
      <c r="F245" t="s">
        <v>448</v>
      </c>
    </row>
    <row r="246" spans="1:6" ht="15" hidden="1" customHeight="1" x14ac:dyDescent="0.25">
      <c r="A246" t="s">
        <v>33</v>
      </c>
      <c r="B246" t="s">
        <v>451</v>
      </c>
      <c r="C246" t="str">
        <f t="shared" si="3"/>
        <v>BulgariaMtel Sport 2</v>
      </c>
      <c r="D246" s="1">
        <v>624000</v>
      </c>
      <c r="E246" t="s">
        <v>149</v>
      </c>
      <c r="F246" t="s">
        <v>448</v>
      </c>
    </row>
    <row r="247" spans="1:6" ht="15" hidden="1" customHeight="1" x14ac:dyDescent="0.25">
      <c r="A247" s="13" t="s">
        <v>33</v>
      </c>
      <c r="B247" t="s">
        <v>452</v>
      </c>
      <c r="C247" t="str">
        <f t="shared" si="3"/>
        <v>BulgariaSport+ HD</v>
      </c>
      <c r="D247" s="1">
        <v>1061000</v>
      </c>
      <c r="E247" t="s">
        <v>149</v>
      </c>
      <c r="F247" t="s">
        <v>442</v>
      </c>
    </row>
    <row r="248" spans="1:6" ht="15" hidden="1" customHeight="1" x14ac:dyDescent="0.25">
      <c r="A248" s="13" t="s">
        <v>33</v>
      </c>
      <c r="B248" t="s">
        <v>453</v>
      </c>
      <c r="C248" t="str">
        <f t="shared" si="3"/>
        <v>BulgariaSport+HD</v>
      </c>
      <c r="D248" s="1">
        <v>1061000</v>
      </c>
      <c r="E248" t="s">
        <v>149</v>
      </c>
      <c r="F248" t="s">
        <v>442</v>
      </c>
    </row>
    <row r="249" spans="1:6" ht="15" hidden="1" customHeight="1" x14ac:dyDescent="0.25">
      <c r="A249" s="39" t="s">
        <v>33</v>
      </c>
      <c r="B249" t="s">
        <v>454</v>
      </c>
      <c r="C249" t="str">
        <f t="shared" si="3"/>
        <v>BulgariaTV+</v>
      </c>
      <c r="D249" s="1">
        <v>1061000</v>
      </c>
      <c r="E249" t="s">
        <v>149</v>
      </c>
      <c r="F249" t="s">
        <v>442</v>
      </c>
    </row>
    <row r="250" spans="1:6" ht="15" hidden="1" customHeight="1" x14ac:dyDescent="0.25">
      <c r="A250" s="39" t="s">
        <v>34</v>
      </c>
      <c r="B250" s="41" t="s">
        <v>455</v>
      </c>
      <c r="C250" t="str">
        <f t="shared" si="3"/>
        <v>CambodiabeIN Sports</v>
      </c>
      <c r="D250" s="1">
        <v>41250</v>
      </c>
      <c r="E250" t="s">
        <v>149</v>
      </c>
      <c r="F250" t="s">
        <v>456</v>
      </c>
    </row>
    <row r="251" spans="1:6" ht="15" hidden="1" customHeight="1" x14ac:dyDescent="0.25">
      <c r="A251" s="13" t="s">
        <v>35</v>
      </c>
      <c r="B251" t="s">
        <v>457</v>
      </c>
      <c r="C251" t="str">
        <f t="shared" si="3"/>
        <v>CanadaBNN Bloomberg</v>
      </c>
      <c r="D251" s="1">
        <v>2456848</v>
      </c>
      <c r="E251" t="s">
        <v>149</v>
      </c>
      <c r="F251" t="s">
        <v>458</v>
      </c>
    </row>
    <row r="252" spans="1:6" ht="15" hidden="1" customHeight="1" x14ac:dyDescent="0.25">
      <c r="A252" s="212" t="s">
        <v>35</v>
      </c>
      <c r="B252" s="152" t="s">
        <v>459</v>
      </c>
      <c r="C252" s="150" t="str">
        <f t="shared" si="3"/>
        <v>CanadaCH Ontario (CHCH)</v>
      </c>
      <c r="D252" s="1">
        <v>12823363.097999999</v>
      </c>
      <c r="E252" t="s">
        <v>142</v>
      </c>
      <c r="F252" s="150"/>
    </row>
    <row r="253" spans="1:6" ht="15" hidden="1" customHeight="1" x14ac:dyDescent="0.25">
      <c r="A253" s="213" t="s">
        <v>35</v>
      </c>
      <c r="B253" s="150" t="s">
        <v>460</v>
      </c>
      <c r="C253" s="150" t="str">
        <f t="shared" si="3"/>
        <v>CanadaCH Vancouver (CHEK)</v>
      </c>
      <c r="D253" s="1">
        <v>5443535.9019999998</v>
      </c>
      <c r="E253" t="s">
        <v>142</v>
      </c>
      <c r="F253" s="150"/>
    </row>
    <row r="254" spans="1:6" ht="15" hidden="1" customHeight="1" x14ac:dyDescent="0.25">
      <c r="A254" s="13" t="s">
        <v>35</v>
      </c>
      <c r="B254" t="s">
        <v>461</v>
      </c>
      <c r="C254" t="str">
        <f t="shared" si="3"/>
        <v>CanadaCity Calgary (CKAL)</v>
      </c>
      <c r="D254" s="19">
        <v>12722304</v>
      </c>
      <c r="E254" t="s">
        <v>142</v>
      </c>
    </row>
    <row r="255" spans="1:6" ht="15" hidden="1" customHeight="1" x14ac:dyDescent="0.25">
      <c r="A255" s="13" t="s">
        <v>35</v>
      </c>
      <c r="B255" t="s">
        <v>462</v>
      </c>
      <c r="C255" t="str">
        <f t="shared" si="3"/>
        <v>CanadaCTV National</v>
      </c>
      <c r="D255" s="1">
        <v>13455500</v>
      </c>
      <c r="E255" t="s">
        <v>142</v>
      </c>
      <c r="F255" t="s">
        <v>463</v>
      </c>
    </row>
    <row r="256" spans="1:6" ht="15" hidden="1" customHeight="1" x14ac:dyDescent="0.25">
      <c r="A256" s="13" t="s">
        <v>35</v>
      </c>
      <c r="B256" t="s">
        <v>464</v>
      </c>
      <c r="C256" t="str">
        <f t="shared" si="3"/>
        <v>CanadaCTV Two</v>
      </c>
      <c r="D256" s="1">
        <v>13455500</v>
      </c>
      <c r="E256" t="s">
        <v>142</v>
      </c>
    </row>
    <row r="257" spans="1:6" ht="15" hidden="1" customHeight="1" x14ac:dyDescent="0.25">
      <c r="A257" s="13" t="s">
        <v>35</v>
      </c>
      <c r="B257" t="s">
        <v>465</v>
      </c>
      <c r="C257" t="str">
        <f t="shared" si="3"/>
        <v>CanadaCTV Two Barrie/Toronto (CKVR)</v>
      </c>
      <c r="D257" s="1">
        <v>13455500</v>
      </c>
      <c r="E257" t="s">
        <v>142</v>
      </c>
    </row>
    <row r="258" spans="1:6" ht="15" hidden="1" customHeight="1" x14ac:dyDescent="0.25">
      <c r="A258" s="39" t="s">
        <v>35</v>
      </c>
      <c r="B258" t="s">
        <v>466</v>
      </c>
      <c r="C258" t="str">
        <f t="shared" ref="C258:C321" si="4">CONCATENATE(A258,B258)</f>
        <v>CanadaDiscovery Velocity</v>
      </c>
      <c r="D258" s="1">
        <v>2471130</v>
      </c>
      <c r="E258" t="s">
        <v>149</v>
      </c>
      <c r="F258" t="s">
        <v>467</v>
      </c>
    </row>
    <row r="259" spans="1:6" ht="15" hidden="1" customHeight="1" x14ac:dyDescent="0.25">
      <c r="A259" s="13" t="s">
        <v>35</v>
      </c>
      <c r="B259" t="s">
        <v>468</v>
      </c>
      <c r="C259" t="str">
        <f t="shared" si="4"/>
        <v>CanadaFox Sports 1</v>
      </c>
      <c r="D259" s="1">
        <v>9471000</v>
      </c>
      <c r="E259" t="s">
        <v>149</v>
      </c>
      <c r="F259" t="s">
        <v>469</v>
      </c>
    </row>
    <row r="260" spans="1:6" ht="15" hidden="1" customHeight="1" x14ac:dyDescent="0.25">
      <c r="A260" s="13" t="s">
        <v>35</v>
      </c>
      <c r="B260" t="s">
        <v>470</v>
      </c>
      <c r="C260" t="str">
        <f t="shared" si="4"/>
        <v>CanadaGlobal BC (CHAN)</v>
      </c>
      <c r="D260" s="1">
        <v>12941304</v>
      </c>
      <c r="E260" t="s">
        <v>142</v>
      </c>
      <c r="F260" t="s">
        <v>471</v>
      </c>
    </row>
    <row r="261" spans="1:6" ht="15" hidden="1" customHeight="1" x14ac:dyDescent="0.25">
      <c r="A261" s="13" t="s">
        <v>35</v>
      </c>
      <c r="B261" t="s">
        <v>472</v>
      </c>
      <c r="C261" t="str">
        <f t="shared" si="4"/>
        <v>CanadaGlobal Calgary</v>
      </c>
      <c r="D261" s="1">
        <v>12941304</v>
      </c>
      <c r="E261" t="s">
        <v>142</v>
      </c>
      <c r="F261" t="s">
        <v>471</v>
      </c>
    </row>
    <row r="262" spans="1:6" ht="15" hidden="1" customHeight="1" x14ac:dyDescent="0.25">
      <c r="A262" s="13" t="s">
        <v>35</v>
      </c>
      <c r="B262" t="s">
        <v>473</v>
      </c>
      <c r="C262" t="str">
        <f t="shared" si="4"/>
        <v>CanadaGlobal Canada Com</v>
      </c>
      <c r="D262" s="1">
        <v>12941304</v>
      </c>
      <c r="E262" t="s">
        <v>142</v>
      </c>
      <c r="F262" t="s">
        <v>471</v>
      </c>
    </row>
    <row r="263" spans="1:6" ht="15" hidden="1" customHeight="1" x14ac:dyDescent="0.25">
      <c r="A263" s="13" t="s">
        <v>35</v>
      </c>
      <c r="B263" t="s">
        <v>474</v>
      </c>
      <c r="C263" t="str">
        <f t="shared" si="4"/>
        <v>CanadaGlobal Edmonton (CITV)</v>
      </c>
      <c r="D263" s="1">
        <v>12941304</v>
      </c>
      <c r="E263" t="s">
        <v>142</v>
      </c>
      <c r="F263" t="s">
        <v>471</v>
      </c>
    </row>
    <row r="264" spans="1:6" ht="15" hidden="1" customHeight="1" x14ac:dyDescent="0.25">
      <c r="A264" s="13" t="s">
        <v>35</v>
      </c>
      <c r="B264" t="s">
        <v>475</v>
      </c>
      <c r="C264" t="str">
        <f t="shared" si="4"/>
        <v>CanadaGlobal Ontario (CIII)</v>
      </c>
      <c r="D264" s="1">
        <v>12941304</v>
      </c>
      <c r="E264" t="s">
        <v>142</v>
      </c>
      <c r="F264" t="s">
        <v>471</v>
      </c>
    </row>
    <row r="265" spans="1:6" ht="15" hidden="1" customHeight="1" x14ac:dyDescent="0.25">
      <c r="A265" s="13" t="s">
        <v>35</v>
      </c>
      <c r="B265" t="s">
        <v>476</v>
      </c>
      <c r="C265" t="str">
        <f t="shared" si="4"/>
        <v>CanadaGlobal Quebec (CKMI)</v>
      </c>
      <c r="D265" s="1">
        <v>12941304</v>
      </c>
      <c r="E265" t="s">
        <v>142</v>
      </c>
      <c r="F265" t="s">
        <v>471</v>
      </c>
    </row>
    <row r="266" spans="1:6" ht="15" hidden="1" customHeight="1" x14ac:dyDescent="0.25">
      <c r="A266" s="13" t="s">
        <v>35</v>
      </c>
      <c r="B266" t="s">
        <v>477</v>
      </c>
      <c r="C266" t="str">
        <f t="shared" si="4"/>
        <v>CanadaGolf Channel</v>
      </c>
      <c r="D266" s="1">
        <v>10512000</v>
      </c>
      <c r="E266" t="s">
        <v>149</v>
      </c>
    </row>
    <row r="267" spans="1:6" ht="15" hidden="1" customHeight="1" x14ac:dyDescent="0.25">
      <c r="A267" s="39" t="s">
        <v>35</v>
      </c>
      <c r="B267" t="s">
        <v>478</v>
      </c>
      <c r="C267" t="str">
        <f t="shared" si="4"/>
        <v>CanadaOLN</v>
      </c>
      <c r="D267" s="19">
        <v>5892585</v>
      </c>
      <c r="E267" t="s">
        <v>149</v>
      </c>
    </row>
    <row r="268" spans="1:6" ht="15" hidden="1" customHeight="1" x14ac:dyDescent="0.25">
      <c r="A268" s="13" t="s">
        <v>35</v>
      </c>
      <c r="B268" t="s">
        <v>479</v>
      </c>
      <c r="C268" t="str">
        <f t="shared" si="4"/>
        <v>CanadaPBS</v>
      </c>
      <c r="D268" s="1">
        <v>8704000</v>
      </c>
      <c r="E268" t="s">
        <v>149</v>
      </c>
      <c r="F268" t="s">
        <v>480</v>
      </c>
    </row>
    <row r="269" spans="1:6" ht="15" hidden="1" customHeight="1" x14ac:dyDescent="0.25">
      <c r="A269" s="39" t="s">
        <v>35</v>
      </c>
      <c r="B269" s="40" t="s">
        <v>481</v>
      </c>
      <c r="C269" t="str">
        <f t="shared" si="4"/>
        <v>CanadaRDS</v>
      </c>
      <c r="D269" s="1">
        <v>6701000</v>
      </c>
      <c r="E269" t="s">
        <v>149</v>
      </c>
      <c r="F269" t="s">
        <v>482</v>
      </c>
    </row>
    <row r="270" spans="1:6" ht="15" hidden="1" customHeight="1" x14ac:dyDescent="0.25">
      <c r="A270" s="39" t="s">
        <v>35</v>
      </c>
      <c r="B270" t="s">
        <v>483</v>
      </c>
      <c r="C270" t="str">
        <f t="shared" si="4"/>
        <v>CanadaRDS +</v>
      </c>
      <c r="D270" s="1">
        <v>6701000</v>
      </c>
      <c r="E270" t="s">
        <v>149</v>
      </c>
      <c r="F270" t="s">
        <v>482</v>
      </c>
    </row>
    <row r="271" spans="1:6" ht="15" hidden="1" customHeight="1" x14ac:dyDescent="0.25">
      <c r="A271" t="s">
        <v>35</v>
      </c>
      <c r="B271" t="s">
        <v>484</v>
      </c>
      <c r="C271" t="str">
        <f t="shared" si="4"/>
        <v>CanadaRDS Info+</v>
      </c>
      <c r="D271" s="1">
        <v>6701000</v>
      </c>
      <c r="E271" t="s">
        <v>149</v>
      </c>
      <c r="F271" t="s">
        <v>482</v>
      </c>
    </row>
    <row r="272" spans="1:6" ht="15" hidden="1" customHeight="1" x14ac:dyDescent="0.25">
      <c r="A272" t="s">
        <v>35</v>
      </c>
      <c r="B272" t="s">
        <v>485</v>
      </c>
      <c r="C272" t="str">
        <f t="shared" si="4"/>
        <v>CanadaRDS+</v>
      </c>
      <c r="D272" s="1">
        <v>6701000</v>
      </c>
      <c r="E272" t="s">
        <v>149</v>
      </c>
      <c r="F272" t="s">
        <v>482</v>
      </c>
    </row>
    <row r="273" spans="1:6" ht="15" hidden="1" customHeight="1" x14ac:dyDescent="0.25">
      <c r="A273" s="39" t="s">
        <v>35</v>
      </c>
      <c r="B273" t="s">
        <v>486</v>
      </c>
      <c r="C273" t="str">
        <f t="shared" si="4"/>
        <v>CanadaRDS2</v>
      </c>
      <c r="D273" s="1">
        <v>6701000</v>
      </c>
      <c r="E273" t="s">
        <v>149</v>
      </c>
      <c r="F273" t="s">
        <v>482</v>
      </c>
    </row>
    <row r="274" spans="1:6" ht="15" hidden="1" customHeight="1" x14ac:dyDescent="0.25">
      <c r="A274" t="s">
        <v>35</v>
      </c>
      <c r="B274" t="s">
        <v>487</v>
      </c>
      <c r="C274" t="str">
        <f t="shared" si="4"/>
        <v>CanadaRDS2+</v>
      </c>
      <c r="D274" s="1">
        <v>6701000</v>
      </c>
      <c r="E274" t="s">
        <v>149</v>
      </c>
      <c r="F274" t="s">
        <v>482</v>
      </c>
    </row>
    <row r="275" spans="1:6" ht="15" hidden="1" customHeight="1" x14ac:dyDescent="0.25">
      <c r="A275" s="13" t="s">
        <v>35</v>
      </c>
      <c r="B275" s="46" t="s">
        <v>488</v>
      </c>
      <c r="C275" t="str">
        <f t="shared" si="4"/>
        <v>CanadaRogers Sportsnet</v>
      </c>
      <c r="D275" s="1">
        <v>10512000</v>
      </c>
      <c r="E275" t="s">
        <v>149</v>
      </c>
      <c r="F275" t="s">
        <v>489</v>
      </c>
    </row>
    <row r="276" spans="1:6" ht="15" hidden="1" customHeight="1" x14ac:dyDescent="0.25">
      <c r="A276" s="13" t="s">
        <v>35</v>
      </c>
      <c r="B276" t="s">
        <v>490</v>
      </c>
      <c r="C276" t="str">
        <f t="shared" si="4"/>
        <v>CanadaSportsnetOne</v>
      </c>
      <c r="D276" s="1">
        <v>10512000</v>
      </c>
      <c r="E276" t="s">
        <v>149</v>
      </c>
      <c r="F276" t="s">
        <v>489</v>
      </c>
    </row>
    <row r="277" spans="1:6" ht="15" hidden="1" customHeight="1" x14ac:dyDescent="0.25">
      <c r="A277" s="13" t="s">
        <v>35</v>
      </c>
      <c r="B277" t="s">
        <v>491</v>
      </c>
      <c r="C277" t="str">
        <f t="shared" si="4"/>
        <v>CanadaTHE GOLF CHANNEL</v>
      </c>
      <c r="D277" s="1">
        <v>10512000</v>
      </c>
      <c r="E277" t="s">
        <v>149</v>
      </c>
      <c r="F277" t="s">
        <v>489</v>
      </c>
    </row>
    <row r="278" spans="1:6" ht="15" hidden="1" customHeight="1" x14ac:dyDescent="0.25">
      <c r="A278" s="13" t="s">
        <v>35</v>
      </c>
      <c r="B278" t="s">
        <v>492</v>
      </c>
      <c r="C278" t="str">
        <f t="shared" si="4"/>
        <v>CanadaTSN</v>
      </c>
      <c r="D278" s="1">
        <v>10512000</v>
      </c>
      <c r="E278" t="s">
        <v>149</v>
      </c>
      <c r="F278" t="s">
        <v>489</v>
      </c>
    </row>
    <row r="279" spans="1:6" ht="15" hidden="1" customHeight="1" x14ac:dyDescent="0.25">
      <c r="A279" s="13" t="s">
        <v>35</v>
      </c>
      <c r="B279" t="s">
        <v>493</v>
      </c>
      <c r="C279" t="str">
        <f t="shared" si="4"/>
        <v>CanadaTSN 1</v>
      </c>
      <c r="D279" s="1">
        <v>10512000</v>
      </c>
      <c r="E279" t="s">
        <v>149</v>
      </c>
    </row>
    <row r="280" spans="1:6" ht="15" hidden="1" customHeight="1" x14ac:dyDescent="0.25">
      <c r="A280" s="13" t="s">
        <v>35</v>
      </c>
      <c r="B280" t="s">
        <v>494</v>
      </c>
      <c r="C280" t="str">
        <f t="shared" si="4"/>
        <v>CanadaTSN 2</v>
      </c>
      <c r="D280" s="1">
        <v>10512000</v>
      </c>
      <c r="E280" t="s">
        <v>149</v>
      </c>
    </row>
    <row r="281" spans="1:6" ht="15" hidden="1" customHeight="1" x14ac:dyDescent="0.25">
      <c r="A281" s="13" t="s">
        <v>35</v>
      </c>
      <c r="B281" s="47" t="s">
        <v>495</v>
      </c>
      <c r="C281" t="str">
        <f t="shared" si="4"/>
        <v>CanadaTSN 3</v>
      </c>
      <c r="D281" s="1">
        <v>10512000</v>
      </c>
      <c r="E281" t="s">
        <v>149</v>
      </c>
      <c r="F281" t="s">
        <v>489</v>
      </c>
    </row>
    <row r="282" spans="1:6" ht="15" hidden="1" customHeight="1" x14ac:dyDescent="0.25">
      <c r="A282" s="13" t="s">
        <v>35</v>
      </c>
      <c r="B282" s="47" t="s">
        <v>496</v>
      </c>
      <c r="C282" t="str">
        <f t="shared" si="4"/>
        <v>CanadaTSN 4</v>
      </c>
      <c r="D282" s="1">
        <v>10512000</v>
      </c>
      <c r="E282" t="s">
        <v>149</v>
      </c>
      <c r="F282" t="s">
        <v>489</v>
      </c>
    </row>
    <row r="283" spans="1:6" ht="15" hidden="1" customHeight="1" x14ac:dyDescent="0.25">
      <c r="A283" s="13" t="s">
        <v>35</v>
      </c>
      <c r="B283" t="s">
        <v>497</v>
      </c>
      <c r="C283" t="str">
        <f t="shared" si="4"/>
        <v>CanadaTSN 5</v>
      </c>
      <c r="D283" s="1">
        <v>10512000</v>
      </c>
      <c r="E283" t="s">
        <v>149</v>
      </c>
      <c r="F283" t="s">
        <v>489</v>
      </c>
    </row>
    <row r="284" spans="1:6" ht="15" hidden="1" customHeight="1" x14ac:dyDescent="0.25">
      <c r="A284" s="39" t="s">
        <v>35</v>
      </c>
      <c r="B284" t="s">
        <v>498</v>
      </c>
      <c r="C284" t="str">
        <f t="shared" si="4"/>
        <v>CanadaTSN2</v>
      </c>
      <c r="D284" s="1">
        <v>10512000</v>
      </c>
      <c r="E284" t="s">
        <v>149</v>
      </c>
      <c r="F284" t="s">
        <v>489</v>
      </c>
    </row>
    <row r="285" spans="1:6" ht="15" hidden="1" customHeight="1" x14ac:dyDescent="0.25">
      <c r="A285" s="13" t="s">
        <v>35</v>
      </c>
      <c r="B285" t="s">
        <v>499</v>
      </c>
      <c r="C285" t="str">
        <f t="shared" si="4"/>
        <v>CanadaTSNGO</v>
      </c>
      <c r="D285" s="1">
        <v>10512000</v>
      </c>
      <c r="E285" t="s">
        <v>149</v>
      </c>
      <c r="F285" t="s">
        <v>489</v>
      </c>
    </row>
    <row r="286" spans="1:6" ht="15" hidden="1" customHeight="1" x14ac:dyDescent="0.25">
      <c r="A286" t="s">
        <v>35</v>
      </c>
      <c r="B286" t="s">
        <v>500</v>
      </c>
      <c r="C286" t="str">
        <f t="shared" si="4"/>
        <v>CanadaTVA Sports</v>
      </c>
      <c r="D286" s="1">
        <v>4192000</v>
      </c>
      <c r="E286" t="s">
        <v>149</v>
      </c>
      <c r="F286" t="s">
        <v>501</v>
      </c>
    </row>
    <row r="287" spans="1:6" ht="15" hidden="1" customHeight="1" x14ac:dyDescent="0.25">
      <c r="A287" s="13" t="s">
        <v>35</v>
      </c>
      <c r="B287" s="41" t="s">
        <v>502</v>
      </c>
      <c r="C287" t="str">
        <f t="shared" si="4"/>
        <v>CanadaTVA Sports 1</v>
      </c>
      <c r="D287" s="1">
        <v>4192000</v>
      </c>
      <c r="E287" t="s">
        <v>149</v>
      </c>
      <c r="F287" t="s">
        <v>501</v>
      </c>
    </row>
    <row r="288" spans="1:6" ht="15" hidden="1" customHeight="1" x14ac:dyDescent="0.25">
      <c r="A288" s="13" t="s">
        <v>35</v>
      </c>
      <c r="B288" s="41" t="s">
        <v>503</v>
      </c>
      <c r="C288" t="str">
        <f t="shared" si="4"/>
        <v>CanadaTVA Sports 2</v>
      </c>
      <c r="D288" s="1">
        <v>4192000</v>
      </c>
      <c r="E288" t="s">
        <v>149</v>
      </c>
      <c r="F288" t="s">
        <v>501</v>
      </c>
    </row>
    <row r="289" spans="1:6" ht="15" hidden="1" customHeight="1" x14ac:dyDescent="0.25">
      <c r="A289" t="s">
        <v>134</v>
      </c>
      <c r="B289" t="s">
        <v>183</v>
      </c>
      <c r="C289" t="str">
        <f t="shared" si="4"/>
        <v>Central AmericaESPN</v>
      </c>
      <c r="D289" s="1">
        <v>3052859</v>
      </c>
      <c r="E289" t="s">
        <v>149</v>
      </c>
      <c r="F289" s="48" t="s">
        <v>504</v>
      </c>
    </row>
    <row r="290" spans="1:6" ht="15" hidden="1" customHeight="1" x14ac:dyDescent="0.25">
      <c r="A290" t="s">
        <v>134</v>
      </c>
      <c r="B290" t="s">
        <v>185</v>
      </c>
      <c r="C290" t="str">
        <f t="shared" si="4"/>
        <v>Central AmericaESPN 2</v>
      </c>
      <c r="D290" s="1">
        <v>3052859</v>
      </c>
      <c r="E290" t="s">
        <v>149</v>
      </c>
    </row>
    <row r="291" spans="1:6" ht="15" hidden="1" customHeight="1" x14ac:dyDescent="0.25">
      <c r="A291" s="113" t="s">
        <v>134</v>
      </c>
      <c r="B291" t="s">
        <v>186</v>
      </c>
      <c r="C291" t="str">
        <f t="shared" si="4"/>
        <v>Central AmericaESPN 3</v>
      </c>
      <c r="D291" s="1">
        <v>3052859</v>
      </c>
      <c r="E291" t="s">
        <v>149</v>
      </c>
    </row>
    <row r="292" spans="1:6" ht="15" hidden="1" customHeight="1" x14ac:dyDescent="0.25">
      <c r="A292" s="39" t="s">
        <v>37</v>
      </c>
      <c r="B292" t="s">
        <v>183</v>
      </c>
      <c r="C292" t="str">
        <f t="shared" si="4"/>
        <v>ChileESPN</v>
      </c>
      <c r="D292" s="1">
        <v>329667</v>
      </c>
      <c r="E292" t="s">
        <v>149</v>
      </c>
    </row>
    <row r="293" spans="1:6" ht="15" hidden="1" customHeight="1" x14ac:dyDescent="0.25">
      <c r="A293" s="39" t="s">
        <v>37</v>
      </c>
      <c r="B293" t="s">
        <v>185</v>
      </c>
      <c r="C293" t="str">
        <f t="shared" si="4"/>
        <v>ChileESPN 2</v>
      </c>
      <c r="D293" s="1">
        <v>329667</v>
      </c>
      <c r="E293" t="s">
        <v>149</v>
      </c>
    </row>
    <row r="294" spans="1:6" ht="15" hidden="1" customHeight="1" x14ac:dyDescent="0.25">
      <c r="A294" s="13" t="s">
        <v>37</v>
      </c>
      <c r="B294" t="s">
        <v>186</v>
      </c>
      <c r="C294" t="str">
        <f t="shared" si="4"/>
        <v>ChileESPN 3</v>
      </c>
      <c r="D294" s="1">
        <v>329667</v>
      </c>
      <c r="E294" t="s">
        <v>149</v>
      </c>
    </row>
    <row r="295" spans="1:6" ht="15" hidden="1" customHeight="1" x14ac:dyDescent="0.25">
      <c r="A295" s="13" t="s">
        <v>37</v>
      </c>
      <c r="B295" t="s">
        <v>189</v>
      </c>
      <c r="C295" t="str">
        <f t="shared" si="4"/>
        <v>ChileESPN HD</v>
      </c>
      <c r="D295" s="1">
        <v>329667</v>
      </c>
      <c r="E295" t="s">
        <v>149</v>
      </c>
    </row>
    <row r="296" spans="1:6" ht="15" hidden="1" customHeight="1" x14ac:dyDescent="0.25">
      <c r="A296" s="39" t="s">
        <v>37</v>
      </c>
      <c r="B296" t="s">
        <v>190</v>
      </c>
      <c r="C296" t="str">
        <f t="shared" si="4"/>
        <v>ChileESPN Internacional</v>
      </c>
      <c r="D296" s="1">
        <v>329667</v>
      </c>
      <c r="E296" t="s">
        <v>149</v>
      </c>
    </row>
    <row r="297" spans="1:6" ht="15" hidden="1" customHeight="1" x14ac:dyDescent="0.25">
      <c r="A297" s="13" t="s">
        <v>37</v>
      </c>
      <c r="B297" t="s">
        <v>192</v>
      </c>
      <c r="C297" t="str">
        <f t="shared" si="4"/>
        <v>ChileESPN+</v>
      </c>
      <c r="D297" s="1">
        <v>329667</v>
      </c>
      <c r="E297" t="s">
        <v>149</v>
      </c>
    </row>
    <row r="298" spans="1:6" ht="15" hidden="1" customHeight="1" x14ac:dyDescent="0.25">
      <c r="A298" s="113" t="s">
        <v>37</v>
      </c>
      <c r="B298" t="s">
        <v>505</v>
      </c>
      <c r="C298" t="str">
        <f t="shared" si="4"/>
        <v>ChileESPN2 Sur_Andina</v>
      </c>
      <c r="D298" s="1">
        <v>329667</v>
      </c>
      <c r="E298" t="s">
        <v>149</v>
      </c>
    </row>
    <row r="299" spans="1:6" ht="15" hidden="1" customHeight="1" x14ac:dyDescent="0.25">
      <c r="A299" s="13" t="s">
        <v>37</v>
      </c>
      <c r="B299" t="s">
        <v>194</v>
      </c>
      <c r="C299" t="str">
        <f t="shared" si="4"/>
        <v>ChileFox Sports</v>
      </c>
      <c r="D299">
        <v>1888424</v>
      </c>
      <c r="E299" t="s">
        <v>149</v>
      </c>
    </row>
    <row r="300" spans="1:6" ht="15" hidden="1" customHeight="1" x14ac:dyDescent="0.25">
      <c r="A300" s="13" t="s">
        <v>37</v>
      </c>
      <c r="B300" t="s">
        <v>195</v>
      </c>
      <c r="C300" t="str">
        <f t="shared" si="4"/>
        <v>ChileFox Sports 2</v>
      </c>
      <c r="D300" s="1">
        <v>287862</v>
      </c>
      <c r="E300" t="s">
        <v>149</v>
      </c>
      <c r="F300" t="s">
        <v>196</v>
      </c>
    </row>
    <row r="301" spans="1:6" ht="15" hidden="1" customHeight="1" x14ac:dyDescent="0.25">
      <c r="A301" s="13" t="s">
        <v>37</v>
      </c>
      <c r="B301" t="s">
        <v>197</v>
      </c>
      <c r="C301" t="str">
        <f t="shared" si="4"/>
        <v>ChileFox Sports 3</v>
      </c>
      <c r="D301" s="1">
        <v>1888424</v>
      </c>
      <c r="E301" t="s">
        <v>149</v>
      </c>
      <c r="F301" t="s">
        <v>198</v>
      </c>
    </row>
    <row r="302" spans="1:6" ht="15" hidden="1" customHeight="1" x14ac:dyDescent="0.25">
      <c r="A302" s="39" t="s">
        <v>37</v>
      </c>
      <c r="B302" t="s">
        <v>199</v>
      </c>
      <c r="C302" t="str">
        <f t="shared" si="4"/>
        <v>ChileFox Sports HD</v>
      </c>
      <c r="D302" s="1">
        <v>104326</v>
      </c>
      <c r="E302" t="s">
        <v>149</v>
      </c>
      <c r="F302" t="s">
        <v>200</v>
      </c>
    </row>
    <row r="303" spans="1:6" ht="15" hidden="1" customHeight="1" x14ac:dyDescent="0.25">
      <c r="A303" s="13" t="s">
        <v>38</v>
      </c>
      <c r="B303" t="s">
        <v>506</v>
      </c>
      <c r="C303" t="str">
        <f t="shared" si="4"/>
        <v>ChinaBeijing TV Sports Channel</v>
      </c>
      <c r="D303" s="1">
        <v>5391250</v>
      </c>
      <c r="E303" t="s">
        <v>142</v>
      </c>
      <c r="F303" t="s">
        <v>507</v>
      </c>
    </row>
    <row r="304" spans="1:6" ht="15" hidden="1" customHeight="1" x14ac:dyDescent="0.25">
      <c r="A304" s="13" t="s">
        <v>38</v>
      </c>
      <c r="B304" t="s">
        <v>508</v>
      </c>
      <c r="C304" t="str">
        <f t="shared" si="4"/>
        <v>ChinaCCTV</v>
      </c>
      <c r="D304" s="1">
        <v>393350661</v>
      </c>
      <c r="E304" t="s">
        <v>142</v>
      </c>
    </row>
    <row r="305" spans="1:6" ht="15" hidden="1" customHeight="1" x14ac:dyDescent="0.25">
      <c r="A305" s="13" t="s">
        <v>38</v>
      </c>
      <c r="B305" t="s">
        <v>509</v>
      </c>
      <c r="C305" t="str">
        <f t="shared" si="4"/>
        <v>ChinaCCTV - Golf &amp; Tennis</v>
      </c>
      <c r="D305" s="1">
        <v>108645000</v>
      </c>
      <c r="E305" t="s">
        <v>149</v>
      </c>
    </row>
    <row r="306" spans="1:6" ht="15" hidden="1" customHeight="1" x14ac:dyDescent="0.25">
      <c r="A306" s="13" t="s">
        <v>38</v>
      </c>
      <c r="B306" t="s">
        <v>510</v>
      </c>
      <c r="C306" t="str">
        <f t="shared" si="4"/>
        <v>ChinaCCTV Golf &amp; Tennis</v>
      </c>
      <c r="D306" s="1">
        <v>108645000</v>
      </c>
      <c r="E306" t="s">
        <v>149</v>
      </c>
    </row>
    <row r="307" spans="1:6" ht="15" hidden="1" customHeight="1" x14ac:dyDescent="0.25">
      <c r="A307" s="13" t="s">
        <v>38</v>
      </c>
      <c r="B307" t="s">
        <v>511</v>
      </c>
      <c r="C307" t="str">
        <f t="shared" si="4"/>
        <v>ChinaCCTV Golf &amp;Tennis</v>
      </c>
      <c r="D307" s="1">
        <v>108645000</v>
      </c>
      <c r="E307" t="s">
        <v>149</v>
      </c>
      <c r="F307" t="s">
        <v>512</v>
      </c>
    </row>
    <row r="308" spans="1:6" ht="15" hidden="1" customHeight="1" x14ac:dyDescent="0.25">
      <c r="A308" s="39" t="s">
        <v>38</v>
      </c>
      <c r="B308" t="s">
        <v>513</v>
      </c>
      <c r="C308" t="str">
        <f t="shared" si="4"/>
        <v>ChinaCCTV5</v>
      </c>
      <c r="D308" s="1">
        <v>393350661</v>
      </c>
      <c r="E308" t="s">
        <v>142</v>
      </c>
      <c r="F308" t="s">
        <v>514</v>
      </c>
    </row>
    <row r="309" spans="1:6" ht="15" hidden="1" customHeight="1" x14ac:dyDescent="0.25">
      <c r="A309" s="39" t="s">
        <v>38</v>
      </c>
      <c r="B309" s="40" t="s">
        <v>515</v>
      </c>
      <c r="C309" t="str">
        <f t="shared" si="4"/>
        <v>ChinaCCTV-5</v>
      </c>
      <c r="D309" s="1">
        <v>393350661</v>
      </c>
      <c r="E309" t="s">
        <v>142</v>
      </c>
      <c r="F309" t="s">
        <v>514</v>
      </c>
    </row>
    <row r="310" spans="1:6" ht="15" hidden="1" customHeight="1" x14ac:dyDescent="0.25">
      <c r="A310" s="39" t="s">
        <v>38</v>
      </c>
      <c r="B310" t="s">
        <v>516</v>
      </c>
      <c r="C310" t="str">
        <f t="shared" si="4"/>
        <v>ChinaCCTV5+</v>
      </c>
      <c r="D310" s="1">
        <v>98000000</v>
      </c>
      <c r="E310" t="s">
        <v>142</v>
      </c>
      <c r="F310" t="s">
        <v>326</v>
      </c>
    </row>
    <row r="311" spans="1:6" ht="15" hidden="1" customHeight="1" x14ac:dyDescent="0.25">
      <c r="A311" s="13" t="s">
        <v>38</v>
      </c>
      <c r="B311" t="s">
        <v>517</v>
      </c>
      <c r="C311" t="str">
        <f t="shared" si="4"/>
        <v>ChinaCCTV-5+</v>
      </c>
      <c r="D311" s="1">
        <v>98000000</v>
      </c>
      <c r="E311" t="s">
        <v>142</v>
      </c>
    </row>
    <row r="312" spans="1:6" ht="15" hidden="1" customHeight="1" x14ac:dyDescent="0.25">
      <c r="A312" s="39" t="s">
        <v>38</v>
      </c>
      <c r="B312" t="s">
        <v>518</v>
      </c>
      <c r="C312" t="str">
        <f t="shared" si="4"/>
        <v>ChinaCCTV-5+ Sports Competition</v>
      </c>
      <c r="D312" s="1">
        <v>98000000</v>
      </c>
      <c r="E312" t="s">
        <v>142</v>
      </c>
    </row>
    <row r="313" spans="1:6" ht="15" hidden="1" customHeight="1" x14ac:dyDescent="0.25">
      <c r="A313" s="13" t="s">
        <v>38</v>
      </c>
      <c r="B313" t="s">
        <v>519</v>
      </c>
      <c r="C313" t="str">
        <f t="shared" si="4"/>
        <v>ChinaCCTV5+ Sports Competition Channel</v>
      </c>
      <c r="D313" s="1">
        <v>98000000</v>
      </c>
      <c r="E313" t="s">
        <v>142</v>
      </c>
      <c r="F313" t="s">
        <v>326</v>
      </c>
    </row>
    <row r="314" spans="1:6" ht="15" hidden="1" customHeight="1" x14ac:dyDescent="0.25">
      <c r="A314" s="13" t="s">
        <v>38</v>
      </c>
      <c r="B314" t="s">
        <v>520</v>
      </c>
      <c r="C314" t="str">
        <f t="shared" si="4"/>
        <v>ChinaDalian TV 4</v>
      </c>
      <c r="D314" s="1">
        <v>5198300</v>
      </c>
      <c r="E314" t="s">
        <v>142</v>
      </c>
      <c r="F314" t="s">
        <v>521</v>
      </c>
    </row>
    <row r="315" spans="1:6" ht="15" hidden="1" customHeight="1" x14ac:dyDescent="0.25">
      <c r="A315" s="13" t="s">
        <v>38</v>
      </c>
      <c r="B315" t="s">
        <v>522</v>
      </c>
      <c r="C315" t="str">
        <f t="shared" si="4"/>
        <v>ChinaDalian TV4</v>
      </c>
      <c r="D315" s="1">
        <v>5198300</v>
      </c>
      <c r="E315" t="s">
        <v>142</v>
      </c>
      <c r="F315" t="s">
        <v>521</v>
      </c>
    </row>
    <row r="316" spans="1:6" ht="15" hidden="1" customHeight="1" x14ac:dyDescent="0.25">
      <c r="A316" t="s">
        <v>38</v>
      </c>
      <c r="B316" t="s">
        <v>523</v>
      </c>
      <c r="C316" t="str">
        <f t="shared" si="4"/>
        <v>ChinaDalian TV4(Entertainment Sports Channel)</v>
      </c>
      <c r="D316" s="1">
        <v>5198300</v>
      </c>
      <c r="E316" t="s">
        <v>142</v>
      </c>
      <c r="F316" t="s">
        <v>521</v>
      </c>
    </row>
    <row r="317" spans="1:6" ht="15" hidden="1" customHeight="1" x14ac:dyDescent="0.25">
      <c r="A317" t="s">
        <v>38</v>
      </c>
      <c r="B317" t="s">
        <v>524</v>
      </c>
      <c r="C317" t="str">
        <f t="shared" si="4"/>
        <v>ChinaFJTV8</v>
      </c>
      <c r="D317" s="1">
        <v>32885200</v>
      </c>
      <c r="E317" t="s">
        <v>142</v>
      </c>
      <c r="F317" t="s">
        <v>525</v>
      </c>
    </row>
    <row r="318" spans="1:6" ht="15" hidden="1" customHeight="1" x14ac:dyDescent="0.25">
      <c r="A318" s="13" t="s">
        <v>38</v>
      </c>
      <c r="B318" t="s">
        <v>526</v>
      </c>
      <c r="C318" t="str">
        <f t="shared" si="4"/>
        <v>ChinaFujian TV</v>
      </c>
      <c r="D318" s="1">
        <v>32885200</v>
      </c>
      <c r="E318" t="s">
        <v>142</v>
      </c>
      <c r="F318" t="s">
        <v>525</v>
      </c>
    </row>
    <row r="319" spans="1:6" ht="15" hidden="1" customHeight="1" x14ac:dyDescent="0.25">
      <c r="A319" s="13" t="s">
        <v>38</v>
      </c>
      <c r="B319" t="s">
        <v>477</v>
      </c>
      <c r="C319" t="str">
        <f t="shared" si="4"/>
        <v>ChinaGolf Channel</v>
      </c>
      <c r="D319" s="114">
        <v>3248487</v>
      </c>
      <c r="E319" t="s">
        <v>149</v>
      </c>
      <c r="F319" t="s">
        <v>527</v>
      </c>
    </row>
    <row r="320" spans="1:6" ht="15" hidden="1" customHeight="1" x14ac:dyDescent="0.25">
      <c r="A320" s="39" t="s">
        <v>38</v>
      </c>
      <c r="B320" t="s">
        <v>528</v>
      </c>
      <c r="C320" t="str">
        <f t="shared" si="4"/>
        <v>ChinaGreat Sports</v>
      </c>
      <c r="D320" s="1">
        <v>6080000</v>
      </c>
      <c r="E320" t="s">
        <v>149</v>
      </c>
    </row>
    <row r="321" spans="1:6" ht="15" hidden="1" customHeight="1" x14ac:dyDescent="0.25">
      <c r="A321" s="214" t="s">
        <v>38</v>
      </c>
      <c r="B321" s="147" t="s">
        <v>529</v>
      </c>
      <c r="C321" s="11" t="str">
        <f t="shared" si="4"/>
        <v>ChinaGRT Sports</v>
      </c>
      <c r="D321" s="1">
        <v>29130605</v>
      </c>
      <c r="E321" t="s">
        <v>142</v>
      </c>
      <c r="F321" s="11"/>
    </row>
    <row r="322" spans="1:6" ht="15" hidden="1" customHeight="1" x14ac:dyDescent="0.25">
      <c r="A322" s="215" t="s">
        <v>38</v>
      </c>
      <c r="B322" s="159" t="s">
        <v>530</v>
      </c>
      <c r="C322" s="159" t="str">
        <f t="shared" ref="C322:C385" si="5">CONCATENATE(A322,B322)</f>
        <v>ChinaGuangdong Golf Channel</v>
      </c>
      <c r="D322" s="1">
        <v>29130605</v>
      </c>
      <c r="E322" t="s">
        <v>142</v>
      </c>
      <c r="F322" s="159"/>
    </row>
    <row r="323" spans="1:6" ht="15" hidden="1" customHeight="1" x14ac:dyDescent="0.25">
      <c r="A323" s="39" t="s">
        <v>38</v>
      </c>
      <c r="B323" t="s">
        <v>531</v>
      </c>
      <c r="C323" t="str">
        <f t="shared" si="5"/>
        <v>ChinaGuangdong Sports</v>
      </c>
      <c r="D323" s="1">
        <v>29130605</v>
      </c>
      <c r="E323" t="s">
        <v>142</v>
      </c>
      <c r="F323" t="s">
        <v>532</v>
      </c>
    </row>
    <row r="324" spans="1:6" ht="15" hidden="1" customHeight="1" x14ac:dyDescent="0.25">
      <c r="A324" t="s">
        <v>38</v>
      </c>
      <c r="B324" t="s">
        <v>533</v>
      </c>
      <c r="C324" t="str">
        <f t="shared" si="5"/>
        <v>ChinaGuangdong TV Sports Channel</v>
      </c>
      <c r="D324" s="1">
        <v>29130605</v>
      </c>
      <c r="E324" t="s">
        <v>142</v>
      </c>
      <c r="F324" t="s">
        <v>532</v>
      </c>
    </row>
    <row r="325" spans="1:6" ht="15" hidden="1" customHeight="1" x14ac:dyDescent="0.25">
      <c r="A325" s="13" t="s">
        <v>38</v>
      </c>
      <c r="B325" t="s">
        <v>534</v>
      </c>
      <c r="C325" t="str">
        <f t="shared" si="5"/>
        <v>ChinaHangzhou TV 5</v>
      </c>
      <c r="D325" s="1">
        <v>29200000</v>
      </c>
      <c r="E325" t="s">
        <v>142</v>
      </c>
      <c r="F325" t="s">
        <v>535</v>
      </c>
    </row>
    <row r="326" spans="1:6" ht="15" hidden="1" customHeight="1" x14ac:dyDescent="0.25">
      <c r="A326" t="s">
        <v>38</v>
      </c>
      <c r="B326" t="s">
        <v>536</v>
      </c>
      <c r="C326" t="str">
        <f t="shared" si="5"/>
        <v>ChinaiQIYI</v>
      </c>
      <c r="D326" s="1">
        <v>48129428</v>
      </c>
      <c r="E326" t="s">
        <v>149</v>
      </c>
      <c r="F326" t="s">
        <v>537</v>
      </c>
    </row>
    <row r="327" spans="1:6" ht="15" hidden="1" customHeight="1" x14ac:dyDescent="0.25">
      <c r="A327" s="13" t="s">
        <v>38</v>
      </c>
      <c r="B327" t="s">
        <v>538</v>
      </c>
      <c r="C327" t="str">
        <f t="shared" si="5"/>
        <v>ChinaJiangsu Sports</v>
      </c>
      <c r="D327" s="1">
        <v>28929000</v>
      </c>
      <c r="E327" t="s">
        <v>142</v>
      </c>
      <c r="F327" t="s">
        <v>539</v>
      </c>
    </row>
    <row r="328" spans="1:6" ht="15" hidden="1" customHeight="1" x14ac:dyDescent="0.25">
      <c r="A328" t="s">
        <v>38</v>
      </c>
      <c r="B328" t="s">
        <v>540</v>
      </c>
      <c r="C328" t="str">
        <f t="shared" si="5"/>
        <v>ChinaJiangsu TV Sports Recreation Channel</v>
      </c>
      <c r="D328" s="1">
        <v>28929000</v>
      </c>
      <c r="E328" t="s">
        <v>142</v>
      </c>
      <c r="F328" t="s">
        <v>539</v>
      </c>
    </row>
    <row r="329" spans="1:6" ht="15" hidden="1" customHeight="1" x14ac:dyDescent="0.25">
      <c r="A329" s="13" t="s">
        <v>38</v>
      </c>
      <c r="B329" t="s">
        <v>541</v>
      </c>
      <c r="C329" t="str">
        <f t="shared" si="5"/>
        <v>ChinaLeTV</v>
      </c>
      <c r="D329" s="1">
        <v>80000000</v>
      </c>
      <c r="E329" t="s">
        <v>149</v>
      </c>
      <c r="F329" t="s">
        <v>542</v>
      </c>
    </row>
    <row r="330" spans="1:6" ht="15" hidden="1" customHeight="1" x14ac:dyDescent="0.25">
      <c r="A330" s="13" t="s">
        <v>38</v>
      </c>
      <c r="B330" t="s">
        <v>543</v>
      </c>
      <c r="C330" t="str">
        <f t="shared" si="5"/>
        <v>ChinaShandong TV Sports</v>
      </c>
      <c r="D330" s="1">
        <v>6080000</v>
      </c>
      <c r="E330" t="s">
        <v>149</v>
      </c>
      <c r="F330" t="s">
        <v>544</v>
      </c>
    </row>
    <row r="331" spans="1:6" ht="15" hidden="1" customHeight="1" x14ac:dyDescent="0.25">
      <c r="A331" t="s">
        <v>38</v>
      </c>
      <c r="B331" t="s">
        <v>545</v>
      </c>
      <c r="C331" t="str">
        <f t="shared" si="5"/>
        <v>ChinaShangdong Sports</v>
      </c>
      <c r="D331" s="1">
        <v>6080000</v>
      </c>
      <c r="E331" t="s">
        <v>149</v>
      </c>
      <c r="F331" t="s">
        <v>544</v>
      </c>
    </row>
    <row r="332" spans="1:6" ht="15" hidden="1" customHeight="1" x14ac:dyDescent="0.25">
      <c r="A332" s="13" t="s">
        <v>38</v>
      </c>
      <c r="B332" t="s">
        <v>546</v>
      </c>
      <c r="C332" t="str">
        <f t="shared" si="5"/>
        <v>ChinaShanghai Star Sports</v>
      </c>
      <c r="D332" s="1">
        <v>6080000</v>
      </c>
      <c r="E332" t="s">
        <v>149</v>
      </c>
      <c r="F332" t="s">
        <v>544</v>
      </c>
    </row>
    <row r="333" spans="1:6" ht="15" hidden="1" customHeight="1" x14ac:dyDescent="0.25">
      <c r="A333" t="s">
        <v>38</v>
      </c>
      <c r="B333" t="s">
        <v>547</v>
      </c>
      <c r="C333" t="str">
        <f t="shared" si="5"/>
        <v>ChinaShanghai TV Great Sports Channel</v>
      </c>
      <c r="D333" s="1">
        <v>6080000</v>
      </c>
      <c r="E333" t="s">
        <v>149</v>
      </c>
      <c r="F333" t="s">
        <v>544</v>
      </c>
    </row>
    <row r="334" spans="1:6" ht="15" hidden="1" customHeight="1" x14ac:dyDescent="0.25">
      <c r="A334" s="13" t="s">
        <v>38</v>
      </c>
      <c r="B334" t="s">
        <v>548</v>
      </c>
      <c r="C334" t="str">
        <f t="shared" si="5"/>
        <v>ChinaStar Sports 1</v>
      </c>
      <c r="D334" s="131">
        <v>6080000</v>
      </c>
      <c r="E334" s="42" t="s">
        <v>149</v>
      </c>
    </row>
    <row r="335" spans="1:6" ht="15" hidden="1" customHeight="1" x14ac:dyDescent="0.25">
      <c r="A335" s="39" t="s">
        <v>38</v>
      </c>
      <c r="B335" t="s">
        <v>549</v>
      </c>
      <c r="C335" t="str">
        <f t="shared" si="5"/>
        <v>ChinaStar Sports 2</v>
      </c>
      <c r="D335" s="131">
        <v>6080000</v>
      </c>
      <c r="E335" s="42" t="s">
        <v>149</v>
      </c>
    </row>
    <row r="336" spans="1:6" ht="15" hidden="1" customHeight="1" x14ac:dyDescent="0.25">
      <c r="A336" s="13" t="s">
        <v>38</v>
      </c>
      <c r="B336" t="s">
        <v>550</v>
      </c>
      <c r="C336" t="str">
        <f t="shared" si="5"/>
        <v>ChinaTianjin TV5 (Sports Channel)</v>
      </c>
      <c r="D336" s="1">
        <v>22355000</v>
      </c>
      <c r="E336" t="s">
        <v>142</v>
      </c>
      <c r="F336" t="s">
        <v>551</v>
      </c>
    </row>
    <row r="337" spans="1:6" ht="15" hidden="1" customHeight="1" x14ac:dyDescent="0.25">
      <c r="A337" s="39" t="s">
        <v>38</v>
      </c>
      <c r="B337" s="40" t="s">
        <v>552</v>
      </c>
      <c r="C337" t="str">
        <f t="shared" si="5"/>
        <v>ChinaTianjin TV5(Sports Channel)</v>
      </c>
      <c r="D337" s="1">
        <v>22355000</v>
      </c>
      <c r="E337" t="s">
        <v>142</v>
      </c>
      <c r="F337" t="s">
        <v>551</v>
      </c>
    </row>
    <row r="338" spans="1:6" ht="15" hidden="1" customHeight="1" x14ac:dyDescent="0.25">
      <c r="A338" s="13" t="s">
        <v>38</v>
      </c>
      <c r="B338" t="s">
        <v>553</v>
      </c>
      <c r="C338" t="str">
        <f t="shared" si="5"/>
        <v>ChinaTravel Channel</v>
      </c>
      <c r="D338" s="1">
        <v>269765505</v>
      </c>
      <c r="E338" t="s">
        <v>142</v>
      </c>
      <c r="F338" s="16">
        <v>0.621</v>
      </c>
    </row>
    <row r="339" spans="1:6" ht="15" hidden="1" customHeight="1" x14ac:dyDescent="0.25">
      <c r="A339" s="13" t="s">
        <v>39</v>
      </c>
      <c r="B339" t="s">
        <v>554</v>
      </c>
      <c r="C339" t="str">
        <f t="shared" si="5"/>
        <v>ColombiaClaro Sports</v>
      </c>
      <c r="D339" s="1">
        <v>1952210</v>
      </c>
      <c r="E339" t="s">
        <v>149</v>
      </c>
    </row>
    <row r="340" spans="1:6" ht="15" hidden="1" customHeight="1" x14ac:dyDescent="0.25">
      <c r="A340" s="13" t="s">
        <v>39</v>
      </c>
      <c r="B340" t="s">
        <v>183</v>
      </c>
      <c r="C340" t="str">
        <f t="shared" si="5"/>
        <v>ColombiaESPN</v>
      </c>
      <c r="D340" s="1">
        <v>6008887</v>
      </c>
      <c r="E340" t="s">
        <v>149</v>
      </c>
    </row>
    <row r="341" spans="1:6" ht="15" hidden="1" customHeight="1" x14ac:dyDescent="0.25">
      <c r="A341" s="13" t="s">
        <v>39</v>
      </c>
      <c r="B341" t="s">
        <v>185</v>
      </c>
      <c r="C341" t="str">
        <f t="shared" si="5"/>
        <v>ColombiaESPN 2</v>
      </c>
      <c r="D341" s="1">
        <v>6008887</v>
      </c>
      <c r="E341" t="s">
        <v>149</v>
      </c>
    </row>
    <row r="342" spans="1:6" ht="15" hidden="1" customHeight="1" x14ac:dyDescent="0.25">
      <c r="A342" s="39" t="s">
        <v>39</v>
      </c>
      <c r="B342" t="s">
        <v>186</v>
      </c>
      <c r="C342" t="str">
        <f t="shared" si="5"/>
        <v>ColombiaESPN 3</v>
      </c>
      <c r="D342" s="1">
        <v>6008887</v>
      </c>
      <c r="E342" t="s">
        <v>149</v>
      </c>
    </row>
    <row r="343" spans="1:6" ht="15" hidden="1" customHeight="1" x14ac:dyDescent="0.25">
      <c r="A343" s="39" t="s">
        <v>39</v>
      </c>
      <c r="B343" t="s">
        <v>189</v>
      </c>
      <c r="C343" t="str">
        <f t="shared" si="5"/>
        <v>ColombiaESPN HD</v>
      </c>
      <c r="D343" s="1">
        <v>6008887</v>
      </c>
      <c r="E343" t="s">
        <v>149</v>
      </c>
    </row>
    <row r="344" spans="1:6" ht="15" hidden="1" customHeight="1" x14ac:dyDescent="0.25">
      <c r="A344" s="13" t="s">
        <v>39</v>
      </c>
      <c r="B344" t="s">
        <v>190</v>
      </c>
      <c r="C344" t="str">
        <f t="shared" si="5"/>
        <v>ColombiaESPN Internacional</v>
      </c>
      <c r="D344" s="1">
        <v>6008887</v>
      </c>
      <c r="E344" t="s">
        <v>149</v>
      </c>
    </row>
    <row r="345" spans="1:6" ht="15" hidden="1" customHeight="1" x14ac:dyDescent="0.25">
      <c r="A345" s="13" t="s">
        <v>39</v>
      </c>
      <c r="B345" t="s">
        <v>192</v>
      </c>
      <c r="C345" t="str">
        <f t="shared" si="5"/>
        <v>ColombiaESPN+</v>
      </c>
      <c r="D345" s="1">
        <v>6008887</v>
      </c>
      <c r="E345" t="s">
        <v>149</v>
      </c>
    </row>
    <row r="346" spans="1:6" ht="15" hidden="1" customHeight="1" x14ac:dyDescent="0.25">
      <c r="A346" s="13" t="s">
        <v>39</v>
      </c>
      <c r="B346" t="s">
        <v>555</v>
      </c>
      <c r="C346" t="str">
        <f t="shared" si="5"/>
        <v>ColombiaESPN2 Colombia</v>
      </c>
      <c r="D346" s="1">
        <v>6008887</v>
      </c>
      <c r="E346" t="s">
        <v>149</v>
      </c>
    </row>
    <row r="347" spans="1:6" ht="15" hidden="1" customHeight="1" x14ac:dyDescent="0.25">
      <c r="A347" s="13" t="s">
        <v>39</v>
      </c>
      <c r="B347" t="s">
        <v>194</v>
      </c>
      <c r="C347" t="str">
        <f t="shared" si="5"/>
        <v>ColombiaFox Sports</v>
      </c>
      <c r="D347">
        <v>4882936</v>
      </c>
      <c r="E347" t="s">
        <v>149</v>
      </c>
    </row>
    <row r="348" spans="1:6" ht="15" hidden="1" customHeight="1" x14ac:dyDescent="0.25">
      <c r="A348" s="39" t="s">
        <v>39</v>
      </c>
      <c r="B348" t="s">
        <v>195</v>
      </c>
      <c r="C348" t="str">
        <f t="shared" si="5"/>
        <v>ColombiaFox Sports 2</v>
      </c>
      <c r="D348" s="1">
        <v>5235968</v>
      </c>
      <c r="E348" t="s">
        <v>149</v>
      </c>
      <c r="F348" t="s">
        <v>196</v>
      </c>
    </row>
    <row r="349" spans="1:6" ht="15" hidden="1" customHeight="1" x14ac:dyDescent="0.25">
      <c r="A349" s="13" t="s">
        <v>39</v>
      </c>
      <c r="B349" t="s">
        <v>197</v>
      </c>
      <c r="C349" t="str">
        <f t="shared" si="5"/>
        <v>ColombiaFox Sports 3</v>
      </c>
      <c r="D349" s="1">
        <v>4882936</v>
      </c>
      <c r="E349" t="s">
        <v>149</v>
      </c>
      <c r="F349" t="s">
        <v>198</v>
      </c>
    </row>
    <row r="350" spans="1:6" ht="15" hidden="1" customHeight="1" x14ac:dyDescent="0.25">
      <c r="A350" s="13" t="s">
        <v>39</v>
      </c>
      <c r="B350" t="s">
        <v>199</v>
      </c>
      <c r="C350" t="str">
        <f t="shared" si="5"/>
        <v>ColombiaFox Sports HD</v>
      </c>
      <c r="D350" s="1">
        <v>936740</v>
      </c>
      <c r="E350" t="s">
        <v>149</v>
      </c>
      <c r="F350" t="s">
        <v>200</v>
      </c>
    </row>
    <row r="351" spans="1:6" ht="15" hidden="1" customHeight="1" x14ac:dyDescent="0.25">
      <c r="A351" s="13" t="s">
        <v>556</v>
      </c>
      <c r="B351" t="s">
        <v>557</v>
      </c>
      <c r="C351" t="str">
        <f t="shared" si="5"/>
        <v>Cook IslandsCITV</v>
      </c>
      <c r="D351" s="1">
        <v>2507.1</v>
      </c>
      <c r="E351" t="s">
        <v>142</v>
      </c>
      <c r="F351" t="s">
        <v>322</v>
      </c>
    </row>
    <row r="352" spans="1:6" ht="15" hidden="1" customHeight="1" x14ac:dyDescent="0.25">
      <c r="A352" s="13" t="s">
        <v>40</v>
      </c>
      <c r="B352" t="s">
        <v>183</v>
      </c>
      <c r="C352" t="str">
        <f t="shared" si="5"/>
        <v>Costa RicaESPN</v>
      </c>
      <c r="D352" s="1">
        <v>819341</v>
      </c>
      <c r="E352" t="s">
        <v>149</v>
      </c>
    </row>
    <row r="353" spans="1:6" ht="15" hidden="1" customHeight="1" x14ac:dyDescent="0.25">
      <c r="A353" s="13" t="s">
        <v>40</v>
      </c>
      <c r="B353" t="s">
        <v>185</v>
      </c>
      <c r="C353" t="str">
        <f t="shared" si="5"/>
        <v>Costa RicaESPN 2</v>
      </c>
      <c r="D353" s="1">
        <v>819341</v>
      </c>
      <c r="E353" t="s">
        <v>149</v>
      </c>
    </row>
    <row r="354" spans="1:6" ht="15" hidden="1" customHeight="1" x14ac:dyDescent="0.25">
      <c r="A354" s="13" t="s">
        <v>40</v>
      </c>
      <c r="B354" t="s">
        <v>186</v>
      </c>
      <c r="C354" t="str">
        <f t="shared" si="5"/>
        <v>Costa RicaESPN 3</v>
      </c>
      <c r="D354" s="1">
        <v>819341</v>
      </c>
      <c r="E354" t="s">
        <v>149</v>
      </c>
    </row>
    <row r="355" spans="1:6" ht="15" hidden="1" customHeight="1" x14ac:dyDescent="0.25">
      <c r="A355" s="39" t="s">
        <v>40</v>
      </c>
      <c r="B355" t="s">
        <v>189</v>
      </c>
      <c r="C355" t="str">
        <f t="shared" si="5"/>
        <v>Costa RicaESPN HD</v>
      </c>
      <c r="D355" s="1">
        <v>819341</v>
      </c>
      <c r="E355" t="s">
        <v>149</v>
      </c>
    </row>
    <row r="356" spans="1:6" ht="15" hidden="1" customHeight="1" x14ac:dyDescent="0.25">
      <c r="A356" s="13" t="s">
        <v>40</v>
      </c>
      <c r="B356" t="s">
        <v>190</v>
      </c>
      <c r="C356" t="str">
        <f t="shared" si="5"/>
        <v>Costa RicaESPN Internacional</v>
      </c>
      <c r="D356" s="1">
        <v>819341</v>
      </c>
      <c r="E356" t="s">
        <v>149</v>
      </c>
    </row>
    <row r="357" spans="1:6" ht="15" hidden="1" customHeight="1" x14ac:dyDescent="0.25">
      <c r="A357" s="13" t="s">
        <v>40</v>
      </c>
      <c r="B357" t="s">
        <v>192</v>
      </c>
      <c r="C357" t="str">
        <f t="shared" si="5"/>
        <v>Costa RicaESPN+</v>
      </c>
      <c r="D357" s="1">
        <v>819341</v>
      </c>
      <c r="E357" t="s">
        <v>149</v>
      </c>
    </row>
    <row r="358" spans="1:6" ht="15" hidden="1" customHeight="1" x14ac:dyDescent="0.25">
      <c r="A358" s="13" t="s">
        <v>40</v>
      </c>
      <c r="B358" t="s">
        <v>558</v>
      </c>
      <c r="C358" t="str">
        <f t="shared" si="5"/>
        <v>Costa RicaSky</v>
      </c>
      <c r="D358" s="1">
        <v>82000</v>
      </c>
      <c r="E358" s="51" t="s">
        <v>149</v>
      </c>
      <c r="F358" t="s">
        <v>559</v>
      </c>
    </row>
    <row r="359" spans="1:6" ht="15" hidden="1" customHeight="1" x14ac:dyDescent="0.25">
      <c r="A359" s="13" t="s">
        <v>41</v>
      </c>
      <c r="B359" t="s">
        <v>560</v>
      </c>
      <c r="C359" t="str">
        <f t="shared" si="5"/>
        <v>CroatiaArena Sport 1</v>
      </c>
      <c r="D359">
        <v>369000</v>
      </c>
      <c r="E359" t="s">
        <v>149</v>
      </c>
    </row>
    <row r="360" spans="1:6" ht="15" hidden="1" customHeight="1" x14ac:dyDescent="0.25">
      <c r="A360" s="13" t="s">
        <v>41</v>
      </c>
      <c r="B360" t="s">
        <v>561</v>
      </c>
      <c r="C360" t="str">
        <f t="shared" si="5"/>
        <v>CroatiaArena Sport 2</v>
      </c>
      <c r="D360" s="1">
        <v>369000</v>
      </c>
      <c r="E360" t="s">
        <v>149</v>
      </c>
      <c r="F360" t="s">
        <v>562</v>
      </c>
    </row>
    <row r="361" spans="1:6" ht="15" hidden="1" customHeight="1" x14ac:dyDescent="0.25">
      <c r="A361" t="s">
        <v>41</v>
      </c>
      <c r="B361" t="s">
        <v>563</v>
      </c>
      <c r="C361" t="str">
        <f t="shared" si="5"/>
        <v>CroatiaArena Sport 4</v>
      </c>
      <c r="D361" s="1">
        <v>369000</v>
      </c>
      <c r="E361" t="s">
        <v>149</v>
      </c>
      <c r="F361" t="s">
        <v>562</v>
      </c>
    </row>
    <row r="362" spans="1:6" ht="15" hidden="1" customHeight="1" x14ac:dyDescent="0.25">
      <c r="A362" s="49" t="s">
        <v>41</v>
      </c>
      <c r="B362" s="49" t="s">
        <v>564</v>
      </c>
      <c r="C362" t="str">
        <f t="shared" si="5"/>
        <v>CroatiaArena Sport 5</v>
      </c>
      <c r="D362" s="1">
        <v>369000</v>
      </c>
      <c r="E362" t="s">
        <v>149</v>
      </c>
      <c r="F362" t="s">
        <v>562</v>
      </c>
    </row>
    <row r="363" spans="1:6" ht="15" hidden="1" customHeight="1" x14ac:dyDescent="0.25">
      <c r="A363" s="13" t="s">
        <v>41</v>
      </c>
      <c r="B363" t="s">
        <v>565</v>
      </c>
      <c r="C363" t="str">
        <f t="shared" si="5"/>
        <v>CroatiaArena Sport 6</v>
      </c>
      <c r="D363">
        <v>369000</v>
      </c>
      <c r="E363" t="s">
        <v>149</v>
      </c>
    </row>
    <row r="364" spans="1:6" ht="15" hidden="1" customHeight="1" x14ac:dyDescent="0.25">
      <c r="A364" s="207" t="s">
        <v>41</v>
      </c>
      <c r="B364" s="11" t="s">
        <v>268</v>
      </c>
      <c r="C364" s="11" t="str">
        <f t="shared" si="5"/>
        <v>CroatiaEurosport 1</v>
      </c>
      <c r="D364" s="1">
        <v>721000</v>
      </c>
      <c r="E364" s="3" t="s">
        <v>149</v>
      </c>
      <c r="F364" s="11"/>
    </row>
    <row r="365" spans="1:6" ht="15" hidden="1" customHeight="1" x14ac:dyDescent="0.25">
      <c r="A365" s="13" t="s">
        <v>41</v>
      </c>
      <c r="B365" t="s">
        <v>269</v>
      </c>
      <c r="C365" t="str">
        <f t="shared" si="5"/>
        <v>CroatiaEurosport 2</v>
      </c>
      <c r="D365" s="1">
        <v>614000</v>
      </c>
      <c r="E365" t="s">
        <v>149</v>
      </c>
    </row>
    <row r="366" spans="1:6" ht="15" hidden="1" customHeight="1" x14ac:dyDescent="0.25">
      <c r="A366" s="33" t="s">
        <v>41</v>
      </c>
      <c r="B366" s="35" t="s">
        <v>566</v>
      </c>
      <c r="C366" t="str">
        <f t="shared" si="5"/>
        <v>CroatiaHRT1</v>
      </c>
      <c r="D366" s="1">
        <v>1494829.92</v>
      </c>
      <c r="E366" t="s">
        <v>142</v>
      </c>
    </row>
    <row r="367" spans="1:6" ht="15" hidden="1" customHeight="1" x14ac:dyDescent="0.25">
      <c r="A367" s="13" t="s">
        <v>41</v>
      </c>
      <c r="B367" t="s">
        <v>567</v>
      </c>
      <c r="C367" t="str">
        <f t="shared" si="5"/>
        <v>CroatiaHTV</v>
      </c>
      <c r="D367" s="1">
        <v>1494829.92</v>
      </c>
      <c r="E367" s="57" t="s">
        <v>142</v>
      </c>
      <c r="F367" t="s">
        <v>341</v>
      </c>
    </row>
    <row r="368" spans="1:6" ht="15" hidden="1" customHeight="1" x14ac:dyDescent="0.25">
      <c r="A368" s="202" t="s">
        <v>41</v>
      </c>
      <c r="B368" s="175" t="s">
        <v>568</v>
      </c>
      <c r="C368" s="175" t="str">
        <f t="shared" si="5"/>
        <v>CroatiaHTV 2</v>
      </c>
      <c r="D368" s="176">
        <v>1493320</v>
      </c>
      <c r="E368" s="175" t="s">
        <v>142</v>
      </c>
      <c r="F368" s="175"/>
    </row>
    <row r="369" spans="1:6" ht="15" hidden="1" customHeight="1" x14ac:dyDescent="0.25">
      <c r="A369" s="13" t="s">
        <v>41</v>
      </c>
      <c r="B369" t="s">
        <v>569</v>
      </c>
      <c r="C369" t="str">
        <f t="shared" si="5"/>
        <v>CroatiaHTV 3</v>
      </c>
      <c r="D369" s="1">
        <v>1394000</v>
      </c>
      <c r="E369" s="51" t="s">
        <v>142</v>
      </c>
      <c r="F369" t="s">
        <v>341</v>
      </c>
    </row>
    <row r="370" spans="1:6" ht="15" hidden="1" customHeight="1" x14ac:dyDescent="0.25">
      <c r="A370" s="13" t="s">
        <v>41</v>
      </c>
      <c r="B370" s="41" t="s">
        <v>570</v>
      </c>
      <c r="C370" t="str">
        <f t="shared" si="5"/>
        <v>CroatiaHTV2</v>
      </c>
      <c r="D370" s="1">
        <v>1493320</v>
      </c>
      <c r="E370" t="s">
        <v>142</v>
      </c>
      <c r="F370" t="s">
        <v>341</v>
      </c>
    </row>
    <row r="371" spans="1:6" ht="15" hidden="1" customHeight="1" x14ac:dyDescent="0.25">
      <c r="A371" t="s">
        <v>41</v>
      </c>
      <c r="B371" t="s">
        <v>571</v>
      </c>
      <c r="C371" t="str">
        <f t="shared" si="5"/>
        <v>CroatiaRTL 2</v>
      </c>
      <c r="D371" s="1">
        <v>4045000</v>
      </c>
      <c r="E371" t="s">
        <v>142</v>
      </c>
      <c r="F371" t="s">
        <v>572</v>
      </c>
    </row>
    <row r="372" spans="1:6" ht="15" hidden="1" customHeight="1" x14ac:dyDescent="0.25">
      <c r="A372" s="13" t="s">
        <v>41</v>
      </c>
      <c r="B372" t="s">
        <v>396</v>
      </c>
      <c r="C372" t="str">
        <f t="shared" si="5"/>
        <v>CroatiaSport Klub 1</v>
      </c>
      <c r="D372" s="1">
        <v>250000</v>
      </c>
      <c r="E372" t="s">
        <v>149</v>
      </c>
      <c r="F372" t="s">
        <v>393</v>
      </c>
    </row>
    <row r="373" spans="1:6" ht="15" hidden="1" customHeight="1" x14ac:dyDescent="0.25">
      <c r="A373" s="202" t="s">
        <v>41</v>
      </c>
      <c r="B373" s="175" t="s">
        <v>397</v>
      </c>
      <c r="C373" s="175" t="str">
        <f t="shared" si="5"/>
        <v>CroatiaSport Klub 10</v>
      </c>
      <c r="D373" s="176">
        <v>250000</v>
      </c>
      <c r="E373" s="175" t="s">
        <v>149</v>
      </c>
      <c r="F373" s="175"/>
    </row>
    <row r="374" spans="1:6" ht="15" hidden="1" customHeight="1" x14ac:dyDescent="0.25">
      <c r="A374" s="13" t="s">
        <v>41</v>
      </c>
      <c r="B374" t="s">
        <v>398</v>
      </c>
      <c r="C374" t="str">
        <f t="shared" si="5"/>
        <v>CroatiaSport Klub 2</v>
      </c>
      <c r="D374" s="1">
        <v>250000</v>
      </c>
      <c r="E374" t="s">
        <v>149</v>
      </c>
      <c r="F374" t="s">
        <v>393</v>
      </c>
    </row>
    <row r="375" spans="1:6" ht="15" hidden="1" customHeight="1" x14ac:dyDescent="0.25">
      <c r="A375" s="13" t="s">
        <v>41</v>
      </c>
      <c r="B375" t="s">
        <v>399</v>
      </c>
      <c r="C375" t="str">
        <f t="shared" si="5"/>
        <v>CroatiaSport Klub 3</v>
      </c>
      <c r="D375" s="1">
        <v>250000</v>
      </c>
      <c r="E375" t="s">
        <v>149</v>
      </c>
      <c r="F375" t="s">
        <v>393</v>
      </c>
    </row>
    <row r="376" spans="1:6" ht="15" hidden="1" customHeight="1" x14ac:dyDescent="0.25">
      <c r="A376" s="39" t="s">
        <v>41</v>
      </c>
      <c r="B376" t="s">
        <v>400</v>
      </c>
      <c r="C376" t="str">
        <f t="shared" si="5"/>
        <v>CroatiaSport Klub 4</v>
      </c>
      <c r="D376" s="1">
        <v>250000</v>
      </c>
      <c r="E376" t="s">
        <v>149</v>
      </c>
      <c r="F376" t="s">
        <v>393</v>
      </c>
    </row>
    <row r="377" spans="1:6" ht="15" hidden="1" customHeight="1" x14ac:dyDescent="0.25">
      <c r="A377" s="13" t="s">
        <v>41</v>
      </c>
      <c r="B377" t="s">
        <v>401</v>
      </c>
      <c r="C377" t="str">
        <f t="shared" si="5"/>
        <v>CroatiaSport Klub 5</v>
      </c>
      <c r="D377" s="1">
        <v>250000</v>
      </c>
      <c r="E377" t="s">
        <v>149</v>
      </c>
      <c r="F377" t="s">
        <v>393</v>
      </c>
    </row>
    <row r="378" spans="1:6" ht="15" hidden="1" customHeight="1" x14ac:dyDescent="0.25">
      <c r="A378" s="13" t="s">
        <v>41</v>
      </c>
      <c r="B378" t="s">
        <v>402</v>
      </c>
      <c r="C378" t="str">
        <f t="shared" si="5"/>
        <v>CroatiaSport Klub 6</v>
      </c>
      <c r="D378" s="1">
        <v>250000</v>
      </c>
      <c r="E378" t="s">
        <v>149</v>
      </c>
    </row>
    <row r="379" spans="1:6" ht="15" hidden="1" customHeight="1" x14ac:dyDescent="0.25">
      <c r="A379" s="216" t="s">
        <v>41</v>
      </c>
      <c r="B379" s="155" t="s">
        <v>403</v>
      </c>
      <c r="C379" s="155" t="str">
        <f t="shared" si="5"/>
        <v>CroatiaSport Klub 7</v>
      </c>
      <c r="D379" s="156">
        <v>250000</v>
      </c>
      <c r="E379" s="155" t="s">
        <v>149</v>
      </c>
      <c r="F379" s="155"/>
    </row>
    <row r="380" spans="1:6" ht="15" hidden="1" customHeight="1" x14ac:dyDescent="0.25">
      <c r="A380" s="209" t="s">
        <v>41</v>
      </c>
      <c r="B380" s="155" t="s">
        <v>404</v>
      </c>
      <c r="C380" s="155" t="str">
        <f t="shared" si="5"/>
        <v>CroatiaSport Klub 8</v>
      </c>
      <c r="D380" s="156">
        <v>250000</v>
      </c>
      <c r="E380" s="155" t="s">
        <v>149</v>
      </c>
      <c r="F380" s="155"/>
    </row>
    <row r="381" spans="1:6" ht="15" hidden="1" customHeight="1" x14ac:dyDescent="0.25">
      <c r="A381" s="209" t="s">
        <v>41</v>
      </c>
      <c r="B381" s="155" t="s">
        <v>405</v>
      </c>
      <c r="C381" s="155" t="str">
        <f t="shared" si="5"/>
        <v>CroatiaSport Klub 9</v>
      </c>
      <c r="D381" s="156">
        <v>250000</v>
      </c>
      <c r="E381" s="155" t="s">
        <v>149</v>
      </c>
      <c r="F381" s="155"/>
    </row>
    <row r="382" spans="1:6" ht="15" hidden="1" customHeight="1" x14ac:dyDescent="0.25">
      <c r="A382" s="13" t="s">
        <v>41</v>
      </c>
      <c r="B382" t="s">
        <v>406</v>
      </c>
      <c r="C382" t="str">
        <f t="shared" si="5"/>
        <v>CroatiaSport Klub Golf</v>
      </c>
      <c r="D382" s="1">
        <v>250000</v>
      </c>
      <c r="E382" t="s">
        <v>149</v>
      </c>
      <c r="F382" t="s">
        <v>393</v>
      </c>
    </row>
    <row r="383" spans="1:6" ht="15" hidden="1" customHeight="1" x14ac:dyDescent="0.25">
      <c r="A383" s="13" t="s">
        <v>41</v>
      </c>
      <c r="B383" t="s">
        <v>407</v>
      </c>
      <c r="C383" t="str">
        <f t="shared" si="5"/>
        <v>CroatiaSport Klub HD</v>
      </c>
      <c r="D383" s="1">
        <v>250000</v>
      </c>
      <c r="E383" t="s">
        <v>149</v>
      </c>
      <c r="F383" t="s">
        <v>393</v>
      </c>
    </row>
    <row r="384" spans="1:6" ht="15" hidden="1" customHeight="1" x14ac:dyDescent="0.25">
      <c r="A384" s="13" t="s">
        <v>41</v>
      </c>
      <c r="B384" t="s">
        <v>573</v>
      </c>
      <c r="C384" t="str">
        <f t="shared" si="5"/>
        <v>CroatiaSPTV</v>
      </c>
      <c r="D384">
        <v>839366</v>
      </c>
      <c r="E384" t="s">
        <v>142</v>
      </c>
    </row>
    <row r="385" spans="1:6" ht="15" hidden="1" customHeight="1" x14ac:dyDescent="0.25">
      <c r="A385" s="13" t="s">
        <v>41</v>
      </c>
      <c r="B385" t="s">
        <v>574</v>
      </c>
      <c r="C385" t="str">
        <f t="shared" si="5"/>
        <v>CroatiaTV Arena Sport 2</v>
      </c>
      <c r="D385" s="1">
        <v>369000</v>
      </c>
      <c r="E385" t="s">
        <v>149</v>
      </c>
      <c r="F385" t="s">
        <v>562</v>
      </c>
    </row>
    <row r="386" spans="1:6" ht="15" hidden="1" customHeight="1" x14ac:dyDescent="0.25">
      <c r="A386" s="39" t="s">
        <v>42</v>
      </c>
      <c r="B386" t="s">
        <v>575</v>
      </c>
      <c r="C386" t="str">
        <f t="shared" ref="C386:C449" si="6">CONCATENATE(A386,B386)</f>
        <v>CyprusCYCBC</v>
      </c>
      <c r="D386" s="1">
        <v>294700</v>
      </c>
      <c r="E386" s="51" t="s">
        <v>142</v>
      </c>
      <c r="F386" t="s">
        <v>576</v>
      </c>
    </row>
    <row r="387" spans="1:6" ht="15" hidden="1" customHeight="1" x14ac:dyDescent="0.25">
      <c r="A387" s="113" t="s">
        <v>42</v>
      </c>
      <c r="B387" t="s">
        <v>577</v>
      </c>
      <c r="C387" t="str">
        <f t="shared" si="6"/>
        <v>CyprusCYTA Sports 4</v>
      </c>
      <c r="D387" s="1">
        <v>52000</v>
      </c>
      <c r="E387" t="s">
        <v>149</v>
      </c>
      <c r="F387" t="s">
        <v>578</v>
      </c>
    </row>
    <row r="388" spans="1:6" ht="15" hidden="1" customHeight="1" x14ac:dyDescent="0.25">
      <c r="A388" s="13" t="s">
        <v>42</v>
      </c>
      <c r="B388" t="s">
        <v>579</v>
      </c>
      <c r="C388" t="str">
        <f t="shared" si="6"/>
        <v>CyprusCytaSports 6</v>
      </c>
      <c r="D388" s="1">
        <v>52000</v>
      </c>
      <c r="E388" t="s">
        <v>149</v>
      </c>
      <c r="F388" t="s">
        <v>578</v>
      </c>
    </row>
    <row r="389" spans="1:6" ht="15" hidden="1" customHeight="1" x14ac:dyDescent="0.25">
      <c r="A389" t="s">
        <v>42</v>
      </c>
      <c r="B389" t="s">
        <v>580</v>
      </c>
      <c r="C389" t="str">
        <f t="shared" si="6"/>
        <v>CyprusCytavision Sports 1</v>
      </c>
      <c r="D389" s="1">
        <v>52000</v>
      </c>
      <c r="E389" t="s">
        <v>149</v>
      </c>
      <c r="F389" t="s">
        <v>578</v>
      </c>
    </row>
    <row r="390" spans="1:6" ht="15" hidden="1" customHeight="1" x14ac:dyDescent="0.25">
      <c r="A390" s="13" t="s">
        <v>42</v>
      </c>
      <c r="B390" t="s">
        <v>581</v>
      </c>
      <c r="C390" t="str">
        <f t="shared" si="6"/>
        <v>CyprusCytavision Sports 2</v>
      </c>
      <c r="D390" s="1">
        <v>52000</v>
      </c>
      <c r="E390" t="s">
        <v>149</v>
      </c>
      <c r="F390" t="s">
        <v>578</v>
      </c>
    </row>
    <row r="391" spans="1:6" ht="15" hidden="1" customHeight="1" x14ac:dyDescent="0.25">
      <c r="A391" t="s">
        <v>42</v>
      </c>
      <c r="B391" t="s">
        <v>582</v>
      </c>
      <c r="C391" t="str">
        <f t="shared" si="6"/>
        <v>CyprusCytavision Sports 3</v>
      </c>
      <c r="D391" s="1">
        <v>52000</v>
      </c>
      <c r="E391" t="s">
        <v>149</v>
      </c>
      <c r="F391" t="s">
        <v>578</v>
      </c>
    </row>
    <row r="392" spans="1:6" ht="15" hidden="1" customHeight="1" x14ac:dyDescent="0.25">
      <c r="A392" t="s">
        <v>42</v>
      </c>
      <c r="B392" t="s">
        <v>583</v>
      </c>
      <c r="C392" t="str">
        <f t="shared" si="6"/>
        <v>CyprusCytavision Sports 4</v>
      </c>
      <c r="D392" s="1">
        <v>52000</v>
      </c>
      <c r="E392" t="s">
        <v>149</v>
      </c>
      <c r="F392" t="s">
        <v>578</v>
      </c>
    </row>
    <row r="393" spans="1:6" ht="15" hidden="1" customHeight="1" x14ac:dyDescent="0.25">
      <c r="A393" s="13" t="s">
        <v>42</v>
      </c>
      <c r="B393" t="s">
        <v>584</v>
      </c>
      <c r="C393" t="str">
        <f t="shared" si="6"/>
        <v>CyprusCytavision Sports 5</v>
      </c>
      <c r="D393" s="1">
        <v>52000</v>
      </c>
      <c r="E393" t="s">
        <v>149</v>
      </c>
      <c r="F393" t="s">
        <v>578</v>
      </c>
    </row>
    <row r="394" spans="1:6" ht="15" hidden="1" customHeight="1" x14ac:dyDescent="0.25">
      <c r="A394" s="13" t="s">
        <v>42</v>
      </c>
      <c r="B394" t="s">
        <v>585</v>
      </c>
      <c r="C394" t="str">
        <f t="shared" si="6"/>
        <v>CyprusCytavision Sports 6</v>
      </c>
      <c r="D394" s="1">
        <v>52000</v>
      </c>
      <c r="E394" t="s">
        <v>149</v>
      </c>
      <c r="F394" t="s">
        <v>578</v>
      </c>
    </row>
    <row r="395" spans="1:6" ht="15" hidden="1" customHeight="1" x14ac:dyDescent="0.25">
      <c r="A395" s="13" t="s">
        <v>42</v>
      </c>
      <c r="B395" t="s">
        <v>586</v>
      </c>
      <c r="C395" t="str">
        <f t="shared" si="6"/>
        <v>CyprusCytavision Sports HD</v>
      </c>
      <c r="D395" s="1">
        <v>52000</v>
      </c>
      <c r="E395" t="s">
        <v>149</v>
      </c>
      <c r="F395" t="s">
        <v>578</v>
      </c>
    </row>
    <row r="396" spans="1:6" ht="15" hidden="1" customHeight="1" x14ac:dyDescent="0.25">
      <c r="A396" s="201" t="s">
        <v>42</v>
      </c>
      <c r="B396" s="175" t="s">
        <v>587</v>
      </c>
      <c r="C396" s="175" t="str">
        <f t="shared" si="6"/>
        <v>CyprusCytavision Sports HD 1</v>
      </c>
      <c r="D396" s="176">
        <v>52000</v>
      </c>
      <c r="E396" s="175" t="s">
        <v>149</v>
      </c>
      <c r="F396" s="175"/>
    </row>
    <row r="397" spans="1:6" ht="15" hidden="1" customHeight="1" x14ac:dyDescent="0.25">
      <c r="A397" s="202" t="s">
        <v>42</v>
      </c>
      <c r="B397" s="175" t="s">
        <v>588</v>
      </c>
      <c r="C397" s="175" t="str">
        <f t="shared" si="6"/>
        <v>CyprusCytavision Sports HD 2</v>
      </c>
      <c r="D397" s="176">
        <v>52000</v>
      </c>
      <c r="E397" s="175" t="s">
        <v>149</v>
      </c>
      <c r="F397" s="175"/>
    </row>
    <row r="398" spans="1:6" ht="15" hidden="1" customHeight="1" x14ac:dyDescent="0.25">
      <c r="A398" s="201" t="s">
        <v>42</v>
      </c>
      <c r="B398" s="175" t="s">
        <v>589</v>
      </c>
      <c r="C398" s="175" t="str">
        <f t="shared" si="6"/>
        <v>CyprusCytavision Sports HD 3</v>
      </c>
      <c r="D398" s="176">
        <v>52000</v>
      </c>
      <c r="E398" s="175" t="s">
        <v>149</v>
      </c>
      <c r="F398" s="175"/>
    </row>
    <row r="399" spans="1:6" ht="15" hidden="1" customHeight="1" x14ac:dyDescent="0.25">
      <c r="A399" s="202" t="s">
        <v>42</v>
      </c>
      <c r="B399" s="175" t="s">
        <v>590</v>
      </c>
      <c r="C399" s="175" t="str">
        <f t="shared" si="6"/>
        <v>CyprusCytavision Sports HD 4</v>
      </c>
      <c r="D399" s="176">
        <v>52000</v>
      </c>
      <c r="E399" s="175" t="s">
        <v>149</v>
      </c>
      <c r="F399" s="175"/>
    </row>
    <row r="400" spans="1:6" ht="15" hidden="1" customHeight="1" x14ac:dyDescent="0.25">
      <c r="A400" s="202" t="s">
        <v>42</v>
      </c>
      <c r="B400" s="175" t="s">
        <v>591</v>
      </c>
      <c r="C400" s="175" t="str">
        <f t="shared" si="6"/>
        <v>CyprusCytavision Sports HD 5</v>
      </c>
      <c r="D400" s="176">
        <v>52000</v>
      </c>
      <c r="E400" s="175" t="s">
        <v>149</v>
      </c>
      <c r="F400" s="175"/>
    </row>
    <row r="401" spans="1:6" ht="15" hidden="1" customHeight="1" x14ac:dyDescent="0.25">
      <c r="A401" s="202" t="s">
        <v>42</v>
      </c>
      <c r="B401" s="175" t="s">
        <v>592</v>
      </c>
      <c r="C401" s="175" t="str">
        <f t="shared" si="6"/>
        <v>CyprusCytavision Sports HD 6</v>
      </c>
      <c r="D401" s="176">
        <v>52000</v>
      </c>
      <c r="E401" s="175" t="s">
        <v>149</v>
      </c>
      <c r="F401" s="175"/>
    </row>
    <row r="402" spans="1:6" ht="15" hidden="1" customHeight="1" x14ac:dyDescent="0.25">
      <c r="A402" s="13" t="s">
        <v>42</v>
      </c>
      <c r="B402" t="s">
        <v>593</v>
      </c>
      <c r="C402" t="str">
        <f t="shared" si="6"/>
        <v>CyprusNova Sport 1</v>
      </c>
      <c r="D402" s="1">
        <v>106000</v>
      </c>
      <c r="E402" t="s">
        <v>149</v>
      </c>
      <c r="F402" t="s">
        <v>594</v>
      </c>
    </row>
    <row r="403" spans="1:6" ht="15" hidden="1" customHeight="1" x14ac:dyDescent="0.25">
      <c r="A403" s="13" t="s">
        <v>42</v>
      </c>
      <c r="B403" t="s">
        <v>595</v>
      </c>
      <c r="C403" t="str">
        <f t="shared" si="6"/>
        <v>CyprusNova Sport 2</v>
      </c>
      <c r="D403" s="1">
        <v>106000</v>
      </c>
      <c r="E403" t="s">
        <v>149</v>
      </c>
    </row>
    <row r="404" spans="1:6" ht="15" hidden="1" customHeight="1" x14ac:dyDescent="0.25">
      <c r="A404" s="209" t="s">
        <v>42</v>
      </c>
      <c r="B404" s="155" t="s">
        <v>596</v>
      </c>
      <c r="C404" s="155" t="str">
        <f t="shared" si="6"/>
        <v>CyprusNova Sport 24</v>
      </c>
      <c r="D404" s="156">
        <v>106000</v>
      </c>
      <c r="E404" s="155" t="s">
        <v>149</v>
      </c>
      <c r="F404" s="155"/>
    </row>
    <row r="405" spans="1:6" ht="15" hidden="1" customHeight="1" x14ac:dyDescent="0.25">
      <c r="A405" s="13" t="s">
        <v>42</v>
      </c>
      <c r="B405" t="s">
        <v>597</v>
      </c>
      <c r="C405" t="str">
        <f t="shared" si="6"/>
        <v>CyprusNova Sport 3</v>
      </c>
      <c r="D405" s="1">
        <v>106000</v>
      </c>
      <c r="E405" t="s">
        <v>149</v>
      </c>
      <c r="F405" t="s">
        <v>594</v>
      </c>
    </row>
    <row r="406" spans="1:6" ht="15" hidden="1" customHeight="1" x14ac:dyDescent="0.25">
      <c r="A406" s="39" t="s">
        <v>42</v>
      </c>
      <c r="B406" t="s">
        <v>598</v>
      </c>
      <c r="C406" t="str">
        <f t="shared" si="6"/>
        <v>CyprusNova Sport 4</v>
      </c>
      <c r="D406" s="1">
        <v>106000</v>
      </c>
      <c r="E406" t="s">
        <v>149</v>
      </c>
      <c r="F406" t="s">
        <v>594</v>
      </c>
    </row>
    <row r="407" spans="1:6" ht="15" hidden="1" customHeight="1" x14ac:dyDescent="0.25">
      <c r="A407" s="13" t="s">
        <v>42</v>
      </c>
      <c r="B407" t="s">
        <v>599</v>
      </c>
      <c r="C407" t="str">
        <f t="shared" si="6"/>
        <v>CyprusNova Sport 5</v>
      </c>
      <c r="D407" s="1">
        <v>106000</v>
      </c>
      <c r="E407" t="s">
        <v>149</v>
      </c>
    </row>
    <row r="408" spans="1:6" ht="15" hidden="1" customHeight="1" x14ac:dyDescent="0.25">
      <c r="A408" s="13" t="s">
        <v>42</v>
      </c>
      <c r="B408" t="s">
        <v>600</v>
      </c>
      <c r="C408" t="str">
        <f t="shared" si="6"/>
        <v>CyprusNova Sports 4</v>
      </c>
      <c r="D408" s="1">
        <v>106000</v>
      </c>
      <c r="E408" t="s">
        <v>149</v>
      </c>
    </row>
    <row r="409" spans="1:6" ht="15" hidden="1" customHeight="1" x14ac:dyDescent="0.25">
      <c r="A409" s="211" t="s">
        <v>42</v>
      </c>
      <c r="B409" s="166" t="s">
        <v>601</v>
      </c>
      <c r="C409" s="162" t="str">
        <f t="shared" si="6"/>
        <v>CyprusRIK1</v>
      </c>
      <c r="D409" s="1">
        <v>294700</v>
      </c>
      <c r="E409" t="s">
        <v>142</v>
      </c>
      <c r="F409" s="162"/>
    </row>
    <row r="410" spans="1:6" ht="15" hidden="1" customHeight="1" x14ac:dyDescent="0.25">
      <c r="A410" s="210" t="s">
        <v>42</v>
      </c>
      <c r="B410" s="162" t="s">
        <v>602</v>
      </c>
      <c r="C410" s="162" t="str">
        <f t="shared" si="6"/>
        <v>CyprusRik2</v>
      </c>
      <c r="D410" s="1">
        <v>294700</v>
      </c>
      <c r="E410" t="s">
        <v>142</v>
      </c>
      <c r="F410" s="162"/>
    </row>
    <row r="411" spans="1:6" ht="15" hidden="1" customHeight="1" x14ac:dyDescent="0.25">
      <c r="A411" s="13" t="s">
        <v>43</v>
      </c>
      <c r="B411" t="s">
        <v>603</v>
      </c>
      <c r="C411" t="str">
        <f t="shared" si="6"/>
        <v>Czech RepublicCT art</v>
      </c>
      <c r="D411" s="1">
        <v>2226500</v>
      </c>
      <c r="E411" s="51" t="s">
        <v>142</v>
      </c>
      <c r="F411" t="s">
        <v>604</v>
      </c>
    </row>
    <row r="412" spans="1:6" ht="15" hidden="1" customHeight="1" x14ac:dyDescent="0.25">
      <c r="A412" s="13" t="s">
        <v>43</v>
      </c>
      <c r="B412" t="s">
        <v>605</v>
      </c>
      <c r="C412" t="str">
        <f t="shared" si="6"/>
        <v>Czech RepublicCT Sport</v>
      </c>
      <c r="D412" s="1">
        <f>0.901*4300000</f>
        <v>3874300</v>
      </c>
      <c r="E412" t="s">
        <v>142</v>
      </c>
      <c r="F412" t="s">
        <v>606</v>
      </c>
    </row>
    <row r="413" spans="1:6" ht="15" hidden="1" customHeight="1" x14ac:dyDescent="0.25">
      <c r="A413" s="211" t="s">
        <v>43</v>
      </c>
      <c r="B413" s="166" t="s">
        <v>607</v>
      </c>
      <c r="C413" s="162" t="str">
        <f t="shared" si="6"/>
        <v>Czech RepublicČT Sport</v>
      </c>
      <c r="D413" s="1">
        <f>0.901*4300000</f>
        <v>3874300</v>
      </c>
      <c r="E413" t="s">
        <v>142</v>
      </c>
      <c r="F413" s="162"/>
    </row>
    <row r="414" spans="1:6" ht="15" hidden="1" customHeight="1" x14ac:dyDescent="0.25">
      <c r="A414" s="33" t="s">
        <v>43</v>
      </c>
      <c r="B414" t="s">
        <v>608</v>
      </c>
      <c r="C414" t="str">
        <f t="shared" si="6"/>
        <v>Czech RepublicCT2</v>
      </c>
      <c r="D414" s="1">
        <v>4273496</v>
      </c>
      <c r="E414" t="s">
        <v>142</v>
      </c>
      <c r="F414" t="s">
        <v>609</v>
      </c>
    </row>
    <row r="415" spans="1:6" ht="15" hidden="1" customHeight="1" x14ac:dyDescent="0.25">
      <c r="A415" s="210" t="s">
        <v>43</v>
      </c>
      <c r="B415" s="162" t="s">
        <v>610</v>
      </c>
      <c r="C415" s="162" t="str">
        <f t="shared" si="6"/>
        <v>Czech RepublicČT2</v>
      </c>
      <c r="D415" s="1">
        <v>4273496</v>
      </c>
      <c r="E415" t="s">
        <v>142</v>
      </c>
      <c r="F415" s="162"/>
    </row>
    <row r="416" spans="1:6" ht="15" hidden="1" customHeight="1" x14ac:dyDescent="0.25">
      <c r="A416" s="211" t="s">
        <v>43</v>
      </c>
      <c r="B416" s="166" t="s">
        <v>611</v>
      </c>
      <c r="C416" s="162" t="str">
        <f t="shared" si="6"/>
        <v>Czech RepublicCT3</v>
      </c>
      <c r="D416" s="1">
        <v>4273496</v>
      </c>
      <c r="E416" t="s">
        <v>142</v>
      </c>
      <c r="F416" s="162"/>
    </row>
    <row r="417" spans="1:6" ht="15" hidden="1" customHeight="1" x14ac:dyDescent="0.25">
      <c r="A417" s="33" t="s">
        <v>43</v>
      </c>
      <c r="B417" s="34" t="s">
        <v>612</v>
      </c>
      <c r="C417" t="str">
        <f t="shared" si="6"/>
        <v xml:space="preserve">Czech RepublicDigi Sport </v>
      </c>
      <c r="D417" s="1">
        <v>129000</v>
      </c>
      <c r="E417" t="s">
        <v>149</v>
      </c>
      <c r="F417" t="s">
        <v>613</v>
      </c>
    </row>
    <row r="418" spans="1:6" ht="15" hidden="1" customHeight="1" x14ac:dyDescent="0.25">
      <c r="A418" s="13" t="s">
        <v>43</v>
      </c>
      <c r="B418" t="s">
        <v>614</v>
      </c>
      <c r="C418" t="str">
        <f t="shared" si="6"/>
        <v>Czech RepublicDigi Sport 2</v>
      </c>
      <c r="D418" s="1">
        <v>129000</v>
      </c>
      <c r="E418" t="s">
        <v>149</v>
      </c>
      <c r="F418" t="s">
        <v>613</v>
      </c>
    </row>
    <row r="419" spans="1:6" ht="15" hidden="1" customHeight="1" x14ac:dyDescent="0.25">
      <c r="A419" s="37" t="s">
        <v>43</v>
      </c>
      <c r="B419" s="34" t="s">
        <v>615</v>
      </c>
      <c r="C419" t="str">
        <f t="shared" si="6"/>
        <v>Czech RepublicDigi Sport 3</v>
      </c>
      <c r="D419" s="1">
        <v>129000</v>
      </c>
      <c r="E419" t="s">
        <v>149</v>
      </c>
      <c r="F419" t="s">
        <v>613</v>
      </c>
    </row>
    <row r="420" spans="1:6" ht="15" hidden="1" customHeight="1" x14ac:dyDescent="0.25">
      <c r="A420" t="s">
        <v>43</v>
      </c>
      <c r="B420" t="s">
        <v>616</v>
      </c>
      <c r="C420" t="str">
        <f t="shared" si="6"/>
        <v>Czech RepublicDigiSport 2</v>
      </c>
      <c r="D420" s="1">
        <v>129000</v>
      </c>
      <c r="E420" t="s">
        <v>149</v>
      </c>
      <c r="F420" t="s">
        <v>613</v>
      </c>
    </row>
    <row r="421" spans="1:6" ht="15" hidden="1" customHeight="1" x14ac:dyDescent="0.25">
      <c r="A421" t="s">
        <v>43</v>
      </c>
      <c r="B421" t="s">
        <v>617</v>
      </c>
      <c r="C421" t="str">
        <f t="shared" si="6"/>
        <v>Czech RepublicDigiSport 3</v>
      </c>
      <c r="D421" s="1">
        <v>129000</v>
      </c>
      <c r="E421" t="s">
        <v>149</v>
      </c>
      <c r="F421" t="s">
        <v>613</v>
      </c>
    </row>
    <row r="422" spans="1:6" ht="15" hidden="1" customHeight="1" x14ac:dyDescent="0.25">
      <c r="A422" s="13" t="s">
        <v>43</v>
      </c>
      <c r="B422" t="s">
        <v>268</v>
      </c>
      <c r="C422" t="str">
        <f t="shared" si="6"/>
        <v>Czech RepublicEurosport 1</v>
      </c>
      <c r="D422" s="1">
        <v>1098000</v>
      </c>
      <c r="E422" t="s">
        <v>149</v>
      </c>
    </row>
    <row r="423" spans="1:6" ht="15" hidden="1" customHeight="1" x14ac:dyDescent="0.25">
      <c r="A423" s="13" t="s">
        <v>43</v>
      </c>
      <c r="B423" t="s">
        <v>269</v>
      </c>
      <c r="C423" t="str">
        <f t="shared" si="6"/>
        <v>Czech RepublicEurosport 2</v>
      </c>
      <c r="D423" s="1">
        <v>888000</v>
      </c>
      <c r="E423" t="s">
        <v>149</v>
      </c>
    </row>
    <row r="424" spans="1:6" ht="15" hidden="1" customHeight="1" x14ac:dyDescent="0.25">
      <c r="A424" s="13" t="s">
        <v>43</v>
      </c>
      <c r="B424" t="s">
        <v>477</v>
      </c>
      <c r="C424" t="str">
        <f t="shared" si="6"/>
        <v>Czech RepublicGolf Channel</v>
      </c>
      <c r="D424" s="1">
        <v>353000</v>
      </c>
      <c r="E424" t="s">
        <v>149</v>
      </c>
      <c r="F424" t="s">
        <v>618</v>
      </c>
    </row>
    <row r="425" spans="1:6" ht="15" hidden="1" customHeight="1" x14ac:dyDescent="0.25">
      <c r="A425" s="13" t="s">
        <v>43</v>
      </c>
      <c r="B425" t="s">
        <v>619</v>
      </c>
      <c r="C425" t="str">
        <f t="shared" si="6"/>
        <v>Czech RepublicNova Action</v>
      </c>
      <c r="D425" s="1">
        <v>1193000</v>
      </c>
      <c r="E425" t="s">
        <v>149</v>
      </c>
    </row>
    <row r="426" spans="1:6" ht="15" hidden="1" customHeight="1" x14ac:dyDescent="0.25">
      <c r="A426" s="13" t="s">
        <v>43</v>
      </c>
      <c r="B426" t="s">
        <v>620</v>
      </c>
      <c r="C426" t="str">
        <f t="shared" si="6"/>
        <v>Czech RepublicNova Sport</v>
      </c>
      <c r="D426" s="1">
        <v>1193000</v>
      </c>
      <c r="E426" t="s">
        <v>149</v>
      </c>
    </row>
    <row r="427" spans="1:6" ht="15" hidden="1" customHeight="1" x14ac:dyDescent="0.25">
      <c r="A427" s="39" t="s">
        <v>43</v>
      </c>
      <c r="B427" t="s">
        <v>593</v>
      </c>
      <c r="C427" t="str">
        <f t="shared" si="6"/>
        <v>Czech RepublicNova Sport 1</v>
      </c>
      <c r="D427" s="1">
        <v>1193000</v>
      </c>
      <c r="E427" t="s">
        <v>149</v>
      </c>
      <c r="F427" t="s">
        <v>621</v>
      </c>
    </row>
    <row r="428" spans="1:6" ht="15" hidden="1" customHeight="1" x14ac:dyDescent="0.25">
      <c r="A428" s="13" t="s">
        <v>43</v>
      </c>
      <c r="B428" t="s">
        <v>595</v>
      </c>
      <c r="C428" t="str">
        <f t="shared" si="6"/>
        <v>Czech RepublicNova Sport 2</v>
      </c>
      <c r="D428" s="1">
        <v>1193000</v>
      </c>
      <c r="E428" t="s">
        <v>149</v>
      </c>
      <c r="F428" t="s">
        <v>621</v>
      </c>
    </row>
    <row r="429" spans="1:6" ht="15" hidden="1" customHeight="1" x14ac:dyDescent="0.25">
      <c r="A429" s="13" t="s">
        <v>43</v>
      </c>
      <c r="B429" s="40" t="s">
        <v>622</v>
      </c>
      <c r="C429" t="str">
        <f t="shared" si="6"/>
        <v>Czech RepublicO2 Sport</v>
      </c>
      <c r="D429" s="1">
        <v>224000</v>
      </c>
      <c r="E429" t="s">
        <v>149</v>
      </c>
      <c r="F429" t="s">
        <v>623</v>
      </c>
    </row>
    <row r="430" spans="1:6" ht="15" hidden="1" customHeight="1" x14ac:dyDescent="0.25">
      <c r="A430" t="s">
        <v>43</v>
      </c>
      <c r="B430" t="s">
        <v>624</v>
      </c>
      <c r="C430" t="str">
        <f t="shared" si="6"/>
        <v>Czech RepublicO2 TV Sport</v>
      </c>
      <c r="D430" s="1">
        <v>224000</v>
      </c>
      <c r="E430" t="s">
        <v>149</v>
      </c>
      <c r="F430" t="s">
        <v>623</v>
      </c>
    </row>
    <row r="431" spans="1:6" ht="15" hidden="1" customHeight="1" x14ac:dyDescent="0.25">
      <c r="A431" s="113" t="s">
        <v>43</v>
      </c>
      <c r="B431" t="s">
        <v>625</v>
      </c>
      <c r="C431" t="str">
        <f t="shared" si="6"/>
        <v>Czech RepublicO2 TV Tennis</v>
      </c>
      <c r="D431" s="1">
        <v>224000</v>
      </c>
      <c r="E431" t="s">
        <v>149</v>
      </c>
      <c r="F431" t="s">
        <v>623</v>
      </c>
    </row>
    <row r="432" spans="1:6" ht="15" hidden="1" customHeight="1" x14ac:dyDescent="0.25">
      <c r="A432" s="13" t="s">
        <v>43</v>
      </c>
      <c r="B432" t="s">
        <v>304</v>
      </c>
      <c r="C432" t="str">
        <f t="shared" si="6"/>
        <v>Czech RepublicSport 1</v>
      </c>
      <c r="D432" s="1">
        <v>1193000</v>
      </c>
      <c r="E432" t="s">
        <v>149</v>
      </c>
      <c r="F432" t="s">
        <v>621</v>
      </c>
    </row>
    <row r="433" spans="1:6" ht="15" hidden="1" customHeight="1" x14ac:dyDescent="0.25">
      <c r="A433" s="39" t="s">
        <v>43</v>
      </c>
      <c r="B433" t="s">
        <v>626</v>
      </c>
      <c r="C433" t="str">
        <f t="shared" si="6"/>
        <v>Czech RepublicSport 2</v>
      </c>
      <c r="D433" s="1">
        <v>1193000</v>
      </c>
      <c r="E433" t="s">
        <v>149</v>
      </c>
      <c r="F433" t="s">
        <v>621</v>
      </c>
    </row>
    <row r="434" spans="1:6" ht="15" hidden="1" customHeight="1" x14ac:dyDescent="0.25">
      <c r="A434" s="13" t="s">
        <v>43</v>
      </c>
      <c r="B434" t="s">
        <v>627</v>
      </c>
      <c r="C434" t="str">
        <f t="shared" si="6"/>
        <v>Czech RepublicTV Fanda</v>
      </c>
      <c r="D434" s="1">
        <v>1193000</v>
      </c>
      <c r="E434" t="s">
        <v>149</v>
      </c>
      <c r="F434" t="s">
        <v>621</v>
      </c>
    </row>
    <row r="435" spans="1:6" ht="15" hidden="1" customHeight="1" x14ac:dyDescent="0.25">
      <c r="A435" s="13" t="s">
        <v>44</v>
      </c>
      <c r="B435" t="s">
        <v>628</v>
      </c>
      <c r="C435" t="str">
        <f t="shared" si="6"/>
        <v>DenmarkC More Golf HD</v>
      </c>
      <c r="D435" s="1">
        <v>1450000</v>
      </c>
      <c r="E435" t="s">
        <v>149</v>
      </c>
    </row>
    <row r="436" spans="1:6" ht="15" hidden="1" customHeight="1" x14ac:dyDescent="0.25">
      <c r="A436" s="39" t="s">
        <v>44</v>
      </c>
      <c r="B436" t="s">
        <v>629</v>
      </c>
      <c r="C436" t="str">
        <f t="shared" si="6"/>
        <v>DenmarkC More Max</v>
      </c>
      <c r="D436" s="1">
        <v>1450000</v>
      </c>
      <c r="E436" t="s">
        <v>149</v>
      </c>
    </row>
    <row r="437" spans="1:6" ht="15" hidden="1" customHeight="1" x14ac:dyDescent="0.25">
      <c r="A437" s="13" t="s">
        <v>44</v>
      </c>
      <c r="B437" t="s">
        <v>630</v>
      </c>
      <c r="C437" t="str">
        <f t="shared" si="6"/>
        <v>DenmarkC More Sport</v>
      </c>
      <c r="D437" s="1">
        <v>1450000</v>
      </c>
      <c r="E437" t="s">
        <v>149</v>
      </c>
      <c r="F437" t="s">
        <v>631</v>
      </c>
    </row>
    <row r="438" spans="1:6" ht="15" hidden="1" customHeight="1" x14ac:dyDescent="0.25">
      <c r="A438" s="39" t="s">
        <v>44</v>
      </c>
      <c r="B438" t="s">
        <v>632</v>
      </c>
      <c r="C438" t="str">
        <f t="shared" si="6"/>
        <v>DenmarkC More Sport 1</v>
      </c>
      <c r="D438" s="1">
        <v>1450000</v>
      </c>
      <c r="E438" t="s">
        <v>149</v>
      </c>
    </row>
    <row r="439" spans="1:6" ht="15" hidden="1" customHeight="1" x14ac:dyDescent="0.25">
      <c r="A439" s="13" t="s">
        <v>44</v>
      </c>
      <c r="B439" t="s">
        <v>633</v>
      </c>
      <c r="C439" t="str">
        <f t="shared" si="6"/>
        <v>DenmarkC More Sport 2</v>
      </c>
      <c r="D439" s="1">
        <v>1450000</v>
      </c>
      <c r="E439" t="s">
        <v>149</v>
      </c>
    </row>
    <row r="440" spans="1:6" ht="15" hidden="1" customHeight="1" x14ac:dyDescent="0.25">
      <c r="A440" s="13" t="s">
        <v>44</v>
      </c>
      <c r="B440" t="s">
        <v>634</v>
      </c>
      <c r="C440" t="str">
        <f t="shared" si="6"/>
        <v>DenmarkC More Tennis</v>
      </c>
      <c r="D440" s="1">
        <v>1450000</v>
      </c>
      <c r="E440" t="s">
        <v>149</v>
      </c>
      <c r="F440" t="s">
        <v>631</v>
      </c>
    </row>
    <row r="441" spans="1:6" ht="15" hidden="1" customHeight="1" x14ac:dyDescent="0.25">
      <c r="A441" s="39" t="s">
        <v>44</v>
      </c>
      <c r="B441" t="s">
        <v>635</v>
      </c>
      <c r="C441" t="str">
        <f t="shared" si="6"/>
        <v>DenmarkDRK</v>
      </c>
      <c r="D441" s="1">
        <v>2329800</v>
      </c>
      <c r="E441" s="51" t="s">
        <v>142</v>
      </c>
      <c r="F441" t="s">
        <v>636</v>
      </c>
    </row>
    <row r="442" spans="1:6" ht="15" hidden="1" customHeight="1" x14ac:dyDescent="0.25">
      <c r="A442" s="13" t="s">
        <v>44</v>
      </c>
      <c r="B442" t="s">
        <v>221</v>
      </c>
      <c r="C442" t="str">
        <f t="shared" si="6"/>
        <v>DenmarkEurosport</v>
      </c>
      <c r="D442" s="51">
        <v>1156000</v>
      </c>
      <c r="E442" s="51" t="s">
        <v>149</v>
      </c>
    </row>
    <row r="443" spans="1:6" ht="15" hidden="1" customHeight="1" x14ac:dyDescent="0.25">
      <c r="A443" s="13" t="s">
        <v>44</v>
      </c>
      <c r="B443" t="s">
        <v>268</v>
      </c>
      <c r="C443" t="str">
        <f t="shared" si="6"/>
        <v>DenmarkEurosport 1</v>
      </c>
      <c r="D443" s="51">
        <v>1156000</v>
      </c>
      <c r="E443" s="51" t="s">
        <v>149</v>
      </c>
    </row>
    <row r="444" spans="1:6" ht="15" hidden="1" customHeight="1" x14ac:dyDescent="0.25">
      <c r="A444" s="13" t="s">
        <v>44</v>
      </c>
      <c r="B444" t="s">
        <v>269</v>
      </c>
      <c r="C444" t="str">
        <f t="shared" si="6"/>
        <v>DenmarkEurosport 2</v>
      </c>
      <c r="D444" s="51">
        <v>1156000</v>
      </c>
      <c r="E444" s="51" t="s">
        <v>149</v>
      </c>
    </row>
    <row r="445" spans="1:6" ht="15" hidden="1" customHeight="1" x14ac:dyDescent="0.25">
      <c r="A445" s="203" t="s">
        <v>44</v>
      </c>
      <c r="B445" s="147" t="s">
        <v>637</v>
      </c>
      <c r="C445" s="11" t="str">
        <f t="shared" si="6"/>
        <v>DenmarkKanal 5</v>
      </c>
      <c r="D445" s="1">
        <v>1998230.0000000002</v>
      </c>
      <c r="E445" s="22" t="s">
        <v>149</v>
      </c>
      <c r="F445" s="11"/>
    </row>
    <row r="446" spans="1:6" ht="15" hidden="1" customHeight="1" x14ac:dyDescent="0.25">
      <c r="A446" s="13" t="s">
        <v>44</v>
      </c>
      <c r="B446" t="s">
        <v>638</v>
      </c>
      <c r="C446" t="str">
        <f t="shared" si="6"/>
        <v>DenmarkTV 2</v>
      </c>
      <c r="D446" s="1">
        <v>2512000</v>
      </c>
      <c r="E446" s="51" t="s">
        <v>142</v>
      </c>
      <c r="F446" t="s">
        <v>639</v>
      </c>
    </row>
    <row r="447" spans="1:6" ht="15" hidden="1" customHeight="1" x14ac:dyDescent="0.25">
      <c r="A447" s="13" t="s">
        <v>44</v>
      </c>
      <c r="B447" t="s">
        <v>640</v>
      </c>
      <c r="C447" t="str">
        <f t="shared" si="6"/>
        <v>DenmarkTV 2 Sport X</v>
      </c>
      <c r="D447" s="1">
        <v>2138000</v>
      </c>
      <c r="E447" t="s">
        <v>149</v>
      </c>
    </row>
    <row r="448" spans="1:6" ht="15" hidden="1" customHeight="1" x14ac:dyDescent="0.25">
      <c r="A448" s="39" t="s">
        <v>44</v>
      </c>
      <c r="B448" t="s">
        <v>641</v>
      </c>
      <c r="C448" t="str">
        <f t="shared" si="6"/>
        <v>DenmarkTV 3 Sport 1</v>
      </c>
      <c r="D448" s="1">
        <v>2138000</v>
      </c>
      <c r="E448" t="s">
        <v>149</v>
      </c>
      <c r="F448" t="s">
        <v>642</v>
      </c>
    </row>
    <row r="449" spans="1:6" ht="15" hidden="1" customHeight="1" x14ac:dyDescent="0.25">
      <c r="A449" s="13" t="s">
        <v>44</v>
      </c>
      <c r="B449" t="s">
        <v>643</v>
      </c>
      <c r="C449" t="str">
        <f t="shared" si="6"/>
        <v>DenmarkTV 3+</v>
      </c>
      <c r="D449" s="1">
        <v>2138000</v>
      </c>
      <c r="E449" t="s">
        <v>149</v>
      </c>
      <c r="F449" t="s">
        <v>642</v>
      </c>
    </row>
    <row r="450" spans="1:6" ht="15" hidden="1" customHeight="1" x14ac:dyDescent="0.25">
      <c r="A450" s="39" t="s">
        <v>44</v>
      </c>
      <c r="B450" t="s">
        <v>644</v>
      </c>
      <c r="C450" t="str">
        <f t="shared" ref="C450:C513" si="7">CONCATENATE(A450,B450)</f>
        <v>DenmarkTV2 Sport</v>
      </c>
      <c r="D450" s="1">
        <v>2138000</v>
      </c>
      <c r="E450" t="s">
        <v>149</v>
      </c>
      <c r="F450" t="s">
        <v>642</v>
      </c>
    </row>
    <row r="451" spans="1:6" ht="15" hidden="1" customHeight="1" x14ac:dyDescent="0.25">
      <c r="A451" t="s">
        <v>44</v>
      </c>
      <c r="B451" t="s">
        <v>645</v>
      </c>
      <c r="C451" t="str">
        <f t="shared" si="7"/>
        <v xml:space="preserve">DenmarkTV2 Sport </v>
      </c>
      <c r="D451" s="1">
        <v>2138000</v>
      </c>
      <c r="E451" t="s">
        <v>149</v>
      </c>
      <c r="F451" t="s">
        <v>642</v>
      </c>
    </row>
    <row r="452" spans="1:6" ht="15" hidden="1" customHeight="1" x14ac:dyDescent="0.25">
      <c r="A452" t="s">
        <v>44</v>
      </c>
      <c r="B452" t="s">
        <v>646</v>
      </c>
      <c r="C452" t="str">
        <f t="shared" si="7"/>
        <v>DenmarkTV3 dk</v>
      </c>
      <c r="D452" s="1">
        <v>2138000</v>
      </c>
      <c r="E452" t="s">
        <v>149</v>
      </c>
      <c r="F452" t="s">
        <v>642</v>
      </c>
    </row>
    <row r="453" spans="1:6" ht="15" hidden="1" customHeight="1" x14ac:dyDescent="0.25">
      <c r="A453" t="s">
        <v>44</v>
      </c>
      <c r="B453" t="s">
        <v>647</v>
      </c>
      <c r="C453" t="str">
        <f t="shared" si="7"/>
        <v>DenmarkTV3 Max</v>
      </c>
      <c r="D453" s="1">
        <v>2138000</v>
      </c>
      <c r="E453" t="s">
        <v>149</v>
      </c>
      <c r="F453" t="s">
        <v>642</v>
      </c>
    </row>
    <row r="454" spans="1:6" ht="15" hidden="1" customHeight="1" x14ac:dyDescent="0.25">
      <c r="A454" s="113" t="s">
        <v>44</v>
      </c>
      <c r="B454" t="s">
        <v>648</v>
      </c>
      <c r="C454" t="str">
        <f t="shared" si="7"/>
        <v>DenmarkTV3 SPORT</v>
      </c>
      <c r="D454" s="1">
        <v>2138000</v>
      </c>
      <c r="E454" t="s">
        <v>149</v>
      </c>
      <c r="F454" t="s">
        <v>642</v>
      </c>
    </row>
    <row r="455" spans="1:6" ht="15" hidden="1" customHeight="1" x14ac:dyDescent="0.25">
      <c r="A455" t="s">
        <v>44</v>
      </c>
      <c r="B455" t="s">
        <v>649</v>
      </c>
      <c r="C455" t="str">
        <f t="shared" si="7"/>
        <v>DenmarkTV3 SPORT 1</v>
      </c>
      <c r="D455" s="1">
        <v>2138000</v>
      </c>
      <c r="E455" t="s">
        <v>149</v>
      </c>
      <c r="F455" t="s">
        <v>642</v>
      </c>
    </row>
    <row r="456" spans="1:6" ht="15" hidden="1" customHeight="1" x14ac:dyDescent="0.25">
      <c r="A456" s="13" t="s">
        <v>44</v>
      </c>
      <c r="B456" t="s">
        <v>650</v>
      </c>
      <c r="C456" t="str">
        <f t="shared" si="7"/>
        <v>DenmarkTV3 Sport 2</v>
      </c>
      <c r="D456" s="1">
        <v>2138000</v>
      </c>
      <c r="E456" t="s">
        <v>149</v>
      </c>
      <c r="F456" t="s">
        <v>642</v>
      </c>
    </row>
    <row r="457" spans="1:6" ht="15" hidden="1" customHeight="1" x14ac:dyDescent="0.25">
      <c r="A457" s="39" t="s">
        <v>44</v>
      </c>
      <c r="B457" t="s">
        <v>651</v>
      </c>
      <c r="C457" t="str">
        <f t="shared" si="7"/>
        <v>DenmarkTV3+</v>
      </c>
      <c r="D457" s="1">
        <v>2138000</v>
      </c>
      <c r="E457" t="s">
        <v>149</v>
      </c>
    </row>
    <row r="458" spans="1:6" ht="15" hidden="1" customHeight="1" x14ac:dyDescent="0.25">
      <c r="A458" s="212" t="s">
        <v>44</v>
      </c>
      <c r="B458" s="152" t="s">
        <v>652</v>
      </c>
      <c r="C458" s="150" t="str">
        <f t="shared" si="7"/>
        <v>DenmarkV Sport Golf</v>
      </c>
      <c r="D458" s="1">
        <v>1456000</v>
      </c>
      <c r="E458" t="s">
        <v>149</v>
      </c>
      <c r="F458" s="150"/>
    </row>
    <row r="459" spans="1:6" ht="15" hidden="1" customHeight="1" x14ac:dyDescent="0.25">
      <c r="A459" s="13" t="s">
        <v>44</v>
      </c>
      <c r="B459" t="s">
        <v>653</v>
      </c>
      <c r="C459" t="str">
        <f t="shared" si="7"/>
        <v>DenmarkViaplay</v>
      </c>
      <c r="D459" s="1">
        <v>1456000</v>
      </c>
      <c r="E459" t="s">
        <v>149</v>
      </c>
    </row>
    <row r="460" spans="1:6" ht="15" hidden="1" customHeight="1" x14ac:dyDescent="0.25">
      <c r="A460" s="13" t="s">
        <v>44</v>
      </c>
      <c r="B460" t="s">
        <v>654</v>
      </c>
      <c r="C460" t="str">
        <f t="shared" si="7"/>
        <v>DenmarkViasat Golf</v>
      </c>
      <c r="D460" s="1">
        <v>1456000</v>
      </c>
      <c r="E460" t="s">
        <v>149</v>
      </c>
      <c r="F460" t="s">
        <v>655</v>
      </c>
    </row>
    <row r="461" spans="1:6" ht="15" hidden="1" customHeight="1" x14ac:dyDescent="0.25">
      <c r="A461" s="13" t="s">
        <v>44</v>
      </c>
      <c r="B461" t="s">
        <v>656</v>
      </c>
      <c r="C461" t="str">
        <f t="shared" si="7"/>
        <v>DenmarkViasat Motor</v>
      </c>
      <c r="D461" s="1">
        <v>1456000</v>
      </c>
      <c r="E461" t="s">
        <v>149</v>
      </c>
      <c r="F461" t="s">
        <v>655</v>
      </c>
    </row>
    <row r="462" spans="1:6" ht="15" hidden="1" customHeight="1" x14ac:dyDescent="0.25">
      <c r="A462" s="13" t="s">
        <v>44</v>
      </c>
      <c r="B462" t="s">
        <v>657</v>
      </c>
      <c r="C462" t="str">
        <f t="shared" si="7"/>
        <v>DenmarkViasat Sport</v>
      </c>
      <c r="D462" s="1">
        <v>1456000</v>
      </c>
      <c r="E462" t="s">
        <v>149</v>
      </c>
      <c r="F462" t="s">
        <v>655</v>
      </c>
    </row>
    <row r="463" spans="1:6" ht="15" hidden="1" customHeight="1" x14ac:dyDescent="0.25">
      <c r="A463" s="13" t="s">
        <v>45</v>
      </c>
      <c r="B463" t="s">
        <v>45</v>
      </c>
      <c r="C463" t="str">
        <f t="shared" si="7"/>
        <v>DigitalDigital</v>
      </c>
      <c r="D463" s="114" t="s">
        <v>658</v>
      </c>
      <c r="E463" t="s">
        <v>45</v>
      </c>
    </row>
    <row r="464" spans="1:6" ht="15" hidden="1" customHeight="1" x14ac:dyDescent="0.25">
      <c r="A464" s="13" t="s">
        <v>46</v>
      </c>
      <c r="B464" t="s">
        <v>558</v>
      </c>
      <c r="C464" t="str">
        <f t="shared" si="7"/>
        <v>Dominican RepublicSky</v>
      </c>
      <c r="D464" s="1">
        <v>23000</v>
      </c>
      <c r="E464" s="51" t="s">
        <v>149</v>
      </c>
      <c r="F464" t="s">
        <v>559</v>
      </c>
    </row>
    <row r="465" spans="1:6" ht="15" hidden="1" customHeight="1" x14ac:dyDescent="0.25">
      <c r="A465" s="13" t="s">
        <v>47</v>
      </c>
      <c r="B465" s="41" t="s">
        <v>455</v>
      </c>
      <c r="C465" t="str">
        <f t="shared" si="7"/>
        <v>East TimorbeIN Sports</v>
      </c>
      <c r="D465" s="1">
        <v>5400</v>
      </c>
      <c r="E465" t="s">
        <v>149</v>
      </c>
      <c r="F465" t="s">
        <v>659</v>
      </c>
    </row>
    <row r="466" spans="1:6" ht="15" hidden="1" customHeight="1" x14ac:dyDescent="0.25">
      <c r="A466" s="13" t="s">
        <v>48</v>
      </c>
      <c r="B466" t="s">
        <v>183</v>
      </c>
      <c r="C466" t="str">
        <f t="shared" si="7"/>
        <v>EcuadorESPN</v>
      </c>
      <c r="D466" s="1">
        <v>894487</v>
      </c>
      <c r="E466" t="s">
        <v>149</v>
      </c>
    </row>
    <row r="467" spans="1:6" ht="15" hidden="1" customHeight="1" x14ac:dyDescent="0.25">
      <c r="A467" s="39" t="s">
        <v>48</v>
      </c>
      <c r="B467" t="s">
        <v>185</v>
      </c>
      <c r="C467" t="str">
        <f t="shared" si="7"/>
        <v>EcuadorESPN 2</v>
      </c>
      <c r="D467" s="1">
        <v>894487</v>
      </c>
      <c r="E467" t="s">
        <v>149</v>
      </c>
    </row>
    <row r="468" spans="1:6" ht="15" hidden="1" customHeight="1" x14ac:dyDescent="0.25">
      <c r="A468" s="13" t="s">
        <v>48</v>
      </c>
      <c r="B468" t="s">
        <v>186</v>
      </c>
      <c r="C468" t="str">
        <f t="shared" si="7"/>
        <v>EcuadorESPN 3</v>
      </c>
      <c r="D468" s="1">
        <v>894487</v>
      </c>
      <c r="E468" t="s">
        <v>149</v>
      </c>
    </row>
    <row r="469" spans="1:6" ht="15" hidden="1" customHeight="1" x14ac:dyDescent="0.25">
      <c r="A469" s="39" t="s">
        <v>48</v>
      </c>
      <c r="B469" t="s">
        <v>189</v>
      </c>
      <c r="C469" t="str">
        <f t="shared" si="7"/>
        <v>EcuadorESPN HD</v>
      </c>
      <c r="D469" s="1">
        <v>894487</v>
      </c>
      <c r="E469" t="s">
        <v>149</v>
      </c>
    </row>
    <row r="470" spans="1:6" ht="15" hidden="1" customHeight="1" x14ac:dyDescent="0.25">
      <c r="A470" s="39" t="s">
        <v>48</v>
      </c>
      <c r="B470" t="s">
        <v>190</v>
      </c>
      <c r="C470" t="str">
        <f t="shared" si="7"/>
        <v>EcuadorESPN Internacional</v>
      </c>
      <c r="D470" s="1">
        <v>894487</v>
      </c>
      <c r="E470" t="s">
        <v>149</v>
      </c>
    </row>
    <row r="471" spans="1:6" ht="15" hidden="1" customHeight="1" x14ac:dyDescent="0.25">
      <c r="A471" s="39" t="s">
        <v>48</v>
      </c>
      <c r="B471" t="s">
        <v>192</v>
      </c>
      <c r="C471" t="str">
        <f t="shared" si="7"/>
        <v>EcuadorESPN+</v>
      </c>
      <c r="D471" s="1">
        <v>894487</v>
      </c>
      <c r="E471" t="s">
        <v>149</v>
      </c>
    </row>
    <row r="472" spans="1:6" ht="15" hidden="1" customHeight="1" x14ac:dyDescent="0.25">
      <c r="A472" s="39" t="s">
        <v>49</v>
      </c>
      <c r="B472" t="s">
        <v>660</v>
      </c>
      <c r="C472" t="str">
        <f t="shared" si="7"/>
        <v>EgyptBEIN SPORTS 1 HD</v>
      </c>
      <c r="D472" s="1">
        <v>149000</v>
      </c>
      <c r="E472" t="s">
        <v>149</v>
      </c>
      <c r="F472" t="s">
        <v>661</v>
      </c>
    </row>
    <row r="473" spans="1:6" ht="15" hidden="1" customHeight="1" x14ac:dyDescent="0.25">
      <c r="A473" s="39" t="s">
        <v>662</v>
      </c>
      <c r="B473" t="s">
        <v>558</v>
      </c>
      <c r="C473" t="str">
        <f t="shared" si="7"/>
        <v>El SalvadorSky</v>
      </c>
      <c r="D473" s="1">
        <v>28000</v>
      </c>
      <c r="E473" s="51" t="s">
        <v>149</v>
      </c>
      <c r="F473" t="s">
        <v>559</v>
      </c>
    </row>
    <row r="474" spans="1:6" ht="15" hidden="1" customHeight="1" x14ac:dyDescent="0.25">
      <c r="A474" t="s">
        <v>51</v>
      </c>
      <c r="B474" t="s">
        <v>663</v>
      </c>
      <c r="C474" t="str">
        <f t="shared" si="7"/>
        <v>EstoniaDelfi TV</v>
      </c>
      <c r="D474" s="1">
        <v>192780</v>
      </c>
      <c r="E474" t="s">
        <v>149</v>
      </c>
      <c r="F474" t="s">
        <v>664</v>
      </c>
    </row>
    <row r="475" spans="1:6" ht="15" hidden="1" customHeight="1" x14ac:dyDescent="0.25">
      <c r="A475" s="39" t="s">
        <v>51</v>
      </c>
      <c r="B475" t="s">
        <v>665</v>
      </c>
      <c r="C475" t="str">
        <f t="shared" si="7"/>
        <v>EstoniaETV</v>
      </c>
      <c r="D475" s="1">
        <v>539560</v>
      </c>
      <c r="E475" s="115" t="s">
        <v>142</v>
      </c>
      <c r="F475" t="s">
        <v>341</v>
      </c>
    </row>
    <row r="476" spans="1:6" ht="15" hidden="1" customHeight="1" x14ac:dyDescent="0.25">
      <c r="A476" s="211" t="s">
        <v>51</v>
      </c>
      <c r="B476" s="166" t="s">
        <v>666</v>
      </c>
      <c r="C476" s="162" t="str">
        <f t="shared" si="7"/>
        <v>EstoniaKanal 12</v>
      </c>
      <c r="D476" s="1">
        <v>389529.00000000006</v>
      </c>
      <c r="E476" t="s">
        <v>149</v>
      </c>
      <c r="F476" s="162"/>
    </row>
    <row r="477" spans="1:6" ht="15" hidden="1" customHeight="1" x14ac:dyDescent="0.25">
      <c r="A477" s="13" t="s">
        <v>51</v>
      </c>
      <c r="B477" t="s">
        <v>667</v>
      </c>
      <c r="C477" t="str">
        <f t="shared" si="7"/>
        <v>EstoniaTV6</v>
      </c>
      <c r="D477" s="1">
        <v>415000</v>
      </c>
      <c r="E477" t="s">
        <v>149</v>
      </c>
      <c r="F477" t="s">
        <v>668</v>
      </c>
    </row>
    <row r="478" spans="1:6" ht="15" hidden="1" customHeight="1" x14ac:dyDescent="0.25">
      <c r="A478" s="217" t="s">
        <v>51</v>
      </c>
      <c r="B478" s="152" t="s">
        <v>652</v>
      </c>
      <c r="C478" s="150" t="str">
        <f t="shared" si="7"/>
        <v>EstoniaV Sport Golf</v>
      </c>
      <c r="D478" s="1">
        <v>240000</v>
      </c>
      <c r="E478" t="s">
        <v>149</v>
      </c>
      <c r="F478" s="150"/>
    </row>
    <row r="479" spans="1:6" ht="15" hidden="1" customHeight="1" x14ac:dyDescent="0.25">
      <c r="A479" s="13" t="s">
        <v>51</v>
      </c>
      <c r="B479" t="s">
        <v>653</v>
      </c>
      <c r="C479" t="str">
        <f t="shared" si="7"/>
        <v>EstoniaViaplay</v>
      </c>
      <c r="D479" s="1">
        <v>240000</v>
      </c>
      <c r="E479" t="s">
        <v>149</v>
      </c>
    </row>
    <row r="480" spans="1:6" ht="15" hidden="1" customHeight="1" x14ac:dyDescent="0.25">
      <c r="A480" s="13" t="s">
        <v>51</v>
      </c>
      <c r="B480" t="s">
        <v>654</v>
      </c>
      <c r="C480" t="str">
        <f t="shared" si="7"/>
        <v>EstoniaViasat Golf</v>
      </c>
      <c r="D480" s="1">
        <v>240000</v>
      </c>
      <c r="E480" t="s">
        <v>149</v>
      </c>
      <c r="F480" t="s">
        <v>669</v>
      </c>
    </row>
    <row r="481" spans="1:6" ht="15" hidden="1" customHeight="1" x14ac:dyDescent="0.25">
      <c r="A481" s="13" t="s">
        <v>51</v>
      </c>
      <c r="B481" t="s">
        <v>656</v>
      </c>
      <c r="C481" t="str">
        <f t="shared" si="7"/>
        <v>EstoniaViasat Motor</v>
      </c>
      <c r="D481">
        <v>240000</v>
      </c>
      <c r="E481" t="s">
        <v>149</v>
      </c>
    </row>
    <row r="482" spans="1:6" ht="15" hidden="1" customHeight="1" x14ac:dyDescent="0.25">
      <c r="A482" s="13" t="s">
        <v>51</v>
      </c>
      <c r="B482" t="s">
        <v>657</v>
      </c>
      <c r="C482" t="str">
        <f t="shared" si="7"/>
        <v>EstoniaViasat Sport</v>
      </c>
      <c r="D482" s="1">
        <v>240000</v>
      </c>
      <c r="E482" t="s">
        <v>149</v>
      </c>
      <c r="F482" t="s">
        <v>669</v>
      </c>
    </row>
    <row r="483" spans="1:6" ht="15" hidden="1" customHeight="1" x14ac:dyDescent="0.25">
      <c r="A483" s="13" t="s">
        <v>51</v>
      </c>
      <c r="B483" t="s">
        <v>670</v>
      </c>
      <c r="C483" t="str">
        <f t="shared" si="7"/>
        <v>EstoniaViasat Sport Baltic</v>
      </c>
      <c r="D483" s="1">
        <v>240000</v>
      </c>
      <c r="E483" t="s">
        <v>149</v>
      </c>
      <c r="F483" t="s">
        <v>669</v>
      </c>
    </row>
    <row r="484" spans="1:6" ht="15" hidden="1" customHeight="1" x14ac:dyDescent="0.25">
      <c r="A484" s="214" t="s">
        <v>52</v>
      </c>
      <c r="B484" s="147" t="s">
        <v>671</v>
      </c>
      <c r="C484" s="11" t="str">
        <f t="shared" si="7"/>
        <v>FijiFBC TV</v>
      </c>
      <c r="D484" s="1">
        <v>550000</v>
      </c>
      <c r="E484" s="1" t="s">
        <v>142</v>
      </c>
      <c r="F484" s="11"/>
    </row>
    <row r="485" spans="1:6" ht="15" hidden="1" customHeight="1" x14ac:dyDescent="0.25">
      <c r="A485" s="13" t="s">
        <v>52</v>
      </c>
      <c r="B485" t="s">
        <v>672</v>
      </c>
      <c r="C485" t="str">
        <f t="shared" si="7"/>
        <v>FijiFiji TV</v>
      </c>
      <c r="D485" s="1">
        <v>550000</v>
      </c>
      <c r="E485" s="1" t="s">
        <v>142</v>
      </c>
      <c r="F485" t="s">
        <v>322</v>
      </c>
    </row>
    <row r="486" spans="1:6" ht="15" hidden="1" customHeight="1" x14ac:dyDescent="0.25">
      <c r="A486" s="13" t="s">
        <v>53</v>
      </c>
      <c r="B486" t="s">
        <v>628</v>
      </c>
      <c r="C486" t="str">
        <f t="shared" si="7"/>
        <v>FinlandC More Golf HD</v>
      </c>
      <c r="D486" s="1">
        <v>541000</v>
      </c>
      <c r="E486" t="s">
        <v>149</v>
      </c>
    </row>
    <row r="487" spans="1:6" ht="15" hidden="1" customHeight="1" x14ac:dyDescent="0.25">
      <c r="A487" s="13" t="s">
        <v>53</v>
      </c>
      <c r="B487" t="s">
        <v>673</v>
      </c>
      <c r="C487" t="str">
        <f t="shared" si="7"/>
        <v>FinlandC More Live</v>
      </c>
      <c r="D487" s="1">
        <v>541000</v>
      </c>
      <c r="E487" t="s">
        <v>149</v>
      </c>
    </row>
    <row r="488" spans="1:6" ht="15" hidden="1" customHeight="1" x14ac:dyDescent="0.25">
      <c r="A488" s="113" t="s">
        <v>53</v>
      </c>
      <c r="B488" t="s">
        <v>629</v>
      </c>
      <c r="C488" t="str">
        <f t="shared" si="7"/>
        <v>FinlandC More Max</v>
      </c>
      <c r="D488" s="1">
        <v>541000</v>
      </c>
      <c r="E488" t="s">
        <v>149</v>
      </c>
      <c r="F488" t="s">
        <v>674</v>
      </c>
    </row>
    <row r="489" spans="1:6" ht="15" hidden="1" customHeight="1" x14ac:dyDescent="0.25">
      <c r="A489" s="13" t="s">
        <v>53</v>
      </c>
      <c r="B489" t="s">
        <v>630</v>
      </c>
      <c r="C489" t="str">
        <f t="shared" si="7"/>
        <v>FinlandC More Sport</v>
      </c>
      <c r="D489" s="1">
        <v>541000</v>
      </c>
      <c r="E489" t="s">
        <v>149</v>
      </c>
      <c r="F489" t="s">
        <v>674</v>
      </c>
    </row>
    <row r="490" spans="1:6" ht="15" hidden="1" customHeight="1" x14ac:dyDescent="0.25">
      <c r="A490" s="50" t="s">
        <v>53</v>
      </c>
      <c r="B490" s="34" t="s">
        <v>632</v>
      </c>
      <c r="C490" t="str">
        <f t="shared" si="7"/>
        <v>FinlandC More Sport 1</v>
      </c>
      <c r="D490" s="1">
        <v>541000</v>
      </c>
      <c r="E490" t="s">
        <v>149</v>
      </c>
      <c r="F490" t="s">
        <v>674</v>
      </c>
    </row>
    <row r="491" spans="1:6" ht="15" hidden="1" customHeight="1" x14ac:dyDescent="0.25">
      <c r="A491" s="50" t="s">
        <v>53</v>
      </c>
      <c r="B491" s="34" t="s">
        <v>633</v>
      </c>
      <c r="C491" t="str">
        <f t="shared" si="7"/>
        <v>FinlandC More Sport 2</v>
      </c>
      <c r="D491" s="1">
        <v>541000</v>
      </c>
      <c r="E491" t="s">
        <v>149</v>
      </c>
      <c r="F491" t="s">
        <v>674</v>
      </c>
    </row>
    <row r="492" spans="1:6" ht="15" hidden="1" customHeight="1" x14ac:dyDescent="0.25">
      <c r="A492" s="13" t="s">
        <v>53</v>
      </c>
      <c r="B492" t="s">
        <v>634</v>
      </c>
      <c r="C492" t="str">
        <f t="shared" si="7"/>
        <v>FinlandC More Tennis</v>
      </c>
      <c r="D492" s="1">
        <v>541000</v>
      </c>
      <c r="E492" t="s">
        <v>149</v>
      </c>
      <c r="F492" t="s">
        <v>674</v>
      </c>
    </row>
    <row r="493" spans="1:6" ht="15" hidden="1" customHeight="1" x14ac:dyDescent="0.25">
      <c r="A493" s="205" t="s">
        <v>53</v>
      </c>
      <c r="B493" s="11" t="s">
        <v>268</v>
      </c>
      <c r="C493" s="11" t="str">
        <f t="shared" si="7"/>
        <v>FinlandEurosport 1</v>
      </c>
      <c r="D493" s="1">
        <v>571000</v>
      </c>
      <c r="E493" t="s">
        <v>149</v>
      </c>
      <c r="F493" s="11"/>
    </row>
    <row r="494" spans="1:6" ht="15" hidden="1" customHeight="1" x14ac:dyDescent="0.25">
      <c r="A494" s="39" t="s">
        <v>53</v>
      </c>
      <c r="B494" t="s">
        <v>269</v>
      </c>
      <c r="C494" t="str">
        <f t="shared" si="7"/>
        <v>FinlandEurosport 2</v>
      </c>
      <c r="D494" s="116">
        <v>90000</v>
      </c>
      <c r="E494" t="s">
        <v>149</v>
      </c>
    </row>
    <row r="495" spans="1:6" ht="15" hidden="1" customHeight="1" x14ac:dyDescent="0.25">
      <c r="A495" s="39" t="s">
        <v>53</v>
      </c>
      <c r="B495" t="s">
        <v>675</v>
      </c>
      <c r="C495" t="str">
        <f t="shared" si="7"/>
        <v>FinlandMTV 3</v>
      </c>
      <c r="D495" s="1">
        <v>2554165</v>
      </c>
      <c r="E495" t="s">
        <v>142</v>
      </c>
      <c r="F495" t="s">
        <v>676</v>
      </c>
    </row>
    <row r="496" spans="1:6" ht="15" hidden="1" customHeight="1" x14ac:dyDescent="0.25">
      <c r="A496" s="39" t="s">
        <v>53</v>
      </c>
      <c r="B496" t="s">
        <v>677</v>
      </c>
      <c r="C496" t="str">
        <f t="shared" si="7"/>
        <v>FinlandMTV Max</v>
      </c>
      <c r="D496" s="1">
        <v>1696000</v>
      </c>
      <c r="E496" t="s">
        <v>149</v>
      </c>
      <c r="F496" t="s">
        <v>678</v>
      </c>
    </row>
    <row r="497" spans="1:6" ht="15" hidden="1" customHeight="1" x14ac:dyDescent="0.25">
      <c r="A497" s="13" t="s">
        <v>53</v>
      </c>
      <c r="B497" t="s">
        <v>679</v>
      </c>
      <c r="C497" t="str">
        <f t="shared" si="7"/>
        <v>FinlandMTV Sport 1</v>
      </c>
      <c r="D497" s="1">
        <v>1696000</v>
      </c>
      <c r="E497" t="s">
        <v>149</v>
      </c>
      <c r="F497" t="s">
        <v>678</v>
      </c>
    </row>
    <row r="498" spans="1:6" ht="15" hidden="1" customHeight="1" x14ac:dyDescent="0.25">
      <c r="A498" s="13" t="s">
        <v>53</v>
      </c>
      <c r="B498" t="s">
        <v>680</v>
      </c>
      <c r="C498" t="str">
        <f t="shared" si="7"/>
        <v>FinlandMTV Sport 2</v>
      </c>
      <c r="D498" s="1">
        <v>1696000</v>
      </c>
      <c r="E498" t="s">
        <v>149</v>
      </c>
      <c r="F498" t="s">
        <v>678</v>
      </c>
    </row>
    <row r="499" spans="1:6" ht="15" hidden="1" customHeight="1" x14ac:dyDescent="0.25">
      <c r="A499" s="13" t="s">
        <v>53</v>
      </c>
      <c r="B499" t="s">
        <v>681</v>
      </c>
      <c r="C499" t="str">
        <f t="shared" si="7"/>
        <v>FinlandMTV3</v>
      </c>
      <c r="D499" s="1">
        <v>2554165</v>
      </c>
      <c r="E499" t="s">
        <v>142</v>
      </c>
      <c r="F499" t="s">
        <v>676</v>
      </c>
    </row>
    <row r="500" spans="1:6" ht="15" hidden="1" customHeight="1" x14ac:dyDescent="0.25">
      <c r="A500" s="13" t="s">
        <v>53</v>
      </c>
      <c r="B500" t="s">
        <v>682</v>
      </c>
      <c r="C500" t="str">
        <f t="shared" si="7"/>
        <v>FinlandMTV3 MAX Sport 1</v>
      </c>
      <c r="D500" s="1">
        <v>1696000</v>
      </c>
      <c r="E500" t="s">
        <v>149</v>
      </c>
      <c r="F500" t="s">
        <v>678</v>
      </c>
    </row>
    <row r="501" spans="1:6" ht="15" hidden="1" customHeight="1" x14ac:dyDescent="0.25">
      <c r="A501" s="13" t="s">
        <v>53</v>
      </c>
      <c r="B501" t="s">
        <v>683</v>
      </c>
      <c r="C501" t="str">
        <f t="shared" si="7"/>
        <v>FinlandMTV3 MAX Sport 2</v>
      </c>
      <c r="D501" s="1">
        <v>1696000</v>
      </c>
      <c r="E501" t="s">
        <v>149</v>
      </c>
      <c r="F501" t="s">
        <v>678</v>
      </c>
    </row>
    <row r="502" spans="1:6" ht="15" hidden="1" customHeight="1" x14ac:dyDescent="0.25">
      <c r="A502" s="13" t="s">
        <v>53</v>
      </c>
      <c r="B502" t="s">
        <v>684</v>
      </c>
      <c r="C502" t="str">
        <f t="shared" si="7"/>
        <v>FinlandTV5</v>
      </c>
      <c r="D502" s="1">
        <v>2325702</v>
      </c>
      <c r="E502" s="19" t="s">
        <v>142</v>
      </c>
      <c r="F502" t="s">
        <v>685</v>
      </c>
    </row>
    <row r="503" spans="1:6" ht="15" hidden="1" customHeight="1" x14ac:dyDescent="0.25">
      <c r="A503" s="212" t="s">
        <v>53</v>
      </c>
      <c r="B503" s="152" t="s">
        <v>652</v>
      </c>
      <c r="C503" s="150" t="str">
        <f t="shared" si="7"/>
        <v>FinlandV Sport Golf</v>
      </c>
      <c r="D503" s="1">
        <v>1718000</v>
      </c>
      <c r="E503" t="s">
        <v>149</v>
      </c>
      <c r="F503" s="150"/>
    </row>
    <row r="504" spans="1:6" ht="15" hidden="1" customHeight="1" x14ac:dyDescent="0.25">
      <c r="A504" s="13" t="s">
        <v>53</v>
      </c>
      <c r="B504" t="s">
        <v>653</v>
      </c>
      <c r="C504" t="str">
        <f t="shared" si="7"/>
        <v>FinlandViaplay</v>
      </c>
      <c r="D504" s="1">
        <v>1718000</v>
      </c>
      <c r="E504" t="s">
        <v>149</v>
      </c>
    </row>
    <row r="505" spans="1:6" ht="15" hidden="1" customHeight="1" x14ac:dyDescent="0.25">
      <c r="A505" s="13" t="s">
        <v>53</v>
      </c>
      <c r="B505" t="s">
        <v>654</v>
      </c>
      <c r="C505" t="str">
        <f t="shared" si="7"/>
        <v>FinlandViasat Golf</v>
      </c>
      <c r="D505" s="1">
        <v>1718000</v>
      </c>
      <c r="E505" t="s">
        <v>149</v>
      </c>
      <c r="F505" t="s">
        <v>686</v>
      </c>
    </row>
    <row r="506" spans="1:6" ht="15" hidden="1" customHeight="1" x14ac:dyDescent="0.25">
      <c r="A506" s="13" t="s">
        <v>53</v>
      </c>
      <c r="B506" t="s">
        <v>657</v>
      </c>
      <c r="C506" t="str">
        <f t="shared" si="7"/>
        <v>FinlandViasat Sport</v>
      </c>
      <c r="D506" s="1">
        <v>1718000</v>
      </c>
      <c r="E506" t="s">
        <v>149</v>
      </c>
      <c r="F506" t="s">
        <v>686</v>
      </c>
    </row>
    <row r="507" spans="1:6" ht="15" hidden="1" customHeight="1" x14ac:dyDescent="0.25">
      <c r="A507" s="39" t="s">
        <v>53</v>
      </c>
      <c r="B507" t="s">
        <v>687</v>
      </c>
      <c r="C507" t="str">
        <f t="shared" si="7"/>
        <v>FinlandViasat Urheilu</v>
      </c>
      <c r="D507" s="1">
        <v>1718000</v>
      </c>
      <c r="E507" t="s">
        <v>149</v>
      </c>
    </row>
    <row r="508" spans="1:6" ht="15" hidden="1" customHeight="1" x14ac:dyDescent="0.25">
      <c r="A508" s="39" t="s">
        <v>53</v>
      </c>
      <c r="B508" t="s">
        <v>688</v>
      </c>
      <c r="C508" t="str">
        <f t="shared" si="7"/>
        <v>FinlandYLE</v>
      </c>
      <c r="D508" s="1">
        <v>2538800</v>
      </c>
      <c r="E508" s="19" t="s">
        <v>142</v>
      </c>
      <c r="F508" t="s">
        <v>685</v>
      </c>
    </row>
    <row r="509" spans="1:6" ht="15" hidden="1" customHeight="1" x14ac:dyDescent="0.25">
      <c r="A509" s="210" t="s">
        <v>53</v>
      </c>
      <c r="B509" s="162" t="s">
        <v>689</v>
      </c>
      <c r="C509" s="162" t="str">
        <f t="shared" si="7"/>
        <v>FinlandYLE Areena</v>
      </c>
      <c r="D509" s="1">
        <v>2538800</v>
      </c>
      <c r="E509" s="19" t="s">
        <v>142</v>
      </c>
      <c r="F509" s="162"/>
    </row>
    <row r="510" spans="1:6" ht="15" hidden="1" customHeight="1" x14ac:dyDescent="0.25">
      <c r="A510" s="208" t="s">
        <v>53</v>
      </c>
      <c r="B510" s="166" t="s">
        <v>690</v>
      </c>
      <c r="C510" s="162" t="str">
        <f t="shared" si="7"/>
        <v>FinlandYLE TV2</v>
      </c>
      <c r="D510" s="1">
        <v>2538800</v>
      </c>
      <c r="E510" s="19" t="s">
        <v>142</v>
      </c>
      <c r="F510" s="162"/>
    </row>
    <row r="511" spans="1:6" ht="15" hidden="1" customHeight="1" x14ac:dyDescent="0.25">
      <c r="A511" s="211" t="s">
        <v>53</v>
      </c>
      <c r="B511" s="166" t="s">
        <v>691</v>
      </c>
      <c r="C511" s="162" t="str">
        <f t="shared" si="7"/>
        <v>FinlandYLE2</v>
      </c>
      <c r="D511" s="1">
        <v>2538800</v>
      </c>
      <c r="E511" s="19" t="s">
        <v>142</v>
      </c>
      <c r="F511" s="162"/>
    </row>
    <row r="512" spans="1:6" ht="15" hidden="1" customHeight="1" x14ac:dyDescent="0.25">
      <c r="A512" s="113" t="s">
        <v>54</v>
      </c>
      <c r="B512" t="s">
        <v>692</v>
      </c>
      <c r="C512" t="str">
        <f t="shared" si="7"/>
        <v>FranceBeIN Sports 1</v>
      </c>
      <c r="D512" s="1">
        <v>3000000</v>
      </c>
      <c r="E512" t="s">
        <v>149</v>
      </c>
      <c r="F512" t="s">
        <v>693</v>
      </c>
    </row>
    <row r="513" spans="1:9" ht="15" hidden="1" customHeight="1" x14ac:dyDescent="0.25">
      <c r="A513" t="s">
        <v>54</v>
      </c>
      <c r="B513" t="s">
        <v>694</v>
      </c>
      <c r="C513" t="str">
        <f t="shared" si="7"/>
        <v>FranceBeIN Sports 10</v>
      </c>
      <c r="D513" s="1">
        <v>3000000</v>
      </c>
      <c r="E513" t="s">
        <v>149</v>
      </c>
      <c r="F513" t="s">
        <v>693</v>
      </c>
    </row>
    <row r="514" spans="1:9" ht="15" hidden="1" customHeight="1" x14ac:dyDescent="0.25">
      <c r="A514" s="216" t="s">
        <v>54</v>
      </c>
      <c r="B514" s="155" t="s">
        <v>216</v>
      </c>
      <c r="C514" s="155" t="str">
        <f t="shared" ref="C514:C540" si="8">CONCATENATE(A514,B514)</f>
        <v>FranceBeIN Sports 2</v>
      </c>
      <c r="D514" s="156">
        <v>3000000</v>
      </c>
      <c r="E514" s="155" t="s">
        <v>149</v>
      </c>
      <c r="F514" s="155"/>
    </row>
    <row r="515" spans="1:9" ht="15" hidden="1" customHeight="1" x14ac:dyDescent="0.25">
      <c r="A515" s="39" t="s">
        <v>54</v>
      </c>
      <c r="B515" t="s">
        <v>217</v>
      </c>
      <c r="C515" t="str">
        <f t="shared" si="8"/>
        <v>FrancebeIN Sports 3</v>
      </c>
      <c r="D515" s="1">
        <v>3000000</v>
      </c>
      <c r="E515" t="s">
        <v>149</v>
      </c>
      <c r="F515" t="s">
        <v>693</v>
      </c>
    </row>
    <row r="516" spans="1:9" ht="15" hidden="1" customHeight="1" x14ac:dyDescent="0.25">
      <c r="A516" s="113" t="s">
        <v>54</v>
      </c>
      <c r="B516" t="s">
        <v>695</v>
      </c>
      <c r="C516" t="str">
        <f t="shared" si="8"/>
        <v>FranceBeIN Sports 4</v>
      </c>
      <c r="D516" s="1">
        <v>3000000</v>
      </c>
      <c r="E516" t="s">
        <v>149</v>
      </c>
      <c r="F516" t="s">
        <v>693</v>
      </c>
    </row>
    <row r="517" spans="1:9" ht="15" hidden="1" customHeight="1" x14ac:dyDescent="0.25">
      <c r="A517" s="113" t="s">
        <v>54</v>
      </c>
      <c r="B517" t="s">
        <v>696</v>
      </c>
      <c r="C517" t="str">
        <f t="shared" si="8"/>
        <v>FranceBeIN Sports 4 Max</v>
      </c>
      <c r="D517" s="1">
        <v>3000000</v>
      </c>
      <c r="E517" t="s">
        <v>149</v>
      </c>
      <c r="F517" t="s">
        <v>693</v>
      </c>
      <c r="I517">
        <v>38770000</v>
      </c>
    </row>
    <row r="518" spans="1:9" ht="15" hidden="1" customHeight="1" x14ac:dyDescent="0.25">
      <c r="A518" t="s">
        <v>54</v>
      </c>
      <c r="B518" t="s">
        <v>697</v>
      </c>
      <c r="C518" t="str">
        <f t="shared" si="8"/>
        <v>FranceBeIN Sports 5</v>
      </c>
      <c r="D518" s="1">
        <v>3000000</v>
      </c>
      <c r="E518" t="s">
        <v>149</v>
      </c>
      <c r="F518" t="s">
        <v>693</v>
      </c>
      <c r="I518">
        <f>I517*0.503</f>
        <v>19501310</v>
      </c>
    </row>
    <row r="519" spans="1:9" ht="15" hidden="1" customHeight="1" x14ac:dyDescent="0.25">
      <c r="A519" t="s">
        <v>54</v>
      </c>
      <c r="B519" t="s">
        <v>698</v>
      </c>
      <c r="C519" t="str">
        <f t="shared" si="8"/>
        <v>FranceBeIN Sports 5 Max</v>
      </c>
      <c r="D519" s="1">
        <v>3000000</v>
      </c>
      <c r="E519" t="s">
        <v>149</v>
      </c>
      <c r="F519" t="s">
        <v>693</v>
      </c>
    </row>
    <row r="520" spans="1:9" ht="15" hidden="1" customHeight="1" x14ac:dyDescent="0.25">
      <c r="A520" t="s">
        <v>54</v>
      </c>
      <c r="B520" t="s">
        <v>699</v>
      </c>
      <c r="C520" t="str">
        <f t="shared" si="8"/>
        <v>FranceBeIN Sports 6</v>
      </c>
      <c r="D520" s="1">
        <v>3000000</v>
      </c>
      <c r="E520" t="s">
        <v>149</v>
      </c>
      <c r="F520" t="s">
        <v>693</v>
      </c>
    </row>
    <row r="521" spans="1:9" ht="15" hidden="1" customHeight="1" x14ac:dyDescent="0.25">
      <c r="A521" s="113" t="s">
        <v>54</v>
      </c>
      <c r="B521" t="s">
        <v>700</v>
      </c>
      <c r="C521" t="str">
        <f t="shared" si="8"/>
        <v>FranceBeIN Sports 6 Max</v>
      </c>
      <c r="D521" s="1">
        <v>3000000</v>
      </c>
      <c r="E521" t="s">
        <v>149</v>
      </c>
      <c r="F521" t="s">
        <v>693</v>
      </c>
    </row>
    <row r="522" spans="1:9" ht="15" hidden="1" customHeight="1" x14ac:dyDescent="0.25">
      <c r="A522" t="s">
        <v>54</v>
      </c>
      <c r="B522" t="s">
        <v>701</v>
      </c>
      <c r="C522" t="str">
        <f t="shared" si="8"/>
        <v>FranceBeIN Sports 7</v>
      </c>
      <c r="D522" s="1">
        <v>3000000</v>
      </c>
      <c r="E522" t="s">
        <v>149</v>
      </c>
      <c r="F522" t="s">
        <v>693</v>
      </c>
    </row>
    <row r="523" spans="1:9" ht="15" hidden="1" customHeight="1" x14ac:dyDescent="0.25">
      <c r="A523" s="113" t="s">
        <v>54</v>
      </c>
      <c r="B523" t="s">
        <v>702</v>
      </c>
      <c r="C523" t="str">
        <f t="shared" si="8"/>
        <v>FranceBeIN Sports 7 Max</v>
      </c>
      <c r="D523" s="1">
        <v>3000000</v>
      </c>
      <c r="E523" t="s">
        <v>149</v>
      </c>
      <c r="F523" t="s">
        <v>693</v>
      </c>
    </row>
    <row r="524" spans="1:9" ht="15" hidden="1" customHeight="1" x14ac:dyDescent="0.25">
      <c r="A524" s="113" t="s">
        <v>54</v>
      </c>
      <c r="B524" t="s">
        <v>703</v>
      </c>
      <c r="C524" t="str">
        <f t="shared" si="8"/>
        <v>FranceBeIN Sports 8</v>
      </c>
      <c r="D524" s="1">
        <v>3000000</v>
      </c>
      <c r="E524" t="s">
        <v>149</v>
      </c>
      <c r="F524" t="s">
        <v>693</v>
      </c>
      <c r="I524" s="126"/>
    </row>
    <row r="525" spans="1:9" ht="15" hidden="1" customHeight="1" x14ac:dyDescent="0.25">
      <c r="A525" t="s">
        <v>54</v>
      </c>
      <c r="B525" t="s">
        <v>704</v>
      </c>
      <c r="C525" t="str">
        <f t="shared" si="8"/>
        <v>FranceBeIN Sports 9</v>
      </c>
      <c r="D525" s="1">
        <v>3000000</v>
      </c>
      <c r="E525" t="s">
        <v>149</v>
      </c>
      <c r="F525" t="s">
        <v>693</v>
      </c>
      <c r="I525" s="126"/>
    </row>
    <row r="526" spans="1:9" ht="15" hidden="1" customHeight="1" x14ac:dyDescent="0.25">
      <c r="A526" s="13" t="s">
        <v>54</v>
      </c>
      <c r="B526" t="s">
        <v>705</v>
      </c>
      <c r="C526" t="str">
        <f t="shared" si="8"/>
        <v>FrancebeIN Sports Max 4</v>
      </c>
      <c r="D526" s="1">
        <v>3000000</v>
      </c>
      <c r="E526" t="s">
        <v>149</v>
      </c>
      <c r="F526" t="s">
        <v>693</v>
      </c>
      <c r="I526" s="126"/>
    </row>
    <row r="527" spans="1:9" ht="15" hidden="1" customHeight="1" x14ac:dyDescent="0.25">
      <c r="A527" s="13" t="s">
        <v>54</v>
      </c>
      <c r="B527" t="s">
        <v>706</v>
      </c>
      <c r="C527" t="str">
        <f t="shared" si="8"/>
        <v>FrancebeIN Sports Max 5</v>
      </c>
      <c r="D527" s="1">
        <v>3000000</v>
      </c>
      <c r="E527" t="s">
        <v>149</v>
      </c>
      <c r="F527" t="s">
        <v>693</v>
      </c>
      <c r="I527" s="126"/>
    </row>
    <row r="528" spans="1:9" ht="15" hidden="1" customHeight="1" x14ac:dyDescent="0.25">
      <c r="A528" s="13" t="s">
        <v>54</v>
      </c>
      <c r="B528" t="s">
        <v>707</v>
      </c>
      <c r="C528" t="str">
        <f t="shared" si="8"/>
        <v>FranceC8</v>
      </c>
      <c r="D528" s="1">
        <v>21435860</v>
      </c>
      <c r="E528" t="s">
        <v>142</v>
      </c>
      <c r="F528" t="s">
        <v>708</v>
      </c>
      <c r="I528" s="126"/>
    </row>
    <row r="529" spans="1:10" ht="15" hidden="1" customHeight="1" x14ac:dyDescent="0.25">
      <c r="A529" s="13" t="s">
        <v>54</v>
      </c>
      <c r="B529" t="s">
        <v>709</v>
      </c>
      <c r="C529" t="str">
        <f t="shared" si="8"/>
        <v>FranceCanal + (encrypted)</v>
      </c>
      <c r="D529" s="1">
        <v>11582228</v>
      </c>
      <c r="E529" t="s">
        <v>149</v>
      </c>
      <c r="H529">
        <f>4120000</f>
        <v>4120000</v>
      </c>
      <c r="I529" s="9">
        <f>Table1[[#This Row],[HHR]]/H529</f>
        <v>2.8112203883495144</v>
      </c>
      <c r="J529">
        <f>I529*200000</f>
        <v>562244.07766990282</v>
      </c>
    </row>
    <row r="530" spans="1:10" ht="15" hidden="1" customHeight="1" x14ac:dyDescent="0.25">
      <c r="A530" s="13" t="s">
        <v>54</v>
      </c>
      <c r="B530" t="s">
        <v>710</v>
      </c>
      <c r="C530" t="str">
        <f t="shared" si="8"/>
        <v>FranceCanal + Decale</v>
      </c>
      <c r="D530" s="1">
        <v>11582228</v>
      </c>
      <c r="E530" t="s">
        <v>149</v>
      </c>
      <c r="F530" t="s">
        <v>711</v>
      </c>
      <c r="I530">
        <v>0.55100000000000005</v>
      </c>
    </row>
    <row r="531" spans="1:10" ht="15" hidden="1" customHeight="1" x14ac:dyDescent="0.25">
      <c r="A531" s="39" t="s">
        <v>54</v>
      </c>
      <c r="B531" t="s">
        <v>712</v>
      </c>
      <c r="C531" t="str">
        <f t="shared" si="8"/>
        <v>FranceCanal + Sport</v>
      </c>
      <c r="D531" s="1">
        <v>5752400</v>
      </c>
      <c r="E531" t="s">
        <v>149</v>
      </c>
      <c r="F531" t="s">
        <v>713</v>
      </c>
      <c r="I531">
        <f>H529*I530</f>
        <v>2270120</v>
      </c>
    </row>
    <row r="532" spans="1:10" ht="15" hidden="1" customHeight="1" x14ac:dyDescent="0.25">
      <c r="A532" s="13" t="s">
        <v>54</v>
      </c>
      <c r="B532" t="s">
        <v>714</v>
      </c>
      <c r="C532" t="str">
        <f t="shared" si="8"/>
        <v>FranceCanal+</v>
      </c>
      <c r="D532" s="1">
        <v>16606000</v>
      </c>
      <c r="E532" t="s">
        <v>142</v>
      </c>
      <c r="F532" t="s">
        <v>715</v>
      </c>
    </row>
    <row r="533" spans="1:10" ht="15" hidden="1" customHeight="1" x14ac:dyDescent="0.25">
      <c r="A533" s="13" t="s">
        <v>54</v>
      </c>
      <c r="B533" t="s">
        <v>716</v>
      </c>
      <c r="C533" t="str">
        <f t="shared" si="8"/>
        <v>FranceCanal+ Sport</v>
      </c>
      <c r="D533" s="1">
        <v>5752400</v>
      </c>
      <c r="E533" t="s">
        <v>149</v>
      </c>
      <c r="F533" t="s">
        <v>713</v>
      </c>
    </row>
    <row r="534" spans="1:10" ht="15" hidden="1" customHeight="1" x14ac:dyDescent="0.25">
      <c r="A534" s="13" t="s">
        <v>54</v>
      </c>
      <c r="B534" t="s">
        <v>717</v>
      </c>
      <c r="C534" t="str">
        <f t="shared" si="8"/>
        <v>FranceEquida Life</v>
      </c>
      <c r="D534" s="19">
        <v>895422</v>
      </c>
      <c r="E534" s="19" t="s">
        <v>149</v>
      </c>
      <c r="F534" s="111"/>
    </row>
    <row r="535" spans="1:10" ht="15" hidden="1" customHeight="1" x14ac:dyDescent="0.25">
      <c r="A535" s="205" t="s">
        <v>54</v>
      </c>
      <c r="B535" s="11" t="s">
        <v>268</v>
      </c>
      <c r="C535" s="11" t="str">
        <f t="shared" si="8"/>
        <v>FranceEurosport 1</v>
      </c>
      <c r="D535" s="1">
        <v>7446000</v>
      </c>
      <c r="E535" t="s">
        <v>149</v>
      </c>
      <c r="F535" s="11"/>
    </row>
    <row r="536" spans="1:10" ht="15" hidden="1" customHeight="1" x14ac:dyDescent="0.25">
      <c r="A536" s="205" t="s">
        <v>54</v>
      </c>
      <c r="B536" s="11" t="s">
        <v>269</v>
      </c>
      <c r="C536" s="11" t="str">
        <f t="shared" si="8"/>
        <v>FranceEurosport 2</v>
      </c>
      <c r="D536" s="22">
        <v>5286000</v>
      </c>
      <c r="E536" t="s">
        <v>149</v>
      </c>
      <c r="F536" s="11"/>
    </row>
    <row r="537" spans="1:10" ht="15" hidden="1" customHeight="1" x14ac:dyDescent="0.25">
      <c r="A537" s="13" t="s">
        <v>54</v>
      </c>
      <c r="B537" t="s">
        <v>163</v>
      </c>
      <c r="C537" t="str">
        <f t="shared" si="8"/>
        <v>FranceFrance 2</v>
      </c>
      <c r="D537" s="1">
        <v>24827610</v>
      </c>
      <c r="E537" t="s">
        <v>142</v>
      </c>
    </row>
    <row r="538" spans="1:10" ht="15" hidden="1" customHeight="1" x14ac:dyDescent="0.25">
      <c r="A538" s="39" t="s">
        <v>54</v>
      </c>
      <c r="B538" t="s">
        <v>718</v>
      </c>
      <c r="C538" t="str">
        <f t="shared" si="8"/>
        <v>FranceFrance 3</v>
      </c>
      <c r="D538" s="1">
        <v>21842870</v>
      </c>
      <c r="E538" t="s">
        <v>142</v>
      </c>
    </row>
    <row r="539" spans="1:10" ht="15" hidden="1" customHeight="1" x14ac:dyDescent="0.25">
      <c r="A539" s="39" t="s">
        <v>54</v>
      </c>
      <c r="B539" s="41" t="s">
        <v>719</v>
      </c>
      <c r="C539" t="str">
        <f t="shared" si="8"/>
        <v>FranceFrance 4</v>
      </c>
      <c r="D539" s="1">
        <v>19210870</v>
      </c>
      <c r="E539" t="s">
        <v>142</v>
      </c>
      <c r="F539" t="s">
        <v>720</v>
      </c>
    </row>
    <row r="540" spans="1:10" ht="15" hidden="1" customHeight="1" x14ac:dyDescent="0.25">
      <c r="A540" s="37" t="s">
        <v>54</v>
      </c>
      <c r="B540" s="35" t="s">
        <v>165</v>
      </c>
      <c r="C540" t="str">
        <f t="shared" si="8"/>
        <v>FranceFrance2</v>
      </c>
      <c r="D540" s="1">
        <v>24827610</v>
      </c>
      <c r="E540" s="51" t="s">
        <v>142</v>
      </c>
    </row>
    <row r="541" spans="1:10" ht="15" hidden="1" customHeight="1" x14ac:dyDescent="0.25">
      <c r="A541" s="39" t="s">
        <v>54</v>
      </c>
      <c r="B541" t="s">
        <v>721</v>
      </c>
      <c r="C541" t="s">
        <v>722</v>
      </c>
      <c r="D541" s="1">
        <v>4576000</v>
      </c>
      <c r="E541" t="s">
        <v>149</v>
      </c>
      <c r="F541" t="s">
        <v>723</v>
      </c>
    </row>
    <row r="542" spans="1:10" ht="15" hidden="1" customHeight="1" x14ac:dyDescent="0.25">
      <c r="A542" s="39" t="s">
        <v>54</v>
      </c>
      <c r="B542" t="s">
        <v>477</v>
      </c>
      <c r="C542" t="str">
        <f t="shared" ref="C542:C573" si="9">CONCATENATE(A542,B542)</f>
        <v>FranceGolf Channel</v>
      </c>
      <c r="D542" s="1">
        <v>4576000</v>
      </c>
      <c r="E542" s="42" t="s">
        <v>149</v>
      </c>
    </row>
    <row r="543" spans="1:10" ht="15" hidden="1" customHeight="1" x14ac:dyDescent="0.25">
      <c r="A543" s="39" t="s">
        <v>54</v>
      </c>
      <c r="B543" t="s">
        <v>724</v>
      </c>
      <c r="C543" t="str">
        <f t="shared" si="9"/>
        <v>FranceGolf Plus</v>
      </c>
      <c r="D543" s="1">
        <v>4576000</v>
      </c>
      <c r="E543" t="s">
        <v>149</v>
      </c>
      <c r="F543" t="s">
        <v>723</v>
      </c>
    </row>
    <row r="544" spans="1:10" ht="15" hidden="1" customHeight="1" x14ac:dyDescent="0.25">
      <c r="A544" s="39" t="s">
        <v>54</v>
      </c>
      <c r="B544" t="s">
        <v>725</v>
      </c>
      <c r="C544" t="str">
        <f t="shared" si="9"/>
        <v>FranceL'Equipe</v>
      </c>
      <c r="D544" s="1">
        <v>13502000</v>
      </c>
      <c r="E544" t="s">
        <v>142</v>
      </c>
      <c r="F544" t="s">
        <v>726</v>
      </c>
    </row>
    <row r="545" spans="1:6" ht="15" hidden="1" customHeight="1" x14ac:dyDescent="0.25">
      <c r="A545" s="13" t="s">
        <v>54</v>
      </c>
      <c r="B545" t="s">
        <v>343</v>
      </c>
      <c r="C545" t="str">
        <f t="shared" si="9"/>
        <v>FranceMa Chaine Sport</v>
      </c>
      <c r="D545" s="1">
        <v>8000000</v>
      </c>
      <c r="E545" t="s">
        <v>149</v>
      </c>
      <c r="F545" t="s">
        <v>727</v>
      </c>
    </row>
    <row r="546" spans="1:6" ht="15" hidden="1" customHeight="1" x14ac:dyDescent="0.25">
      <c r="A546" s="13" t="s">
        <v>54</v>
      </c>
      <c r="B546" t="s">
        <v>344</v>
      </c>
      <c r="C546" t="str">
        <f t="shared" si="9"/>
        <v>FranceMa Chaine Sport Tennis</v>
      </c>
      <c r="D546" s="1">
        <v>5000000</v>
      </c>
      <c r="E546" t="s">
        <v>149</v>
      </c>
      <c r="F546" t="s">
        <v>727</v>
      </c>
    </row>
    <row r="547" spans="1:6" ht="15" hidden="1" customHeight="1" x14ac:dyDescent="0.25">
      <c r="A547" s="13" t="s">
        <v>54</v>
      </c>
      <c r="B547" t="s">
        <v>728</v>
      </c>
      <c r="C547" t="str">
        <f t="shared" si="9"/>
        <v>FranceMotors TV</v>
      </c>
      <c r="D547" s="1">
        <v>9102000</v>
      </c>
      <c r="E547" t="s">
        <v>149</v>
      </c>
      <c r="F547" t="s">
        <v>729</v>
      </c>
    </row>
    <row r="548" spans="1:6" ht="15" hidden="1" customHeight="1" x14ac:dyDescent="0.25">
      <c r="A548" s="13" t="s">
        <v>54</v>
      </c>
      <c r="B548" t="s">
        <v>730</v>
      </c>
      <c r="C548" t="str">
        <f t="shared" si="9"/>
        <v>FranceNumero 23</v>
      </c>
      <c r="D548" s="1">
        <v>11160610</v>
      </c>
      <c r="E548" t="s">
        <v>142</v>
      </c>
      <c r="F548" t="s">
        <v>731</v>
      </c>
    </row>
    <row r="549" spans="1:6" ht="15" hidden="1" customHeight="1" x14ac:dyDescent="0.25">
      <c r="A549" s="13" t="s">
        <v>54</v>
      </c>
      <c r="B549" t="s">
        <v>380</v>
      </c>
      <c r="C549" t="str">
        <f t="shared" si="9"/>
        <v>FranceTF1</v>
      </c>
      <c r="D549">
        <v>24080240</v>
      </c>
      <c r="E549" t="s">
        <v>142</v>
      </c>
    </row>
    <row r="550" spans="1:6" ht="15" hidden="1" customHeight="1" x14ac:dyDescent="0.25">
      <c r="A550" s="39" t="s">
        <v>54</v>
      </c>
      <c r="B550" t="s">
        <v>732</v>
      </c>
      <c r="C550" t="str">
        <f t="shared" si="9"/>
        <v>FranceTMC</v>
      </c>
      <c r="D550" s="1">
        <v>17614500</v>
      </c>
      <c r="E550" t="s">
        <v>142</v>
      </c>
      <c r="F550" t="s">
        <v>733</v>
      </c>
    </row>
    <row r="551" spans="1:6" ht="15" hidden="1" customHeight="1" x14ac:dyDescent="0.25">
      <c r="A551" s="209" t="s">
        <v>55</v>
      </c>
      <c r="B551" s="155" t="s">
        <v>734</v>
      </c>
      <c r="C551" s="155" t="str">
        <f t="shared" si="9"/>
        <v>GeorgiaAdjara Sport 1</v>
      </c>
      <c r="D551" s="156">
        <v>409870</v>
      </c>
      <c r="E551" s="155" t="s">
        <v>142</v>
      </c>
      <c r="F551" s="155"/>
    </row>
    <row r="552" spans="1:6" ht="15" hidden="1" customHeight="1" x14ac:dyDescent="0.25">
      <c r="A552" s="216" t="s">
        <v>55</v>
      </c>
      <c r="B552" s="155" t="s">
        <v>735</v>
      </c>
      <c r="C552" s="155" t="str">
        <f t="shared" si="9"/>
        <v>GeorgiaAdjara Sport 2</v>
      </c>
      <c r="D552" s="156">
        <v>409870</v>
      </c>
      <c r="E552" s="155" t="s">
        <v>142</v>
      </c>
      <c r="F552" s="155"/>
    </row>
    <row r="553" spans="1:6" ht="15" hidden="1" customHeight="1" x14ac:dyDescent="0.25">
      <c r="A553" s="13" t="s">
        <v>55</v>
      </c>
      <c r="B553" t="s">
        <v>736</v>
      </c>
      <c r="C553" t="str">
        <f t="shared" si="9"/>
        <v>GeorgiaGMG Sports</v>
      </c>
      <c r="D553" s="1">
        <v>111000</v>
      </c>
      <c r="E553" t="s">
        <v>149</v>
      </c>
      <c r="F553" t="s">
        <v>737</v>
      </c>
    </row>
    <row r="554" spans="1:6" ht="15" hidden="1" customHeight="1" x14ac:dyDescent="0.25">
      <c r="A554" s="39" t="s">
        <v>55</v>
      </c>
      <c r="B554" t="s">
        <v>738</v>
      </c>
      <c r="C554" t="str">
        <f t="shared" si="9"/>
        <v>GeorgiaGMG Sports Channel</v>
      </c>
      <c r="D554" s="1">
        <v>111000</v>
      </c>
      <c r="E554" t="s">
        <v>149</v>
      </c>
      <c r="F554" t="s">
        <v>737</v>
      </c>
    </row>
    <row r="555" spans="1:6" ht="15" hidden="1" customHeight="1" x14ac:dyDescent="0.25">
      <c r="A555" s="13" t="s">
        <v>55</v>
      </c>
      <c r="B555" t="s">
        <v>739</v>
      </c>
      <c r="C555" t="str">
        <f t="shared" si="9"/>
        <v>GeorgiaGTV</v>
      </c>
      <c r="D555" s="1">
        <v>478200</v>
      </c>
      <c r="E555" t="s">
        <v>149</v>
      </c>
      <c r="F555" t="s">
        <v>740</v>
      </c>
    </row>
    <row r="556" spans="1:6" ht="15" hidden="1" customHeight="1" x14ac:dyDescent="0.25">
      <c r="A556" t="s">
        <v>55</v>
      </c>
      <c r="B556" t="s">
        <v>741</v>
      </c>
      <c r="C556" t="str">
        <f t="shared" si="9"/>
        <v>GeorgiaSilk Sport HD</v>
      </c>
      <c r="D556" s="1">
        <v>111000</v>
      </c>
      <c r="E556" t="s">
        <v>149</v>
      </c>
      <c r="F556" t="s">
        <v>737</v>
      </c>
    </row>
    <row r="557" spans="1:6" ht="15" hidden="1" customHeight="1" x14ac:dyDescent="0.25">
      <c r="A557" s="13" t="s">
        <v>55</v>
      </c>
      <c r="B557" t="s">
        <v>742</v>
      </c>
      <c r="C557" t="str">
        <f t="shared" si="9"/>
        <v>GeorgiaSilk Sport HD1</v>
      </c>
      <c r="D557" s="1">
        <v>111000</v>
      </c>
      <c r="E557" t="s">
        <v>149</v>
      </c>
    </row>
    <row r="558" spans="1:6" ht="15" hidden="1" customHeight="1" x14ac:dyDescent="0.25">
      <c r="A558" s="39" t="s">
        <v>55</v>
      </c>
      <c r="B558" t="s">
        <v>743</v>
      </c>
      <c r="C558" t="str">
        <f t="shared" si="9"/>
        <v>GeorgiaSilk Sport HD3</v>
      </c>
      <c r="D558" s="1">
        <v>111000</v>
      </c>
      <c r="E558" t="s">
        <v>149</v>
      </c>
    </row>
    <row r="559" spans="1:6" ht="15" hidden="1" customHeight="1" x14ac:dyDescent="0.25">
      <c r="A559" s="13" t="s">
        <v>55</v>
      </c>
      <c r="B559" t="s">
        <v>744</v>
      </c>
      <c r="C559" t="str">
        <f t="shared" si="9"/>
        <v>GeorgiaSilk Universal</v>
      </c>
      <c r="D559" s="1">
        <v>111000</v>
      </c>
      <c r="E559" t="s">
        <v>149</v>
      </c>
    </row>
    <row r="560" spans="1:6" ht="15" hidden="1" customHeight="1" x14ac:dyDescent="0.25">
      <c r="A560" t="s">
        <v>55</v>
      </c>
      <c r="B560" t="s">
        <v>745</v>
      </c>
      <c r="C560" t="str">
        <f t="shared" si="9"/>
        <v>GeorgiaSilknet</v>
      </c>
      <c r="D560" s="1">
        <v>478200</v>
      </c>
      <c r="E560" t="s">
        <v>149</v>
      </c>
      <c r="F560" t="s">
        <v>737</v>
      </c>
    </row>
    <row r="561" spans="1:6" ht="15" hidden="1" customHeight="1" x14ac:dyDescent="0.25">
      <c r="A561" s="13" t="s">
        <v>55</v>
      </c>
      <c r="B561" t="s">
        <v>746</v>
      </c>
      <c r="C561" t="str">
        <f t="shared" si="9"/>
        <v>GeorgiaSilknet HD1</v>
      </c>
      <c r="D561" s="1">
        <v>478200</v>
      </c>
      <c r="E561" t="s">
        <v>149</v>
      </c>
    </row>
    <row r="562" spans="1:6" ht="15" hidden="1" customHeight="1" x14ac:dyDescent="0.25">
      <c r="A562" s="39" t="s">
        <v>55</v>
      </c>
      <c r="B562" t="s">
        <v>747</v>
      </c>
      <c r="C562" t="str">
        <f t="shared" si="9"/>
        <v>GeorgiaSilknet HD3</v>
      </c>
      <c r="D562" s="1">
        <v>478200</v>
      </c>
      <c r="E562" t="s">
        <v>149</v>
      </c>
    </row>
    <row r="563" spans="1:6" ht="15" hidden="1" customHeight="1" x14ac:dyDescent="0.25">
      <c r="A563" s="13" t="s">
        <v>55</v>
      </c>
      <c r="B563" t="s">
        <v>748</v>
      </c>
      <c r="C563" t="str">
        <f t="shared" si="9"/>
        <v>GeorgiaSilknet UNI</v>
      </c>
      <c r="D563" s="1">
        <v>478200</v>
      </c>
      <c r="E563" t="s">
        <v>149</v>
      </c>
    </row>
    <row r="564" spans="1:6" ht="15" hidden="1" customHeight="1" x14ac:dyDescent="0.25">
      <c r="A564" s="13" t="s">
        <v>56</v>
      </c>
      <c r="B564" t="s">
        <v>749</v>
      </c>
      <c r="C564" t="str">
        <f t="shared" si="9"/>
        <v>Germany3SAT</v>
      </c>
      <c r="D564" s="1">
        <v>37028000</v>
      </c>
      <c r="E564" t="s">
        <v>142</v>
      </c>
      <c r="F564" t="s">
        <v>750</v>
      </c>
    </row>
    <row r="565" spans="1:6" ht="15" hidden="1" customHeight="1" x14ac:dyDescent="0.25">
      <c r="A565" s="13" t="s">
        <v>56</v>
      </c>
      <c r="B565" t="s">
        <v>263</v>
      </c>
      <c r="C565" t="str">
        <f t="shared" si="9"/>
        <v>GermanyARD</v>
      </c>
      <c r="D565" s="1">
        <v>37028000</v>
      </c>
      <c r="E565" s="51" t="s">
        <v>142</v>
      </c>
      <c r="F565" t="s">
        <v>750</v>
      </c>
    </row>
    <row r="566" spans="1:6" ht="15" hidden="1" customHeight="1" x14ac:dyDescent="0.25">
      <c r="A566" s="13" t="s">
        <v>56</v>
      </c>
      <c r="B566" s="41" t="s">
        <v>265</v>
      </c>
      <c r="C566" t="str">
        <f t="shared" si="9"/>
        <v>GermanyDAZN</v>
      </c>
      <c r="D566" s="1">
        <v>75068</v>
      </c>
      <c r="E566" t="s">
        <v>149</v>
      </c>
      <c r="F566" t="s">
        <v>266</v>
      </c>
    </row>
    <row r="567" spans="1:6" ht="15" hidden="1" customHeight="1" x14ac:dyDescent="0.25">
      <c r="A567" s="13" t="s">
        <v>56</v>
      </c>
      <c r="B567" t="s">
        <v>221</v>
      </c>
      <c r="C567" t="str">
        <f t="shared" si="9"/>
        <v>GermanyEurosport</v>
      </c>
      <c r="D567" s="51">
        <v>33338000</v>
      </c>
      <c r="E567" s="51" t="s">
        <v>142</v>
      </c>
      <c r="F567" t="s">
        <v>267</v>
      </c>
    </row>
    <row r="568" spans="1:6" ht="15" hidden="1" customHeight="1" x14ac:dyDescent="0.25">
      <c r="A568" s="205" t="s">
        <v>56</v>
      </c>
      <c r="B568" s="11" t="s">
        <v>268</v>
      </c>
      <c r="C568" s="11" t="str">
        <f t="shared" si="9"/>
        <v>GermanyEurosport 1</v>
      </c>
      <c r="D568" s="1">
        <v>33338000</v>
      </c>
      <c r="E568" t="s">
        <v>142</v>
      </c>
      <c r="F568" s="11"/>
    </row>
    <row r="569" spans="1:6" ht="15" hidden="1" customHeight="1" x14ac:dyDescent="0.25">
      <c r="A569" s="39" t="s">
        <v>56</v>
      </c>
      <c r="B569" s="52" t="s">
        <v>269</v>
      </c>
      <c r="C569" t="str">
        <f t="shared" si="9"/>
        <v>GermanyEurosport 2</v>
      </c>
      <c r="D569" s="116">
        <v>4469000</v>
      </c>
      <c r="E569" t="s">
        <v>149</v>
      </c>
      <c r="F569" t="s">
        <v>751</v>
      </c>
    </row>
    <row r="570" spans="1:6" ht="15" hidden="1" customHeight="1" x14ac:dyDescent="0.25">
      <c r="A570" s="39" t="s">
        <v>56</v>
      </c>
      <c r="B570" s="41" t="s">
        <v>752</v>
      </c>
      <c r="C570" t="str">
        <f t="shared" si="9"/>
        <v>GermanyHESSEN FERNSEHEN</v>
      </c>
      <c r="D570" s="1">
        <v>37028000</v>
      </c>
      <c r="E570" t="s">
        <v>142</v>
      </c>
      <c r="F570" t="s">
        <v>750</v>
      </c>
    </row>
    <row r="571" spans="1:6" ht="15" hidden="1" customHeight="1" x14ac:dyDescent="0.25">
      <c r="A571" s="13" t="s">
        <v>56</v>
      </c>
      <c r="B571" t="s">
        <v>270</v>
      </c>
      <c r="C571" t="str">
        <f t="shared" si="9"/>
        <v>GermanyNTV</v>
      </c>
      <c r="D571" s="1">
        <v>37028000</v>
      </c>
      <c r="E571" s="51" t="s">
        <v>142</v>
      </c>
      <c r="F571" t="s">
        <v>750</v>
      </c>
    </row>
    <row r="572" spans="1:6" ht="15" hidden="1" customHeight="1" x14ac:dyDescent="0.25">
      <c r="A572" s="13" t="s">
        <v>56</v>
      </c>
      <c r="B572" t="s">
        <v>280</v>
      </c>
      <c r="C572" t="str">
        <f t="shared" si="9"/>
        <v>GermanyRTL</v>
      </c>
      <c r="D572" s="1">
        <v>37028000</v>
      </c>
      <c r="E572" s="51" t="s">
        <v>142</v>
      </c>
      <c r="F572" t="s">
        <v>750</v>
      </c>
    </row>
    <row r="573" spans="1:6" ht="15" hidden="1" customHeight="1" x14ac:dyDescent="0.25">
      <c r="A573" s="13" t="s">
        <v>56</v>
      </c>
      <c r="B573" s="42" t="s">
        <v>753</v>
      </c>
      <c r="C573" t="str">
        <f t="shared" si="9"/>
        <v>GermanyRTL Nitro</v>
      </c>
      <c r="D573" s="1">
        <v>37028000</v>
      </c>
      <c r="E573" s="51" t="s">
        <v>142</v>
      </c>
      <c r="F573" t="s">
        <v>750</v>
      </c>
    </row>
    <row r="574" spans="1:6" ht="15" hidden="1" customHeight="1" x14ac:dyDescent="0.25">
      <c r="A574" s="13" t="s">
        <v>56</v>
      </c>
      <c r="B574" t="s">
        <v>282</v>
      </c>
      <c r="C574" t="str">
        <f t="shared" ref="C574:C605" si="10">CONCATENATE(A574,B574)</f>
        <v>GermanyServus TV</v>
      </c>
      <c r="D574" s="1">
        <v>19501310</v>
      </c>
      <c r="E574" s="51" t="s">
        <v>142</v>
      </c>
      <c r="F574" t="s">
        <v>754</v>
      </c>
    </row>
    <row r="575" spans="1:6" ht="15" hidden="1" customHeight="1" x14ac:dyDescent="0.25">
      <c r="A575" s="210" t="s">
        <v>56</v>
      </c>
      <c r="B575" s="162" t="s">
        <v>755</v>
      </c>
      <c r="C575" s="162" t="str">
        <f t="shared" si="10"/>
        <v>GermanyServus TV Deutschland</v>
      </c>
      <c r="D575" s="1">
        <v>19501310</v>
      </c>
      <c r="E575" s="51" t="s">
        <v>142</v>
      </c>
      <c r="F575" s="162"/>
    </row>
    <row r="576" spans="1:6" ht="15" hidden="1" customHeight="1" x14ac:dyDescent="0.25">
      <c r="A576" s="13" t="s">
        <v>56</v>
      </c>
      <c r="B576" t="s">
        <v>283</v>
      </c>
      <c r="C576" t="str">
        <f t="shared" si="10"/>
        <v>GermanySky Sport 1</v>
      </c>
      <c r="D576" s="1">
        <v>10991000</v>
      </c>
      <c r="E576" t="s">
        <v>149</v>
      </c>
      <c r="F576" t="s">
        <v>756</v>
      </c>
    </row>
    <row r="577" spans="1:6" ht="15" hidden="1" customHeight="1" x14ac:dyDescent="0.25">
      <c r="A577" s="113" t="s">
        <v>56</v>
      </c>
      <c r="B577" t="s">
        <v>285</v>
      </c>
      <c r="C577" t="str">
        <f t="shared" si="10"/>
        <v>GermanySky Sport 10</v>
      </c>
      <c r="D577" s="1">
        <v>10991000</v>
      </c>
      <c r="E577" t="s">
        <v>149</v>
      </c>
      <c r="F577" t="s">
        <v>756</v>
      </c>
    </row>
    <row r="578" spans="1:6" ht="15" hidden="1" customHeight="1" x14ac:dyDescent="0.25">
      <c r="A578" s="39" t="s">
        <v>56</v>
      </c>
      <c r="B578" t="s">
        <v>286</v>
      </c>
      <c r="C578" t="str">
        <f t="shared" si="10"/>
        <v>GermanySky Sport 11</v>
      </c>
      <c r="D578" s="1">
        <v>10991000</v>
      </c>
      <c r="E578" t="s">
        <v>149</v>
      </c>
    </row>
    <row r="579" spans="1:6" ht="15" hidden="1" customHeight="1" x14ac:dyDescent="0.25">
      <c r="A579" s="39" t="s">
        <v>56</v>
      </c>
      <c r="B579" t="s">
        <v>287</v>
      </c>
      <c r="C579" t="str">
        <f t="shared" si="10"/>
        <v>GermanySky Sport 2</v>
      </c>
      <c r="D579" s="1">
        <v>10991000</v>
      </c>
      <c r="E579" t="s">
        <v>149</v>
      </c>
      <c r="F579" t="s">
        <v>756</v>
      </c>
    </row>
    <row r="580" spans="1:6" ht="15" hidden="1" customHeight="1" x14ac:dyDescent="0.25">
      <c r="A580" s="13" t="s">
        <v>56</v>
      </c>
      <c r="B580" t="s">
        <v>288</v>
      </c>
      <c r="C580" t="str">
        <f t="shared" si="10"/>
        <v>GermanySky Sport 3</v>
      </c>
      <c r="D580" s="1">
        <v>10991000</v>
      </c>
      <c r="E580" t="s">
        <v>149</v>
      </c>
      <c r="F580" t="s">
        <v>756</v>
      </c>
    </row>
    <row r="581" spans="1:6" ht="15" hidden="1" customHeight="1" x14ac:dyDescent="0.25">
      <c r="A581" s="39" t="s">
        <v>56</v>
      </c>
      <c r="B581" t="s">
        <v>289</v>
      </c>
      <c r="C581" t="str">
        <f t="shared" si="10"/>
        <v>GermanySky Sport 4</v>
      </c>
      <c r="D581" s="1">
        <v>10991000</v>
      </c>
      <c r="E581" t="s">
        <v>149</v>
      </c>
      <c r="F581" t="s">
        <v>756</v>
      </c>
    </row>
    <row r="582" spans="1:6" ht="15" hidden="1" customHeight="1" x14ac:dyDescent="0.25">
      <c r="A582" s="13" t="s">
        <v>56</v>
      </c>
      <c r="B582" t="s">
        <v>290</v>
      </c>
      <c r="C582" t="str">
        <f t="shared" si="10"/>
        <v>GermanySky Sport 5</v>
      </c>
      <c r="D582" s="1">
        <v>10991000</v>
      </c>
      <c r="E582" t="s">
        <v>149</v>
      </c>
      <c r="F582" t="s">
        <v>756</v>
      </c>
    </row>
    <row r="583" spans="1:6" ht="15" hidden="1" customHeight="1" x14ac:dyDescent="0.25">
      <c r="A583" t="s">
        <v>56</v>
      </c>
      <c r="B583" t="s">
        <v>291</v>
      </c>
      <c r="C583" t="str">
        <f t="shared" si="10"/>
        <v>GermanySky Sport 6</v>
      </c>
      <c r="D583" s="1">
        <v>10991000</v>
      </c>
      <c r="E583" t="s">
        <v>149</v>
      </c>
      <c r="F583" t="s">
        <v>756</v>
      </c>
    </row>
    <row r="584" spans="1:6" ht="15" hidden="1" customHeight="1" x14ac:dyDescent="0.25">
      <c r="A584" t="s">
        <v>56</v>
      </c>
      <c r="B584" t="s">
        <v>292</v>
      </c>
      <c r="C584" t="str">
        <f t="shared" si="10"/>
        <v>GermanySky Sport 7</v>
      </c>
      <c r="D584" s="1">
        <v>10991000</v>
      </c>
      <c r="E584" t="s">
        <v>149</v>
      </c>
      <c r="F584" t="s">
        <v>756</v>
      </c>
    </row>
    <row r="585" spans="1:6" ht="15" hidden="1" customHeight="1" x14ac:dyDescent="0.25">
      <c r="A585" s="13" t="s">
        <v>56</v>
      </c>
      <c r="B585" t="s">
        <v>293</v>
      </c>
      <c r="C585" t="str">
        <f t="shared" si="10"/>
        <v>GermanySky Sport 8</v>
      </c>
      <c r="D585" s="1">
        <v>10991000</v>
      </c>
      <c r="E585" t="s">
        <v>149</v>
      </c>
      <c r="F585" t="s">
        <v>756</v>
      </c>
    </row>
    <row r="586" spans="1:6" ht="15" hidden="1" customHeight="1" x14ac:dyDescent="0.25">
      <c r="A586" s="13" t="s">
        <v>56</v>
      </c>
      <c r="B586" t="s">
        <v>294</v>
      </c>
      <c r="C586" t="str">
        <f t="shared" si="10"/>
        <v>GermanySky Sport Multifeed Group 1</v>
      </c>
      <c r="D586" s="1">
        <v>10991000</v>
      </c>
      <c r="E586" t="s">
        <v>149</v>
      </c>
      <c r="F586" t="s">
        <v>756</v>
      </c>
    </row>
    <row r="587" spans="1:6" ht="15" hidden="1" customHeight="1" x14ac:dyDescent="0.25">
      <c r="A587" t="s">
        <v>56</v>
      </c>
      <c r="B587" t="s">
        <v>295</v>
      </c>
      <c r="C587" t="str">
        <f t="shared" si="10"/>
        <v>GermanySky Sport Multifeed Group 10</v>
      </c>
      <c r="D587" s="1">
        <v>10991000</v>
      </c>
      <c r="E587" t="s">
        <v>149</v>
      </c>
      <c r="F587" t="s">
        <v>756</v>
      </c>
    </row>
    <row r="588" spans="1:6" ht="15" hidden="1" customHeight="1" x14ac:dyDescent="0.25">
      <c r="A588" s="209" t="s">
        <v>56</v>
      </c>
      <c r="B588" s="155" t="s">
        <v>296</v>
      </c>
      <c r="C588" s="155" t="str">
        <f t="shared" si="10"/>
        <v>GermanySky Sport Multifeed Group 11</v>
      </c>
      <c r="D588" s="1">
        <v>10991000</v>
      </c>
      <c r="E588" t="s">
        <v>149</v>
      </c>
      <c r="F588" s="155"/>
    </row>
    <row r="589" spans="1:6" ht="15" hidden="1" customHeight="1" x14ac:dyDescent="0.25">
      <c r="A589" s="39" t="s">
        <v>56</v>
      </c>
      <c r="B589" t="s">
        <v>297</v>
      </c>
      <c r="C589" t="str">
        <f t="shared" si="10"/>
        <v>GermanySky Sport Multifeed Group 2</v>
      </c>
      <c r="D589" s="1">
        <v>10991000</v>
      </c>
      <c r="E589" t="s">
        <v>149</v>
      </c>
      <c r="F589" t="s">
        <v>756</v>
      </c>
    </row>
    <row r="590" spans="1:6" ht="15" hidden="1" customHeight="1" x14ac:dyDescent="0.25">
      <c r="A590" t="s">
        <v>56</v>
      </c>
      <c r="B590" t="s">
        <v>298</v>
      </c>
      <c r="C590" t="str">
        <f t="shared" si="10"/>
        <v>GermanySky Sport Multifeed Group 3</v>
      </c>
      <c r="D590" s="1">
        <v>10991000</v>
      </c>
      <c r="E590" t="s">
        <v>149</v>
      </c>
      <c r="F590" t="s">
        <v>756</v>
      </c>
    </row>
    <row r="591" spans="1:6" ht="15" hidden="1" customHeight="1" x14ac:dyDescent="0.25">
      <c r="A591" t="s">
        <v>56</v>
      </c>
      <c r="B591" t="s">
        <v>299</v>
      </c>
      <c r="C591" t="str">
        <f t="shared" si="10"/>
        <v>GermanySky Sport Multifeed Group 4</v>
      </c>
      <c r="D591" s="1">
        <v>10991000</v>
      </c>
      <c r="E591" t="s">
        <v>149</v>
      </c>
      <c r="F591" t="s">
        <v>756</v>
      </c>
    </row>
    <row r="592" spans="1:6" ht="15" hidden="1" customHeight="1" x14ac:dyDescent="0.25">
      <c r="A592" t="s">
        <v>56</v>
      </c>
      <c r="B592" t="s">
        <v>300</v>
      </c>
      <c r="C592" t="str">
        <f t="shared" si="10"/>
        <v>GermanySky Sport Multifeed Group 5</v>
      </c>
      <c r="D592" s="1">
        <v>10991000</v>
      </c>
      <c r="E592" t="s">
        <v>149</v>
      </c>
      <c r="F592" t="s">
        <v>756</v>
      </c>
    </row>
    <row r="593" spans="1:6" ht="15" hidden="1" customHeight="1" x14ac:dyDescent="0.25">
      <c r="A593" t="s">
        <v>56</v>
      </c>
      <c r="B593" t="s">
        <v>301</v>
      </c>
      <c r="C593" t="str">
        <f t="shared" si="10"/>
        <v>GermanySky Sport Multifeed Group 6</v>
      </c>
      <c r="D593" s="1">
        <v>10991000</v>
      </c>
      <c r="E593" t="s">
        <v>149</v>
      </c>
      <c r="F593" t="s">
        <v>756</v>
      </c>
    </row>
    <row r="594" spans="1:6" ht="15" hidden="1" customHeight="1" x14ac:dyDescent="0.25">
      <c r="A594" s="50" t="s">
        <v>56</v>
      </c>
      <c r="B594" s="34" t="s">
        <v>302</v>
      </c>
      <c r="C594" t="str">
        <f t="shared" si="10"/>
        <v>GermanySky Sport News</v>
      </c>
      <c r="D594" s="1">
        <v>10991000</v>
      </c>
      <c r="E594" t="s">
        <v>149</v>
      </c>
      <c r="F594" t="s">
        <v>756</v>
      </c>
    </row>
    <row r="595" spans="1:6" ht="15" hidden="1" customHeight="1" x14ac:dyDescent="0.25">
      <c r="A595" s="33" t="s">
        <v>56</v>
      </c>
      <c r="B595" s="53" t="s">
        <v>304</v>
      </c>
      <c r="C595" t="str">
        <f t="shared" si="10"/>
        <v>GermanySport 1</v>
      </c>
      <c r="D595" s="51">
        <v>33338000</v>
      </c>
      <c r="E595" t="s">
        <v>142</v>
      </c>
      <c r="F595" t="s">
        <v>757</v>
      </c>
    </row>
    <row r="596" spans="1:6" ht="15" hidden="1" customHeight="1" x14ac:dyDescent="0.25">
      <c r="A596" s="13" t="s">
        <v>56</v>
      </c>
      <c r="B596" t="s">
        <v>306</v>
      </c>
      <c r="C596" t="str">
        <f t="shared" si="10"/>
        <v>GermanySport 1+</v>
      </c>
      <c r="D596" s="1">
        <v>24882000</v>
      </c>
      <c r="E596" t="s">
        <v>149</v>
      </c>
      <c r="F596" t="s">
        <v>758</v>
      </c>
    </row>
    <row r="597" spans="1:6" ht="15" hidden="1" customHeight="1" x14ac:dyDescent="0.25">
      <c r="A597" s="33" t="s">
        <v>56</v>
      </c>
      <c r="B597" s="53" t="s">
        <v>759</v>
      </c>
      <c r="C597" t="str">
        <f t="shared" si="10"/>
        <v>GermanySport1</v>
      </c>
      <c r="D597" s="51">
        <v>33338000</v>
      </c>
      <c r="E597" t="s">
        <v>142</v>
      </c>
      <c r="F597" t="s">
        <v>757</v>
      </c>
    </row>
    <row r="598" spans="1:6" ht="15" hidden="1" customHeight="1" x14ac:dyDescent="0.25">
      <c r="A598" s="39" t="s">
        <v>56</v>
      </c>
      <c r="B598" t="s">
        <v>760</v>
      </c>
      <c r="C598" t="str">
        <f t="shared" si="10"/>
        <v>GermanySport1+</v>
      </c>
      <c r="D598" s="1">
        <v>24882000</v>
      </c>
      <c r="E598" t="s">
        <v>149</v>
      </c>
      <c r="F598" t="s">
        <v>758</v>
      </c>
    </row>
    <row r="599" spans="1:6" ht="15" hidden="1" customHeight="1" x14ac:dyDescent="0.25">
      <c r="A599" s="13" t="s">
        <v>56</v>
      </c>
      <c r="B599" t="s">
        <v>308</v>
      </c>
      <c r="C599" t="str">
        <f t="shared" si="10"/>
        <v>GermanyZDF</v>
      </c>
      <c r="D599" s="1">
        <v>37028000</v>
      </c>
      <c r="E599" s="51" t="s">
        <v>142</v>
      </c>
      <c r="F599" t="s">
        <v>750</v>
      </c>
    </row>
    <row r="600" spans="1:6" ht="15" hidden="1" customHeight="1" x14ac:dyDescent="0.25">
      <c r="A600" s="39" t="s">
        <v>761</v>
      </c>
      <c r="B600" t="s">
        <v>762</v>
      </c>
      <c r="C600" t="str">
        <f t="shared" si="10"/>
        <v>GibraltarGBC</v>
      </c>
      <c r="D600" s="1">
        <v>8777.4</v>
      </c>
      <c r="E600" t="s">
        <v>142</v>
      </c>
      <c r="F600" t="s">
        <v>322</v>
      </c>
    </row>
    <row r="601" spans="1:6" ht="15" hidden="1" customHeight="1" x14ac:dyDescent="0.25">
      <c r="A601" s="13" t="s">
        <v>131</v>
      </c>
      <c r="B601" t="s">
        <v>45</v>
      </c>
      <c r="C601" t="str">
        <f t="shared" si="10"/>
        <v>GlobalDigital</v>
      </c>
      <c r="D601" s="114" t="s">
        <v>658</v>
      </c>
      <c r="E601" t="s">
        <v>45</v>
      </c>
    </row>
    <row r="602" spans="1:6" ht="15" hidden="1" customHeight="1" x14ac:dyDescent="0.25">
      <c r="A602" s="39" t="s">
        <v>57</v>
      </c>
      <c r="B602" t="s">
        <v>763</v>
      </c>
      <c r="C602" t="str">
        <f t="shared" si="10"/>
        <v>GreeceCosmote Sport 5</v>
      </c>
      <c r="D602">
        <v>485000</v>
      </c>
      <c r="E602" t="s">
        <v>149</v>
      </c>
    </row>
    <row r="603" spans="1:6" ht="15" hidden="1" customHeight="1" x14ac:dyDescent="0.25">
      <c r="A603" s="113" t="s">
        <v>57</v>
      </c>
      <c r="B603" t="s">
        <v>764</v>
      </c>
      <c r="C603" t="str">
        <f t="shared" si="10"/>
        <v>GreeceCosmote Sport 6</v>
      </c>
      <c r="D603" s="1">
        <v>485000</v>
      </c>
      <c r="E603" t="s">
        <v>149</v>
      </c>
      <c r="F603" t="s">
        <v>765</v>
      </c>
    </row>
    <row r="604" spans="1:6" ht="15" hidden="1" customHeight="1" x14ac:dyDescent="0.25">
      <c r="A604" s="50" t="s">
        <v>57</v>
      </c>
      <c r="B604" s="34" t="s">
        <v>766</v>
      </c>
      <c r="C604" t="str">
        <f t="shared" si="10"/>
        <v>GreeceCosmote Sport 6HD</v>
      </c>
      <c r="D604" s="1">
        <v>485000</v>
      </c>
      <c r="E604" t="s">
        <v>149</v>
      </c>
      <c r="F604" t="s">
        <v>765</v>
      </c>
    </row>
    <row r="605" spans="1:6" ht="15" hidden="1" customHeight="1" x14ac:dyDescent="0.25">
      <c r="A605" s="13" t="s">
        <v>57</v>
      </c>
      <c r="B605" t="s">
        <v>767</v>
      </c>
      <c r="C605" t="str">
        <f t="shared" si="10"/>
        <v>GreeceERT</v>
      </c>
      <c r="D605">
        <v>4089000</v>
      </c>
      <c r="E605" t="s">
        <v>142</v>
      </c>
    </row>
    <row r="606" spans="1:6" ht="15" hidden="1" customHeight="1" x14ac:dyDescent="0.25">
      <c r="A606" s="13" t="s">
        <v>57</v>
      </c>
      <c r="B606" t="s">
        <v>768</v>
      </c>
      <c r="C606" t="str">
        <f t="shared" ref="C606:C637" si="11">CONCATENATE(A606,B606)</f>
        <v>GreeceERT 2</v>
      </c>
      <c r="D606" s="1">
        <v>4089000</v>
      </c>
      <c r="E606" t="s">
        <v>142</v>
      </c>
      <c r="F606" t="s">
        <v>769</v>
      </c>
    </row>
    <row r="607" spans="1:6" ht="15" hidden="1" customHeight="1" x14ac:dyDescent="0.25">
      <c r="A607" s="210" t="s">
        <v>57</v>
      </c>
      <c r="B607" s="162" t="s">
        <v>770</v>
      </c>
      <c r="C607" s="162" t="str">
        <f t="shared" si="11"/>
        <v>GreeceERT Sport</v>
      </c>
      <c r="D607" s="1">
        <v>4089000</v>
      </c>
      <c r="E607" t="s">
        <v>142</v>
      </c>
      <c r="F607" s="162"/>
    </row>
    <row r="608" spans="1:6" ht="15" hidden="1" customHeight="1" x14ac:dyDescent="0.25">
      <c r="A608" s="13" t="s">
        <v>57</v>
      </c>
      <c r="B608" s="75" t="s">
        <v>771</v>
      </c>
      <c r="C608" t="str">
        <f t="shared" si="11"/>
        <v>GreeceERT Sports</v>
      </c>
      <c r="D608" s="1">
        <v>4089000</v>
      </c>
      <c r="E608" t="s">
        <v>142</v>
      </c>
    </row>
    <row r="609" spans="1:10" ht="15" hidden="1" customHeight="1" x14ac:dyDescent="0.25">
      <c r="A609" s="218" t="s">
        <v>57</v>
      </c>
      <c r="B609" s="162" t="s">
        <v>772</v>
      </c>
      <c r="C609" s="162" t="str">
        <f t="shared" si="11"/>
        <v>GreeceERT1</v>
      </c>
      <c r="D609" s="1">
        <v>4089000</v>
      </c>
      <c r="E609" t="s">
        <v>142</v>
      </c>
      <c r="F609" s="162"/>
    </row>
    <row r="610" spans="1:10" ht="15" hidden="1" customHeight="1" x14ac:dyDescent="0.25">
      <c r="A610" s="13" t="s">
        <v>57</v>
      </c>
      <c r="B610" t="s">
        <v>773</v>
      </c>
      <c r="C610" t="str">
        <f t="shared" si="11"/>
        <v>GreeceERT2</v>
      </c>
      <c r="D610" s="1">
        <v>4089000</v>
      </c>
      <c r="E610" t="s">
        <v>142</v>
      </c>
      <c r="F610" t="s">
        <v>769</v>
      </c>
    </row>
    <row r="611" spans="1:10" ht="15" hidden="1" customHeight="1" x14ac:dyDescent="0.25">
      <c r="A611" s="211" t="s">
        <v>57</v>
      </c>
      <c r="B611" s="166" t="s">
        <v>774</v>
      </c>
      <c r="C611" s="162" t="str">
        <f t="shared" si="11"/>
        <v>GreeceERT3</v>
      </c>
      <c r="D611" s="1">
        <v>4089000</v>
      </c>
      <c r="E611" t="s">
        <v>142</v>
      </c>
      <c r="F611" s="162"/>
    </row>
    <row r="612" spans="1:10" ht="15" hidden="1" customHeight="1" x14ac:dyDescent="0.25">
      <c r="A612" s="39" t="s">
        <v>57</v>
      </c>
      <c r="B612" t="s">
        <v>593</v>
      </c>
      <c r="C612" t="str">
        <f t="shared" si="11"/>
        <v>GreeceNova Sport 1</v>
      </c>
      <c r="D612" s="1">
        <v>356076.75599999999</v>
      </c>
      <c r="E612" t="s">
        <v>149</v>
      </c>
      <c r="F612" t="s">
        <v>775</v>
      </c>
    </row>
    <row r="613" spans="1:10" ht="15" hidden="1" customHeight="1" x14ac:dyDescent="0.25">
      <c r="A613" s="39" t="s">
        <v>57</v>
      </c>
      <c r="B613" t="s">
        <v>595</v>
      </c>
      <c r="C613" t="str">
        <f t="shared" si="11"/>
        <v>GreeceNova Sport 2</v>
      </c>
      <c r="D613" s="1">
        <v>356076.75599999999</v>
      </c>
      <c r="E613" t="s">
        <v>149</v>
      </c>
    </row>
    <row r="614" spans="1:10" ht="15" hidden="1" customHeight="1" x14ac:dyDescent="0.25">
      <c r="A614" s="209" t="s">
        <v>57</v>
      </c>
      <c r="B614" s="155" t="s">
        <v>596</v>
      </c>
      <c r="C614" s="155" t="str">
        <f t="shared" si="11"/>
        <v>GreeceNova Sport 24</v>
      </c>
      <c r="D614" s="156">
        <v>356076.75599999999</v>
      </c>
      <c r="E614" s="155" t="s">
        <v>149</v>
      </c>
      <c r="F614" s="155"/>
    </row>
    <row r="615" spans="1:10" ht="15" hidden="1" customHeight="1" x14ac:dyDescent="0.25">
      <c r="A615" s="13" t="s">
        <v>57</v>
      </c>
      <c r="B615" t="s">
        <v>597</v>
      </c>
      <c r="C615" t="str">
        <f t="shared" si="11"/>
        <v>GreeceNova Sport 3</v>
      </c>
      <c r="D615" s="1">
        <v>356076.75599999999</v>
      </c>
      <c r="E615" t="s">
        <v>149</v>
      </c>
      <c r="F615" t="s">
        <v>775</v>
      </c>
    </row>
    <row r="616" spans="1:10" ht="15" hidden="1" customHeight="1" x14ac:dyDescent="0.25">
      <c r="A616" s="13" t="s">
        <v>57</v>
      </c>
      <c r="B616" t="s">
        <v>598</v>
      </c>
      <c r="C616" t="str">
        <f t="shared" si="11"/>
        <v>GreeceNova Sport 4</v>
      </c>
      <c r="D616" s="1">
        <v>356076.75599999999</v>
      </c>
      <c r="E616" t="s">
        <v>149</v>
      </c>
      <c r="F616" t="s">
        <v>775</v>
      </c>
    </row>
    <row r="617" spans="1:10" ht="15" hidden="1" customHeight="1" x14ac:dyDescent="0.25">
      <c r="A617" s="13" t="s">
        <v>57</v>
      </c>
      <c r="B617" t="s">
        <v>599</v>
      </c>
      <c r="C617" t="str">
        <f t="shared" si="11"/>
        <v>GreeceNova Sport 5</v>
      </c>
      <c r="D617" s="1">
        <v>356076.75599999999</v>
      </c>
      <c r="E617" t="s">
        <v>149</v>
      </c>
    </row>
    <row r="618" spans="1:10" ht="15" hidden="1" customHeight="1" x14ac:dyDescent="0.25">
      <c r="A618" t="s">
        <v>57</v>
      </c>
      <c r="B618" t="s">
        <v>776</v>
      </c>
      <c r="C618" t="str">
        <f t="shared" si="11"/>
        <v>GreeceNova Sports 1</v>
      </c>
      <c r="D618" s="1">
        <v>356076.75599999999</v>
      </c>
      <c r="E618" t="s">
        <v>149</v>
      </c>
      <c r="F618" t="s">
        <v>775</v>
      </c>
    </row>
    <row r="619" spans="1:10" ht="15" hidden="1" customHeight="1" x14ac:dyDescent="0.25">
      <c r="A619" t="s">
        <v>57</v>
      </c>
      <c r="B619" t="s">
        <v>777</v>
      </c>
      <c r="C619" t="str">
        <f t="shared" si="11"/>
        <v>GreeceNova Sports 2</v>
      </c>
      <c r="D619" s="1">
        <v>356076.75599999999</v>
      </c>
      <c r="E619" t="s">
        <v>149</v>
      </c>
      <c r="F619" t="s">
        <v>775</v>
      </c>
      <c r="H619" s="126"/>
      <c r="I619" s="127"/>
      <c r="J619" s="51"/>
    </row>
    <row r="620" spans="1:10" ht="15" hidden="1" customHeight="1" x14ac:dyDescent="0.25">
      <c r="A620" s="202" t="s">
        <v>57</v>
      </c>
      <c r="B620" s="175" t="s">
        <v>778</v>
      </c>
      <c r="C620" s="175" t="str">
        <f t="shared" si="11"/>
        <v>GreeceNova Sports 24</v>
      </c>
      <c r="D620" s="176">
        <v>356076.75599999999</v>
      </c>
      <c r="E620" s="175" t="s">
        <v>149</v>
      </c>
      <c r="F620" s="175"/>
      <c r="H620" s="126"/>
      <c r="J620" s="51"/>
    </row>
    <row r="621" spans="1:10" ht="15" hidden="1" customHeight="1" x14ac:dyDescent="0.25">
      <c r="A621" t="s">
        <v>57</v>
      </c>
      <c r="B621" t="s">
        <v>779</v>
      </c>
      <c r="C621" t="str">
        <f t="shared" si="11"/>
        <v>GreeceNova Sports 3</v>
      </c>
      <c r="D621" s="1">
        <v>356076.75599999999</v>
      </c>
      <c r="E621" t="s">
        <v>149</v>
      </c>
      <c r="F621" t="s">
        <v>775</v>
      </c>
      <c r="H621" s="126"/>
      <c r="I621" s="128"/>
      <c r="J621" s="51"/>
    </row>
    <row r="622" spans="1:10" ht="15" hidden="1" customHeight="1" x14ac:dyDescent="0.25">
      <c r="A622" t="s">
        <v>57</v>
      </c>
      <c r="B622" t="s">
        <v>600</v>
      </c>
      <c r="C622" t="str">
        <f t="shared" si="11"/>
        <v>GreeceNova Sports 4</v>
      </c>
      <c r="D622" s="1">
        <v>356076.75599999999</v>
      </c>
      <c r="E622" t="s">
        <v>149</v>
      </c>
      <c r="F622" t="s">
        <v>775</v>
      </c>
    </row>
    <row r="623" spans="1:10" ht="15" hidden="1" customHeight="1" x14ac:dyDescent="0.25">
      <c r="A623" s="202" t="s">
        <v>57</v>
      </c>
      <c r="B623" s="175" t="s">
        <v>780</v>
      </c>
      <c r="C623" s="175" t="str">
        <f t="shared" si="11"/>
        <v>GreeceNova Sports 5</v>
      </c>
      <c r="D623" s="176">
        <v>356076.75599999999</v>
      </c>
      <c r="E623" s="175" t="s">
        <v>149</v>
      </c>
      <c r="F623" s="175"/>
    </row>
    <row r="624" spans="1:10" ht="15" hidden="1" customHeight="1" x14ac:dyDescent="0.25">
      <c r="A624" s="13" t="s">
        <v>57</v>
      </c>
      <c r="B624" t="s">
        <v>781</v>
      </c>
      <c r="C624" t="str">
        <f t="shared" si="11"/>
        <v>GreeceOTE Sport</v>
      </c>
      <c r="D624" s="1">
        <v>485000</v>
      </c>
      <c r="E624" t="s">
        <v>149</v>
      </c>
      <c r="F624" t="s">
        <v>765</v>
      </c>
    </row>
    <row r="625" spans="1:6" ht="15" hidden="1" customHeight="1" x14ac:dyDescent="0.25">
      <c r="A625" s="113" t="s">
        <v>57</v>
      </c>
      <c r="B625" t="s">
        <v>782</v>
      </c>
      <c r="C625" t="str">
        <f t="shared" si="11"/>
        <v>GreeceOTE Sport 5HD</v>
      </c>
      <c r="D625" s="1">
        <v>485000</v>
      </c>
      <c r="E625" t="s">
        <v>149</v>
      </c>
      <c r="F625" t="s">
        <v>765</v>
      </c>
    </row>
    <row r="626" spans="1:6" ht="15" hidden="1" customHeight="1" x14ac:dyDescent="0.25">
      <c r="A626" s="39" t="s">
        <v>57</v>
      </c>
      <c r="B626" t="s">
        <v>783</v>
      </c>
      <c r="C626" t="str">
        <f t="shared" si="11"/>
        <v>GreeceOTE Sport 6 HD</v>
      </c>
      <c r="D626" s="1">
        <v>485000</v>
      </c>
      <c r="E626" t="s">
        <v>149</v>
      </c>
      <c r="F626" t="s">
        <v>765</v>
      </c>
    </row>
    <row r="627" spans="1:6" ht="15" hidden="1" customHeight="1" x14ac:dyDescent="0.25">
      <c r="A627" s="39" t="s">
        <v>57</v>
      </c>
      <c r="B627" t="s">
        <v>784</v>
      </c>
      <c r="C627" t="str">
        <f t="shared" si="11"/>
        <v>GreeceOTE Sport 7 HD</v>
      </c>
      <c r="D627" s="1">
        <v>485000</v>
      </c>
      <c r="E627" t="s">
        <v>149</v>
      </c>
      <c r="F627" t="s">
        <v>765</v>
      </c>
    </row>
    <row r="628" spans="1:6" ht="15" hidden="1" customHeight="1" x14ac:dyDescent="0.25">
      <c r="A628" s="37" t="s">
        <v>58</v>
      </c>
      <c r="B628" s="35" t="s">
        <v>785</v>
      </c>
      <c r="C628" t="str">
        <f t="shared" si="11"/>
        <v>GuatemalaCanal 3</v>
      </c>
      <c r="D628" s="1">
        <v>795755</v>
      </c>
      <c r="E628" t="s">
        <v>142</v>
      </c>
      <c r="F628" t="s">
        <v>786</v>
      </c>
    </row>
    <row r="629" spans="1:6" ht="15" hidden="1" customHeight="1" x14ac:dyDescent="0.25">
      <c r="A629" s="13" t="s">
        <v>58</v>
      </c>
      <c r="B629" t="s">
        <v>787</v>
      </c>
      <c r="C629" t="str">
        <f t="shared" si="11"/>
        <v>GuatemalaCanal3</v>
      </c>
      <c r="D629" s="1">
        <v>795755</v>
      </c>
      <c r="E629" t="s">
        <v>142</v>
      </c>
      <c r="F629" t="s">
        <v>786</v>
      </c>
    </row>
    <row r="630" spans="1:6" ht="15" hidden="1" customHeight="1" x14ac:dyDescent="0.25">
      <c r="A630" s="39" t="s">
        <v>58</v>
      </c>
      <c r="B630" t="s">
        <v>194</v>
      </c>
      <c r="C630" t="str">
        <f t="shared" si="11"/>
        <v>GuatemalaFox Sports</v>
      </c>
      <c r="D630">
        <v>457882</v>
      </c>
      <c r="E630" t="s">
        <v>149</v>
      </c>
    </row>
    <row r="631" spans="1:6" ht="15" hidden="1" customHeight="1" x14ac:dyDescent="0.25">
      <c r="A631" s="13" t="s">
        <v>58</v>
      </c>
      <c r="B631" t="s">
        <v>195</v>
      </c>
      <c r="C631" t="str">
        <f t="shared" si="11"/>
        <v>GuatemalaFox Sports 2</v>
      </c>
      <c r="D631" s="1">
        <v>458818</v>
      </c>
      <c r="E631" t="s">
        <v>149</v>
      </c>
      <c r="F631" t="s">
        <v>196</v>
      </c>
    </row>
    <row r="632" spans="1:6" ht="15" hidden="1" customHeight="1" x14ac:dyDescent="0.25">
      <c r="A632" s="13" t="s">
        <v>58</v>
      </c>
      <c r="B632" t="s">
        <v>197</v>
      </c>
      <c r="C632" t="str">
        <f t="shared" si="11"/>
        <v>GuatemalaFox Sports 3</v>
      </c>
      <c r="D632" s="1">
        <v>457882</v>
      </c>
      <c r="E632" t="s">
        <v>149</v>
      </c>
      <c r="F632" t="s">
        <v>198</v>
      </c>
    </row>
    <row r="633" spans="1:6" ht="15" hidden="1" customHeight="1" x14ac:dyDescent="0.25">
      <c r="A633" s="39" t="s">
        <v>58</v>
      </c>
      <c r="B633" t="s">
        <v>199</v>
      </c>
      <c r="C633" t="str">
        <f t="shared" si="11"/>
        <v>GuatemalaFox Sports HD</v>
      </c>
      <c r="D633" s="1">
        <v>6546</v>
      </c>
      <c r="E633" t="s">
        <v>149</v>
      </c>
      <c r="F633" t="s">
        <v>200</v>
      </c>
    </row>
    <row r="634" spans="1:6" ht="15" hidden="1" customHeight="1" x14ac:dyDescent="0.25">
      <c r="A634" s="33" t="s">
        <v>788</v>
      </c>
      <c r="B634" s="35" t="s">
        <v>789</v>
      </c>
      <c r="C634" t="str">
        <f t="shared" si="11"/>
        <v>HondurasSKY</v>
      </c>
      <c r="D634" s="51">
        <v>694114.2857142858</v>
      </c>
      <c r="E634" t="s">
        <v>149</v>
      </c>
    </row>
    <row r="635" spans="1:6" ht="15" hidden="1" customHeight="1" x14ac:dyDescent="0.25">
      <c r="A635" s="13" t="s">
        <v>788</v>
      </c>
      <c r="B635" t="s">
        <v>790</v>
      </c>
      <c r="C635" t="str">
        <f t="shared" si="11"/>
        <v>HondurasVTV</v>
      </c>
      <c r="D635" s="1">
        <v>1619600</v>
      </c>
      <c r="E635" t="s">
        <v>142</v>
      </c>
      <c r="F635" t="s">
        <v>791</v>
      </c>
    </row>
    <row r="636" spans="1:6" ht="15" hidden="1" customHeight="1" x14ac:dyDescent="0.25">
      <c r="A636" s="39" t="s">
        <v>59</v>
      </c>
      <c r="B636" s="41" t="s">
        <v>455</v>
      </c>
      <c r="C636" t="str">
        <f t="shared" si="11"/>
        <v>Hong KongbeIN Sports</v>
      </c>
      <c r="D636" s="1">
        <v>225000</v>
      </c>
      <c r="E636" t="s">
        <v>149</v>
      </c>
      <c r="F636" t="s">
        <v>792</v>
      </c>
    </row>
    <row r="637" spans="1:6" ht="15" hidden="1" customHeight="1" x14ac:dyDescent="0.25">
      <c r="A637" s="13" t="s">
        <v>59</v>
      </c>
      <c r="B637" t="s">
        <v>793</v>
      </c>
      <c r="C637" t="str">
        <f t="shared" si="11"/>
        <v>Hong KongFOX SPORTS</v>
      </c>
      <c r="D637" s="1">
        <v>1269000</v>
      </c>
      <c r="E637" t="s">
        <v>149</v>
      </c>
      <c r="F637" t="s">
        <v>794</v>
      </c>
    </row>
    <row r="638" spans="1:6" ht="15" hidden="1" customHeight="1" x14ac:dyDescent="0.25">
      <c r="A638" s="13" t="s">
        <v>59</v>
      </c>
      <c r="B638" t="s">
        <v>468</v>
      </c>
      <c r="C638" t="str">
        <f t="shared" ref="C638:C669" si="12">CONCATENATE(A638,B638)</f>
        <v>Hong KongFox Sports 1</v>
      </c>
      <c r="D638">
        <v>1269000</v>
      </c>
      <c r="E638" t="s">
        <v>149</v>
      </c>
    </row>
    <row r="639" spans="1:6" ht="15" hidden="1" customHeight="1" x14ac:dyDescent="0.25">
      <c r="A639" s="39" t="s">
        <v>59</v>
      </c>
      <c r="B639" t="s">
        <v>195</v>
      </c>
      <c r="C639" t="str">
        <f t="shared" si="12"/>
        <v>Hong KongFox Sports 2</v>
      </c>
      <c r="D639" s="1">
        <v>1269000</v>
      </c>
      <c r="E639" t="s">
        <v>149</v>
      </c>
      <c r="F639" t="s">
        <v>794</v>
      </c>
    </row>
    <row r="640" spans="1:6" ht="15" hidden="1" customHeight="1" x14ac:dyDescent="0.25">
      <c r="A640" s="13" t="s">
        <v>59</v>
      </c>
      <c r="B640" t="s">
        <v>197</v>
      </c>
      <c r="C640" t="str">
        <f t="shared" si="12"/>
        <v>Hong KongFox Sports 3</v>
      </c>
      <c r="D640">
        <v>1269000</v>
      </c>
      <c r="E640" t="s">
        <v>149</v>
      </c>
      <c r="F640" t="s">
        <v>794</v>
      </c>
    </row>
    <row r="641" spans="1:6" ht="15" hidden="1" customHeight="1" x14ac:dyDescent="0.25">
      <c r="A641" s="13" t="s">
        <v>59</v>
      </c>
      <c r="B641" s="186" t="s">
        <v>795</v>
      </c>
      <c r="C641" s="184" t="str">
        <f t="shared" si="12"/>
        <v>Hong KongI Cable Sport</v>
      </c>
      <c r="D641" s="190">
        <v>647717.41884816892</v>
      </c>
      <c r="E641" t="s">
        <v>149</v>
      </c>
    </row>
    <row r="642" spans="1:6" ht="15" hidden="1" customHeight="1" x14ac:dyDescent="0.25">
      <c r="A642" s="39" t="s">
        <v>59</v>
      </c>
      <c r="B642" t="s">
        <v>796</v>
      </c>
      <c r="C642" t="str">
        <f t="shared" si="12"/>
        <v>Hong KongNow Golf</v>
      </c>
      <c r="D642" s="1">
        <v>1269000</v>
      </c>
      <c r="E642" t="s">
        <v>149</v>
      </c>
    </row>
    <row r="643" spans="1:6" ht="15" hidden="1" customHeight="1" x14ac:dyDescent="0.25">
      <c r="A643" s="13" t="s">
        <v>59</v>
      </c>
      <c r="B643" t="s">
        <v>797</v>
      </c>
      <c r="C643" t="str">
        <f t="shared" si="12"/>
        <v>Hong KongNow Golf 1</v>
      </c>
      <c r="D643" s="1">
        <v>1269000</v>
      </c>
      <c r="E643" t="s">
        <v>149</v>
      </c>
      <c r="F643" t="s">
        <v>798</v>
      </c>
    </row>
    <row r="644" spans="1:6" ht="15" hidden="1" customHeight="1" x14ac:dyDescent="0.25">
      <c r="A644" s="13" t="s">
        <v>59</v>
      </c>
      <c r="B644" t="s">
        <v>799</v>
      </c>
      <c r="C644" t="str">
        <f t="shared" si="12"/>
        <v>Hong KongNow Golf 2</v>
      </c>
      <c r="D644" s="1">
        <v>1269000</v>
      </c>
      <c r="E644" t="s">
        <v>149</v>
      </c>
      <c r="F644" t="s">
        <v>798</v>
      </c>
    </row>
    <row r="645" spans="1:6" ht="15" hidden="1" customHeight="1" x14ac:dyDescent="0.25">
      <c r="A645" s="13" t="s">
        <v>59</v>
      </c>
      <c r="B645" t="s">
        <v>800</v>
      </c>
      <c r="C645" t="str">
        <f t="shared" si="12"/>
        <v>Hong KongNow Golf 3</v>
      </c>
      <c r="D645" s="1">
        <v>1269000</v>
      </c>
      <c r="E645" t="s">
        <v>149</v>
      </c>
    </row>
    <row r="646" spans="1:6" ht="15" hidden="1" customHeight="1" x14ac:dyDescent="0.25">
      <c r="A646" t="s">
        <v>59</v>
      </c>
      <c r="B646" t="s">
        <v>801</v>
      </c>
      <c r="C646" t="str">
        <f t="shared" si="12"/>
        <v>Hong KongNow Sports 1</v>
      </c>
      <c r="D646" s="1">
        <v>1269000</v>
      </c>
      <c r="E646" t="s">
        <v>149</v>
      </c>
      <c r="F646" t="s">
        <v>798</v>
      </c>
    </row>
    <row r="647" spans="1:6" ht="15" hidden="1" customHeight="1" x14ac:dyDescent="0.25">
      <c r="A647" s="13" t="s">
        <v>59</v>
      </c>
      <c r="B647" t="s">
        <v>802</v>
      </c>
      <c r="C647" t="str">
        <f t="shared" si="12"/>
        <v>Hong KongNow Sports 2</v>
      </c>
      <c r="D647" s="1">
        <v>1269000</v>
      </c>
      <c r="E647" t="s">
        <v>149</v>
      </c>
      <c r="F647" t="s">
        <v>798</v>
      </c>
    </row>
    <row r="648" spans="1:6" ht="15" hidden="1" customHeight="1" x14ac:dyDescent="0.25">
      <c r="A648" s="13" t="s">
        <v>59</v>
      </c>
      <c r="B648" t="s">
        <v>803</v>
      </c>
      <c r="C648" t="str">
        <f t="shared" si="12"/>
        <v>Hong KongNow Sports 4</v>
      </c>
      <c r="D648" s="1">
        <v>1269000</v>
      </c>
      <c r="E648" t="s">
        <v>149</v>
      </c>
      <c r="F648" t="s">
        <v>798</v>
      </c>
    </row>
    <row r="649" spans="1:6" ht="15" hidden="1" customHeight="1" x14ac:dyDescent="0.25">
      <c r="A649" s="13" t="s">
        <v>59</v>
      </c>
      <c r="B649" t="s">
        <v>804</v>
      </c>
      <c r="C649" t="str">
        <f t="shared" si="12"/>
        <v>Hong KongNow Sports 6</v>
      </c>
      <c r="D649" s="1">
        <v>1269000</v>
      </c>
      <c r="E649" t="s">
        <v>149</v>
      </c>
      <c r="F649" t="s">
        <v>798</v>
      </c>
    </row>
    <row r="650" spans="1:6" ht="15" hidden="1" customHeight="1" x14ac:dyDescent="0.25">
      <c r="A650" s="13" t="s">
        <v>60</v>
      </c>
      <c r="B650" t="s">
        <v>614</v>
      </c>
      <c r="C650" t="str">
        <f t="shared" si="12"/>
        <v>HungaryDigi Sport 2</v>
      </c>
      <c r="D650" s="1">
        <v>1072000</v>
      </c>
      <c r="E650" t="s">
        <v>149</v>
      </c>
      <c r="F650" t="s">
        <v>805</v>
      </c>
    </row>
    <row r="651" spans="1:6" ht="15" hidden="1" customHeight="1" x14ac:dyDescent="0.25">
      <c r="A651" s="13" t="s">
        <v>60</v>
      </c>
      <c r="B651" t="s">
        <v>615</v>
      </c>
      <c r="C651" t="str">
        <f t="shared" si="12"/>
        <v>HungaryDigi Sport 3</v>
      </c>
      <c r="D651" s="1">
        <v>1072000</v>
      </c>
      <c r="E651" t="s">
        <v>149</v>
      </c>
      <c r="F651" t="s">
        <v>805</v>
      </c>
    </row>
    <row r="652" spans="1:6" ht="15" hidden="1" customHeight="1" x14ac:dyDescent="0.25">
      <c r="A652" s="13" t="s">
        <v>60</v>
      </c>
      <c r="B652" t="s">
        <v>806</v>
      </c>
      <c r="C652" t="str">
        <f t="shared" si="12"/>
        <v>HungaryDigi Sport 4</v>
      </c>
      <c r="D652" s="1">
        <v>1072000</v>
      </c>
      <c r="E652" t="s">
        <v>149</v>
      </c>
      <c r="F652" t="s">
        <v>805</v>
      </c>
    </row>
    <row r="653" spans="1:6" ht="15" hidden="1" customHeight="1" x14ac:dyDescent="0.25">
      <c r="A653" t="s">
        <v>60</v>
      </c>
      <c r="B653" t="s">
        <v>807</v>
      </c>
      <c r="C653" t="str">
        <f t="shared" si="12"/>
        <v>HungaryDigiSport 1</v>
      </c>
      <c r="D653" s="1">
        <v>1072000</v>
      </c>
      <c r="E653" t="s">
        <v>149</v>
      </c>
      <c r="F653" t="s">
        <v>805</v>
      </c>
    </row>
    <row r="654" spans="1:6" ht="15" hidden="1" customHeight="1" x14ac:dyDescent="0.25">
      <c r="A654" t="s">
        <v>60</v>
      </c>
      <c r="B654" t="s">
        <v>616</v>
      </c>
      <c r="C654" t="str">
        <f t="shared" si="12"/>
        <v>HungaryDigiSport 2</v>
      </c>
      <c r="D654" s="1">
        <v>1072000</v>
      </c>
      <c r="E654" t="s">
        <v>149</v>
      </c>
      <c r="F654" t="s">
        <v>805</v>
      </c>
    </row>
    <row r="655" spans="1:6" ht="15" hidden="1" customHeight="1" x14ac:dyDescent="0.25">
      <c r="A655" s="13" t="s">
        <v>60</v>
      </c>
      <c r="B655" t="s">
        <v>808</v>
      </c>
      <c r="C655" t="str">
        <f t="shared" si="12"/>
        <v>HungaryDUNA TV</v>
      </c>
      <c r="D655" s="1">
        <v>3744500</v>
      </c>
      <c r="E655" s="1" t="s">
        <v>149</v>
      </c>
      <c r="F655" t="s">
        <v>809</v>
      </c>
    </row>
    <row r="656" spans="1:6" ht="15" hidden="1" customHeight="1" x14ac:dyDescent="0.25">
      <c r="A656" s="210" t="s">
        <v>60</v>
      </c>
      <c r="B656" s="162" t="s">
        <v>221</v>
      </c>
      <c r="C656" s="162" t="str">
        <f t="shared" si="12"/>
        <v>HungaryEurosport</v>
      </c>
      <c r="D656" s="1">
        <v>832000</v>
      </c>
      <c r="E656" t="s">
        <v>149</v>
      </c>
      <c r="F656" s="162"/>
    </row>
    <row r="657" spans="1:6" ht="15" hidden="1" customHeight="1" x14ac:dyDescent="0.25">
      <c r="A657" s="203" t="s">
        <v>60</v>
      </c>
      <c r="B657" s="147" t="s">
        <v>268</v>
      </c>
      <c r="C657" s="11" t="str">
        <f t="shared" si="12"/>
        <v>HungaryEurosport 1</v>
      </c>
      <c r="D657" s="1">
        <v>832000</v>
      </c>
      <c r="E657" t="s">
        <v>149</v>
      </c>
      <c r="F657" s="11"/>
    </row>
    <row r="658" spans="1:6" ht="15" hidden="1" customHeight="1" x14ac:dyDescent="0.25">
      <c r="A658" s="13" t="s">
        <v>60</v>
      </c>
      <c r="B658" t="s">
        <v>269</v>
      </c>
      <c r="C658" t="str">
        <f t="shared" si="12"/>
        <v>HungaryEurosport 2</v>
      </c>
      <c r="D658" s="1">
        <v>2098000</v>
      </c>
      <c r="E658" t="s">
        <v>149</v>
      </c>
    </row>
    <row r="659" spans="1:6" ht="15" hidden="1" customHeight="1" x14ac:dyDescent="0.25">
      <c r="A659" s="13" t="s">
        <v>60</v>
      </c>
      <c r="B659" t="s">
        <v>477</v>
      </c>
      <c r="C659" t="str">
        <f t="shared" si="12"/>
        <v>HungaryGolf Channel</v>
      </c>
      <c r="D659" s="1">
        <v>1013000</v>
      </c>
      <c r="E659" t="s">
        <v>149</v>
      </c>
      <c r="F659" t="s">
        <v>810</v>
      </c>
    </row>
    <row r="660" spans="1:6" ht="15" hidden="1" customHeight="1" x14ac:dyDescent="0.25">
      <c r="A660" s="13" t="s">
        <v>60</v>
      </c>
      <c r="B660" t="s">
        <v>811</v>
      </c>
      <c r="C660" t="str">
        <f t="shared" si="12"/>
        <v>HungaryM4 Sport</v>
      </c>
      <c r="D660" s="1">
        <v>3744500</v>
      </c>
      <c r="E660" s="1" t="s">
        <v>149</v>
      </c>
      <c r="F660" t="s">
        <v>809</v>
      </c>
    </row>
    <row r="661" spans="1:6" ht="15" hidden="1" customHeight="1" x14ac:dyDescent="0.25">
      <c r="A661" s="13" t="s">
        <v>60</v>
      </c>
      <c r="B661" t="s">
        <v>812</v>
      </c>
      <c r="C661" t="str">
        <f t="shared" si="12"/>
        <v>HungaryMTV</v>
      </c>
      <c r="D661" s="1">
        <v>3847084.8</v>
      </c>
      <c r="E661" t="s">
        <v>142</v>
      </c>
      <c r="F661" t="s">
        <v>341</v>
      </c>
    </row>
    <row r="662" spans="1:6" ht="15" hidden="1" customHeight="1" x14ac:dyDescent="0.25">
      <c r="A662" s="13" t="s">
        <v>60</v>
      </c>
      <c r="B662" t="s">
        <v>304</v>
      </c>
      <c r="C662" t="str">
        <f t="shared" si="12"/>
        <v>HungarySport 1</v>
      </c>
      <c r="D662" s="1">
        <v>3017000</v>
      </c>
      <c r="E662" t="s">
        <v>149</v>
      </c>
      <c r="F662" t="s">
        <v>813</v>
      </c>
    </row>
    <row r="663" spans="1:6" ht="15" hidden="1" customHeight="1" x14ac:dyDescent="0.25">
      <c r="A663" s="13" t="s">
        <v>60</v>
      </c>
      <c r="B663" t="s">
        <v>626</v>
      </c>
      <c r="C663" t="str">
        <f t="shared" si="12"/>
        <v>HungarySport 2</v>
      </c>
      <c r="D663" s="1">
        <v>3017000</v>
      </c>
      <c r="E663" t="s">
        <v>149</v>
      </c>
      <c r="F663" t="s">
        <v>813</v>
      </c>
    </row>
    <row r="664" spans="1:6" ht="15" hidden="1" customHeight="1" x14ac:dyDescent="0.25">
      <c r="A664" s="13" t="s">
        <v>60</v>
      </c>
      <c r="B664" t="s">
        <v>406</v>
      </c>
      <c r="C664" t="str">
        <f t="shared" si="12"/>
        <v>HungarySport Klub Golf</v>
      </c>
      <c r="D664" s="1">
        <v>1110052.2384409772</v>
      </c>
      <c r="E664" t="s">
        <v>149</v>
      </c>
      <c r="F664" t="s">
        <v>814</v>
      </c>
    </row>
    <row r="665" spans="1:6" ht="15" hidden="1" customHeight="1" x14ac:dyDescent="0.25">
      <c r="A665" s="13" t="s">
        <v>61</v>
      </c>
      <c r="B665" t="s">
        <v>815</v>
      </c>
      <c r="C665" t="str">
        <f t="shared" si="12"/>
        <v>Iceland2 Golf</v>
      </c>
      <c r="D665">
        <v>40000</v>
      </c>
      <c r="E665" t="s">
        <v>149</v>
      </c>
    </row>
    <row r="666" spans="1:6" ht="15" hidden="1" customHeight="1" x14ac:dyDescent="0.25">
      <c r="A666" s="13" t="s">
        <v>61</v>
      </c>
      <c r="B666" t="s">
        <v>816</v>
      </c>
      <c r="C666" t="str">
        <f t="shared" si="12"/>
        <v>IcelandChannel 2 Sport</v>
      </c>
      <c r="D666">
        <v>40000</v>
      </c>
      <c r="E666" t="s">
        <v>149</v>
      </c>
    </row>
    <row r="667" spans="1:6" ht="15" hidden="1" customHeight="1" x14ac:dyDescent="0.25">
      <c r="A667" s="13" t="s">
        <v>61</v>
      </c>
      <c r="B667" t="s">
        <v>269</v>
      </c>
      <c r="C667" t="str">
        <f t="shared" si="12"/>
        <v>IcelandEurosport 2</v>
      </c>
      <c r="D667" s="116">
        <v>13000</v>
      </c>
      <c r="E667" s="1" t="s">
        <v>149</v>
      </c>
    </row>
    <row r="668" spans="1:6" ht="15" hidden="1" customHeight="1" x14ac:dyDescent="0.25">
      <c r="A668" s="206" t="s">
        <v>61</v>
      </c>
      <c r="B668" s="158" t="s">
        <v>817</v>
      </c>
      <c r="C668" s="155" t="str">
        <f t="shared" si="12"/>
        <v>IcelandGolfstoddin</v>
      </c>
      <c r="D668" s="1">
        <v>40000</v>
      </c>
      <c r="E668" t="s">
        <v>149</v>
      </c>
      <c r="F668" s="155"/>
    </row>
    <row r="669" spans="1:6" ht="15" hidden="1" customHeight="1" x14ac:dyDescent="0.25">
      <c r="A669" s="13" t="s">
        <v>61</v>
      </c>
      <c r="B669" t="s">
        <v>818</v>
      </c>
      <c r="C669" t="str">
        <f t="shared" si="12"/>
        <v>IcelandGolfstodin</v>
      </c>
      <c r="D669" s="1">
        <v>40000</v>
      </c>
      <c r="E669" t="s">
        <v>149</v>
      </c>
    </row>
    <row r="670" spans="1:6" ht="15" hidden="1" customHeight="1" x14ac:dyDescent="0.25">
      <c r="A670" s="13" t="s">
        <v>61</v>
      </c>
      <c r="B670" t="s">
        <v>819</v>
      </c>
      <c r="C670" t="str">
        <f t="shared" ref="C670:C701" si="13">CONCATENATE(A670,B670)</f>
        <v>IcelandGolfstödin</v>
      </c>
      <c r="D670" s="1">
        <v>40000</v>
      </c>
      <c r="E670" t="s">
        <v>149</v>
      </c>
    </row>
    <row r="671" spans="1:6" ht="15" hidden="1" customHeight="1" x14ac:dyDescent="0.25">
      <c r="A671" s="13" t="s">
        <v>61</v>
      </c>
      <c r="B671" t="s">
        <v>820</v>
      </c>
      <c r="C671" t="str">
        <f t="shared" si="13"/>
        <v>IcelandRUV</v>
      </c>
      <c r="D671" s="1">
        <v>121400</v>
      </c>
      <c r="E671" t="s">
        <v>142</v>
      </c>
      <c r="F671" t="s">
        <v>821</v>
      </c>
    </row>
    <row r="672" spans="1:6" ht="15" hidden="1" customHeight="1" x14ac:dyDescent="0.25">
      <c r="A672" s="33" t="s">
        <v>61</v>
      </c>
      <c r="B672" s="35" t="s">
        <v>822</v>
      </c>
      <c r="C672" t="str">
        <f t="shared" si="13"/>
        <v>IcelandRUV1</v>
      </c>
      <c r="D672" s="1">
        <v>121400</v>
      </c>
      <c r="E672" t="s">
        <v>142</v>
      </c>
      <c r="F672" t="s">
        <v>821</v>
      </c>
    </row>
    <row r="673" spans="1:6" ht="15" hidden="1" customHeight="1" x14ac:dyDescent="0.25">
      <c r="A673" s="13" t="s">
        <v>61</v>
      </c>
      <c r="B673" t="s">
        <v>823</v>
      </c>
      <c r="C673" t="str">
        <f t="shared" si="13"/>
        <v>IcelandSport 2 Sport</v>
      </c>
      <c r="D673" s="1">
        <v>40000</v>
      </c>
      <c r="E673" t="s">
        <v>149</v>
      </c>
    </row>
    <row r="674" spans="1:6" ht="15" hidden="1" customHeight="1" x14ac:dyDescent="0.25">
      <c r="A674" s="13" t="s">
        <v>61</v>
      </c>
      <c r="B674" t="s">
        <v>824</v>
      </c>
      <c r="C674" t="str">
        <f t="shared" si="13"/>
        <v>IcelandSport 2 Sport 2</v>
      </c>
      <c r="D674" s="1">
        <v>40000</v>
      </c>
      <c r="E674" t="s">
        <v>149</v>
      </c>
    </row>
    <row r="675" spans="1:6" ht="15" hidden="1" customHeight="1" x14ac:dyDescent="0.25">
      <c r="A675" s="13" t="s">
        <v>61</v>
      </c>
      <c r="B675" t="s">
        <v>825</v>
      </c>
      <c r="C675" t="str">
        <f t="shared" si="13"/>
        <v>IcelandSport 2 Sport 3</v>
      </c>
      <c r="D675" s="1">
        <v>40000</v>
      </c>
      <c r="E675" t="s">
        <v>149</v>
      </c>
    </row>
    <row r="676" spans="1:6" ht="15" hidden="1" customHeight="1" x14ac:dyDescent="0.25">
      <c r="A676" t="s">
        <v>61</v>
      </c>
      <c r="B676" t="s">
        <v>826</v>
      </c>
      <c r="C676" t="str">
        <f t="shared" si="13"/>
        <v>IcelandStod 2 Channel 2 Sport</v>
      </c>
      <c r="D676" s="1">
        <v>40000</v>
      </c>
      <c r="E676" t="s">
        <v>149</v>
      </c>
    </row>
    <row r="677" spans="1:6" ht="15" hidden="1" customHeight="1" x14ac:dyDescent="0.25">
      <c r="A677" s="13" t="s">
        <v>61</v>
      </c>
      <c r="B677" t="s">
        <v>827</v>
      </c>
      <c r="C677" t="str">
        <f t="shared" si="13"/>
        <v>IcelandStod 2 Sport</v>
      </c>
      <c r="D677" s="1">
        <v>40000</v>
      </c>
      <c r="E677" t="s">
        <v>149</v>
      </c>
    </row>
    <row r="678" spans="1:6" ht="15" hidden="1" customHeight="1" x14ac:dyDescent="0.25">
      <c r="A678" s="13" t="s">
        <v>61</v>
      </c>
      <c r="B678" t="s">
        <v>828</v>
      </c>
      <c r="C678" t="str">
        <f t="shared" si="13"/>
        <v>IcelandStod 2 Sport 2</v>
      </c>
      <c r="D678" s="1">
        <v>40000</v>
      </c>
      <c r="E678" t="s">
        <v>149</v>
      </c>
    </row>
    <row r="679" spans="1:6" ht="15" hidden="1" customHeight="1" x14ac:dyDescent="0.25">
      <c r="A679" s="13" t="s">
        <v>61</v>
      </c>
      <c r="B679" t="s">
        <v>829</v>
      </c>
      <c r="C679" t="str">
        <f t="shared" si="13"/>
        <v>IcelandStod 2 Sport 4</v>
      </c>
      <c r="D679" s="1">
        <v>40000</v>
      </c>
      <c r="E679" t="s">
        <v>149</v>
      </c>
    </row>
    <row r="680" spans="1:6" ht="15" hidden="1" customHeight="1" x14ac:dyDescent="0.25">
      <c r="A680" s="13" t="s">
        <v>61</v>
      </c>
      <c r="B680" t="s">
        <v>830</v>
      </c>
      <c r="C680" t="str">
        <f t="shared" si="13"/>
        <v>IcelandSTÖÐ 2 Sport 4</v>
      </c>
      <c r="D680" s="1">
        <v>40000</v>
      </c>
      <c r="E680" t="s">
        <v>149</v>
      </c>
    </row>
    <row r="681" spans="1:6" ht="15" hidden="1" customHeight="1" x14ac:dyDescent="0.25">
      <c r="A681" s="13" t="s">
        <v>61</v>
      </c>
      <c r="B681" t="s">
        <v>831</v>
      </c>
      <c r="C681" t="str">
        <f t="shared" si="13"/>
        <v>IcelandVodafone TV</v>
      </c>
      <c r="E681" t="s">
        <v>149</v>
      </c>
    </row>
    <row r="682" spans="1:6" ht="15" hidden="1" customHeight="1" x14ac:dyDescent="0.25">
      <c r="A682" s="13" t="s">
        <v>62</v>
      </c>
      <c r="B682" s="35" t="s">
        <v>832</v>
      </c>
      <c r="C682" t="str">
        <f t="shared" si="13"/>
        <v>IndiaDD National</v>
      </c>
      <c r="D682" s="1">
        <v>130000000</v>
      </c>
      <c r="E682" t="s">
        <v>142</v>
      </c>
    </row>
    <row r="683" spans="1:6" ht="15" hidden="1" customHeight="1" x14ac:dyDescent="0.25">
      <c r="A683" s="203" t="s">
        <v>62</v>
      </c>
      <c r="B683" s="147" t="s">
        <v>833</v>
      </c>
      <c r="C683" s="11" t="str">
        <f t="shared" si="13"/>
        <v>IndiaDD Sports</v>
      </c>
      <c r="D683" s="1">
        <v>130000000</v>
      </c>
      <c r="E683" t="s">
        <v>142</v>
      </c>
      <c r="F683" s="11"/>
    </row>
    <row r="684" spans="1:6" ht="15" hidden="1" customHeight="1" x14ac:dyDescent="0.25">
      <c r="A684" s="13" t="s">
        <v>62</v>
      </c>
      <c r="B684" t="s">
        <v>834</v>
      </c>
      <c r="C684" t="str">
        <f t="shared" si="13"/>
        <v>IndiaDsports</v>
      </c>
      <c r="D684" s="1">
        <v>35000000</v>
      </c>
      <c r="E684" t="s">
        <v>149</v>
      </c>
      <c r="F684" t="s">
        <v>835</v>
      </c>
    </row>
    <row r="685" spans="1:6" ht="15" hidden="1" customHeight="1" x14ac:dyDescent="0.25">
      <c r="A685" s="13" t="s">
        <v>62</v>
      </c>
      <c r="B685" t="s">
        <v>221</v>
      </c>
      <c r="C685" t="str">
        <f t="shared" si="13"/>
        <v>IndiaEurosport</v>
      </c>
      <c r="D685" s="1">
        <v>35000000</v>
      </c>
      <c r="E685" t="s">
        <v>149</v>
      </c>
      <c r="F685" t="s">
        <v>836</v>
      </c>
    </row>
    <row r="686" spans="1:6" ht="15" hidden="1" customHeight="1" x14ac:dyDescent="0.25">
      <c r="A686" s="13" t="s">
        <v>62</v>
      </c>
      <c r="B686" t="s">
        <v>837</v>
      </c>
      <c r="C686" t="str">
        <f t="shared" si="13"/>
        <v>IndiaEurosport HD</v>
      </c>
      <c r="D686" s="1">
        <v>35000000</v>
      </c>
      <c r="E686" t="s">
        <v>149</v>
      </c>
      <c r="F686" t="s">
        <v>836</v>
      </c>
    </row>
    <row r="687" spans="1:6" ht="15" hidden="1" customHeight="1" x14ac:dyDescent="0.25">
      <c r="A687" s="13" t="s">
        <v>838</v>
      </c>
      <c r="B687" t="s">
        <v>839</v>
      </c>
      <c r="C687" t="str">
        <f t="shared" si="13"/>
        <v>Indian SubcontinentTen Golf HD</v>
      </c>
      <c r="D687" s="1">
        <v>87118000</v>
      </c>
      <c r="E687" t="s">
        <v>149</v>
      </c>
    </row>
    <row r="688" spans="1:6" ht="15" hidden="1" customHeight="1" x14ac:dyDescent="0.25">
      <c r="A688" s="13" t="s">
        <v>62</v>
      </c>
      <c r="B688" s="41" t="s">
        <v>840</v>
      </c>
      <c r="C688" t="str">
        <f t="shared" si="13"/>
        <v>IndiaNeo Sports</v>
      </c>
      <c r="D688" s="1">
        <v>101300000</v>
      </c>
      <c r="E688" t="s">
        <v>149</v>
      </c>
      <c r="F688" t="s">
        <v>841</v>
      </c>
    </row>
    <row r="689" spans="1:6" ht="15" hidden="1" customHeight="1" x14ac:dyDescent="0.25">
      <c r="A689" s="13" t="s">
        <v>62</v>
      </c>
      <c r="B689" t="s">
        <v>842</v>
      </c>
      <c r="C689" t="str">
        <f t="shared" si="13"/>
        <v>IndiaSony ESPN</v>
      </c>
      <c r="D689" s="1">
        <v>86893000</v>
      </c>
      <c r="E689" t="s">
        <v>149</v>
      </c>
      <c r="F689" t="s">
        <v>841</v>
      </c>
    </row>
    <row r="690" spans="1:6" ht="15" hidden="1" customHeight="1" x14ac:dyDescent="0.25">
      <c r="A690" s="13" t="s">
        <v>62</v>
      </c>
      <c r="B690" t="s">
        <v>843</v>
      </c>
      <c r="C690" t="str">
        <f t="shared" si="13"/>
        <v>IndiaSony ESPN (v)</v>
      </c>
      <c r="D690" s="1">
        <v>86893000</v>
      </c>
      <c r="E690" t="s">
        <v>149</v>
      </c>
    </row>
    <row r="691" spans="1:6" ht="15" hidden="1" customHeight="1" x14ac:dyDescent="0.25">
      <c r="A691" s="13" t="s">
        <v>62</v>
      </c>
      <c r="B691" t="s">
        <v>844</v>
      </c>
      <c r="C691" t="str">
        <f t="shared" si="13"/>
        <v>IndiaSony ESPN HD</v>
      </c>
      <c r="D691" s="1">
        <v>86893000</v>
      </c>
      <c r="E691" t="s">
        <v>149</v>
      </c>
      <c r="F691" t="s">
        <v>841</v>
      </c>
    </row>
    <row r="692" spans="1:6" ht="15" hidden="1" customHeight="1" x14ac:dyDescent="0.25">
      <c r="A692" s="13" t="s">
        <v>62</v>
      </c>
      <c r="B692" t="s">
        <v>845</v>
      </c>
      <c r="C692" t="str">
        <f t="shared" si="13"/>
        <v>IndiaSony ESPN HD(v)</v>
      </c>
      <c r="D692" s="1">
        <v>86893000</v>
      </c>
      <c r="E692" t="s">
        <v>149</v>
      </c>
      <c r="F692" t="s">
        <v>841</v>
      </c>
    </row>
    <row r="693" spans="1:6" ht="15" hidden="1" customHeight="1" x14ac:dyDescent="0.25">
      <c r="A693" s="13" t="s">
        <v>62</v>
      </c>
      <c r="B693" s="40" t="s">
        <v>846</v>
      </c>
      <c r="C693" t="str">
        <f t="shared" si="13"/>
        <v>IndiaSony ESPN(v)</v>
      </c>
      <c r="D693" s="1">
        <v>86893000</v>
      </c>
      <c r="E693" t="s">
        <v>149</v>
      </c>
      <c r="F693" t="s">
        <v>841</v>
      </c>
    </row>
    <row r="694" spans="1:6" ht="15" hidden="1" customHeight="1" x14ac:dyDescent="0.25">
      <c r="A694" s="205" t="s">
        <v>62</v>
      </c>
      <c r="B694" s="11" t="s">
        <v>847</v>
      </c>
      <c r="C694" s="11" t="str">
        <f t="shared" si="13"/>
        <v>IndiaSony Six</v>
      </c>
      <c r="D694" s="1">
        <v>86893000</v>
      </c>
      <c r="E694" t="s">
        <v>149</v>
      </c>
      <c r="F694" s="11"/>
    </row>
    <row r="695" spans="1:6" ht="15" hidden="1" customHeight="1" x14ac:dyDescent="0.25">
      <c r="A695" s="13" t="s">
        <v>62</v>
      </c>
      <c r="B695" s="40" t="s">
        <v>848</v>
      </c>
      <c r="C695" t="str">
        <f t="shared" si="13"/>
        <v>IndiaSony SIX HD</v>
      </c>
      <c r="D695" s="1">
        <v>86893000</v>
      </c>
      <c r="E695" t="s">
        <v>149</v>
      </c>
      <c r="F695" t="s">
        <v>841</v>
      </c>
    </row>
    <row r="696" spans="1:6" ht="15" hidden="1" customHeight="1" x14ac:dyDescent="0.25">
      <c r="A696" s="13" t="s">
        <v>62</v>
      </c>
      <c r="B696" s="40" t="s">
        <v>849</v>
      </c>
      <c r="C696" t="str">
        <f t="shared" si="13"/>
        <v>IndiaSony SIX(v)</v>
      </c>
      <c r="D696" s="1">
        <v>86893000</v>
      </c>
      <c r="E696" t="s">
        <v>149</v>
      </c>
      <c r="F696" t="s">
        <v>841</v>
      </c>
    </row>
    <row r="697" spans="1:6" ht="15" hidden="1" customHeight="1" x14ac:dyDescent="0.25">
      <c r="A697" s="13" t="s">
        <v>62</v>
      </c>
      <c r="B697" t="s">
        <v>850</v>
      </c>
      <c r="C697" t="str">
        <f t="shared" si="13"/>
        <v>IndiaSony Ten 1</v>
      </c>
      <c r="D697" s="1">
        <v>101300000</v>
      </c>
      <c r="E697" t="s">
        <v>149</v>
      </c>
      <c r="F697" t="s">
        <v>841</v>
      </c>
    </row>
    <row r="698" spans="1:6" ht="15" hidden="1" customHeight="1" x14ac:dyDescent="0.25">
      <c r="A698" t="s">
        <v>62</v>
      </c>
      <c r="B698" t="s">
        <v>851</v>
      </c>
      <c r="C698" t="str">
        <f t="shared" si="13"/>
        <v>IndiaSony Ten 1 HD</v>
      </c>
      <c r="D698" s="1">
        <v>101300000</v>
      </c>
      <c r="E698" t="s">
        <v>149</v>
      </c>
      <c r="F698" t="s">
        <v>841</v>
      </c>
    </row>
    <row r="699" spans="1:6" ht="15" hidden="1" customHeight="1" x14ac:dyDescent="0.25">
      <c r="A699" s="205" t="s">
        <v>62</v>
      </c>
      <c r="B699" s="11" t="s">
        <v>852</v>
      </c>
      <c r="C699" s="11" t="str">
        <f t="shared" si="13"/>
        <v>IndiaSony Ten 2</v>
      </c>
      <c r="D699" s="1">
        <v>101300000</v>
      </c>
      <c r="E699" t="s">
        <v>149</v>
      </c>
      <c r="F699" s="11"/>
    </row>
    <row r="700" spans="1:6" ht="15" hidden="1" customHeight="1" x14ac:dyDescent="0.25">
      <c r="A700" s="205" t="s">
        <v>62</v>
      </c>
      <c r="B700" s="11" t="s">
        <v>853</v>
      </c>
      <c r="C700" s="11" t="str">
        <f t="shared" si="13"/>
        <v>IndiaSony Ten 2 HD</v>
      </c>
      <c r="D700" s="1">
        <v>101300000</v>
      </c>
      <c r="E700" t="s">
        <v>149</v>
      </c>
      <c r="F700" s="11"/>
    </row>
    <row r="701" spans="1:6" ht="15" hidden="1" customHeight="1" x14ac:dyDescent="0.25">
      <c r="A701" s="205" t="s">
        <v>62</v>
      </c>
      <c r="B701" s="11" t="s">
        <v>854</v>
      </c>
      <c r="C701" s="11" t="str">
        <f t="shared" si="13"/>
        <v>IndiaSony Ten 3</v>
      </c>
      <c r="D701" s="1">
        <v>101300000</v>
      </c>
      <c r="E701" t="s">
        <v>149</v>
      </c>
      <c r="F701" s="11"/>
    </row>
    <row r="702" spans="1:6" ht="15" hidden="1" customHeight="1" x14ac:dyDescent="0.25">
      <c r="A702" s="205" t="s">
        <v>62</v>
      </c>
      <c r="B702" s="11" t="s">
        <v>855</v>
      </c>
      <c r="C702" s="11" t="str">
        <f t="shared" ref="C702:C733" si="14">CONCATENATE(A702,B702)</f>
        <v>IndiaSony Ten 3 HD</v>
      </c>
      <c r="D702" s="1">
        <v>101300000</v>
      </c>
      <c r="E702" t="s">
        <v>149</v>
      </c>
      <c r="F702" s="11"/>
    </row>
    <row r="703" spans="1:6" ht="15" hidden="1" customHeight="1" x14ac:dyDescent="0.25">
      <c r="A703" s="13" t="s">
        <v>62</v>
      </c>
      <c r="B703" t="s">
        <v>856</v>
      </c>
      <c r="C703" t="str">
        <f t="shared" si="14"/>
        <v>IndiaSony Ten Golf HD</v>
      </c>
      <c r="D703" s="1">
        <v>101300000</v>
      </c>
      <c r="E703" t="s">
        <v>149</v>
      </c>
      <c r="F703" t="s">
        <v>841</v>
      </c>
    </row>
    <row r="704" spans="1:6" ht="15" hidden="1" customHeight="1" x14ac:dyDescent="0.25">
      <c r="A704" s="211" t="s">
        <v>62</v>
      </c>
      <c r="B704" s="166" t="s">
        <v>548</v>
      </c>
      <c r="C704" s="162" t="str">
        <f t="shared" si="14"/>
        <v>IndiaStar Sports 1</v>
      </c>
      <c r="D704" s="1">
        <v>101300000</v>
      </c>
      <c r="E704" t="s">
        <v>149</v>
      </c>
      <c r="F704" s="162"/>
    </row>
    <row r="705" spans="1:6" ht="15" hidden="1" customHeight="1" x14ac:dyDescent="0.25">
      <c r="A705" s="211" t="s">
        <v>62</v>
      </c>
      <c r="B705" s="166" t="s">
        <v>857</v>
      </c>
      <c r="C705" s="162" t="str">
        <f t="shared" si="14"/>
        <v>IndiaStar Sports 1 HD</v>
      </c>
      <c r="D705" s="1">
        <v>101300000</v>
      </c>
      <c r="E705" t="s">
        <v>149</v>
      </c>
      <c r="F705" s="162"/>
    </row>
    <row r="706" spans="1:6" ht="15" hidden="1" customHeight="1" x14ac:dyDescent="0.25">
      <c r="A706" s="13" t="s">
        <v>62</v>
      </c>
      <c r="B706" t="s">
        <v>858</v>
      </c>
      <c r="C706" t="str">
        <f t="shared" si="14"/>
        <v>IndiaSTAR Sports 2</v>
      </c>
      <c r="D706" s="1">
        <v>101300000</v>
      </c>
      <c r="E706" t="s">
        <v>149</v>
      </c>
      <c r="F706" t="s">
        <v>841</v>
      </c>
    </row>
    <row r="707" spans="1:6" ht="15" hidden="1" customHeight="1" x14ac:dyDescent="0.25">
      <c r="A707" s="13" t="s">
        <v>62</v>
      </c>
      <c r="B707" t="s">
        <v>859</v>
      </c>
      <c r="C707" t="str">
        <f t="shared" si="14"/>
        <v>IndiaSTAR Sports 2 HD</v>
      </c>
      <c r="D707">
        <v>101300000</v>
      </c>
      <c r="E707" t="s">
        <v>149</v>
      </c>
    </row>
    <row r="708" spans="1:6" ht="15" hidden="1" customHeight="1" x14ac:dyDescent="0.25">
      <c r="A708" s="209" t="s">
        <v>62</v>
      </c>
      <c r="B708" s="155" t="s">
        <v>860</v>
      </c>
      <c r="C708" s="155" t="str">
        <f t="shared" si="14"/>
        <v>IndiaSTAR Sports 2(v)</v>
      </c>
      <c r="D708" s="156">
        <v>40000000</v>
      </c>
      <c r="E708" s="155" t="s">
        <v>149</v>
      </c>
      <c r="F708" s="155"/>
    </row>
    <row r="709" spans="1:6" ht="15" hidden="1" customHeight="1" x14ac:dyDescent="0.25">
      <c r="A709" s="211" t="s">
        <v>62</v>
      </c>
      <c r="B709" s="166" t="s">
        <v>861</v>
      </c>
      <c r="C709" s="162" t="str">
        <f t="shared" si="14"/>
        <v>IndiaStar Sports 3</v>
      </c>
      <c r="D709" s="1">
        <v>101300000</v>
      </c>
      <c r="E709" t="s">
        <v>149</v>
      </c>
      <c r="F709" s="162"/>
    </row>
    <row r="710" spans="1:6" ht="15" hidden="1" customHeight="1" x14ac:dyDescent="0.25">
      <c r="A710" s="209" t="s">
        <v>62</v>
      </c>
      <c r="B710" s="155" t="s">
        <v>862</v>
      </c>
      <c r="C710" s="155" t="str">
        <f t="shared" si="14"/>
        <v>IndiaSTAR Sports 3(v)</v>
      </c>
      <c r="D710" s="156">
        <v>40000000</v>
      </c>
      <c r="E710" s="155" t="s">
        <v>149</v>
      </c>
      <c r="F710" s="155"/>
    </row>
    <row r="711" spans="1:6" ht="15" hidden="1" customHeight="1" x14ac:dyDescent="0.25">
      <c r="A711" t="s">
        <v>62</v>
      </c>
      <c r="B711" t="s">
        <v>863</v>
      </c>
      <c r="C711" t="str">
        <f t="shared" si="14"/>
        <v>IndiaSTAR Sports 4</v>
      </c>
      <c r="D711" s="1">
        <v>101300000</v>
      </c>
      <c r="E711" t="s">
        <v>149</v>
      </c>
      <c r="F711" t="s">
        <v>841</v>
      </c>
    </row>
    <row r="712" spans="1:6" ht="15" hidden="1" customHeight="1" x14ac:dyDescent="0.25">
      <c r="A712" s="210" t="s">
        <v>62</v>
      </c>
      <c r="B712" s="162" t="s">
        <v>864</v>
      </c>
      <c r="C712" s="162" t="str">
        <f t="shared" si="14"/>
        <v>IndiaStar Sports HD 2</v>
      </c>
      <c r="D712" s="1">
        <v>101300000</v>
      </c>
      <c r="E712" t="s">
        <v>149</v>
      </c>
      <c r="F712" s="162"/>
    </row>
    <row r="713" spans="1:6" ht="15" hidden="1" customHeight="1" x14ac:dyDescent="0.25">
      <c r="A713" s="13" t="s">
        <v>62</v>
      </c>
      <c r="B713" t="s">
        <v>865</v>
      </c>
      <c r="C713" t="str">
        <f t="shared" si="14"/>
        <v>IndiaSTAR Sports Select 1</v>
      </c>
      <c r="D713" s="1">
        <v>40000000</v>
      </c>
      <c r="E713" t="s">
        <v>149</v>
      </c>
      <c r="F713" t="s">
        <v>866</v>
      </c>
    </row>
    <row r="714" spans="1:6" ht="15" hidden="1" customHeight="1" x14ac:dyDescent="0.25">
      <c r="A714" s="13" t="s">
        <v>62</v>
      </c>
      <c r="B714" t="s">
        <v>867</v>
      </c>
      <c r="C714" t="str">
        <f t="shared" si="14"/>
        <v>IndiaSTAR Sports Select 1 HD</v>
      </c>
      <c r="D714" s="1">
        <v>5000000</v>
      </c>
      <c r="E714" t="s">
        <v>149</v>
      </c>
      <c r="F714" t="s">
        <v>866</v>
      </c>
    </row>
    <row r="715" spans="1:6" ht="15" hidden="1" customHeight="1" x14ac:dyDescent="0.25">
      <c r="A715" s="13" t="s">
        <v>62</v>
      </c>
      <c r="B715" t="s">
        <v>868</v>
      </c>
      <c r="C715" t="str">
        <f t="shared" si="14"/>
        <v>IndiaSTAR Sports Select 1 SD</v>
      </c>
      <c r="D715" s="1">
        <v>40000000</v>
      </c>
      <c r="E715" t="s">
        <v>149</v>
      </c>
      <c r="F715" t="s">
        <v>866</v>
      </c>
    </row>
    <row r="716" spans="1:6" ht="15" hidden="1" customHeight="1" x14ac:dyDescent="0.25">
      <c r="A716" s="13" t="s">
        <v>62</v>
      </c>
      <c r="B716" t="s">
        <v>869</v>
      </c>
      <c r="C716" t="str">
        <f t="shared" si="14"/>
        <v>IndiaSTAR Sports Select 2</v>
      </c>
      <c r="D716">
        <v>101300000</v>
      </c>
      <c r="E716" t="s">
        <v>149</v>
      </c>
    </row>
    <row r="717" spans="1:6" ht="15" hidden="1" customHeight="1" x14ac:dyDescent="0.25">
      <c r="A717" s="13" t="s">
        <v>62</v>
      </c>
      <c r="B717" t="s">
        <v>870</v>
      </c>
      <c r="C717" t="str">
        <f t="shared" si="14"/>
        <v>IndiaSTAR Sports Select 2 HD</v>
      </c>
      <c r="D717" s="1">
        <v>5000000</v>
      </c>
      <c r="E717" t="s">
        <v>149</v>
      </c>
      <c r="F717" t="s">
        <v>866</v>
      </c>
    </row>
    <row r="718" spans="1:6" ht="15" hidden="1" customHeight="1" x14ac:dyDescent="0.25">
      <c r="A718" s="13" t="s">
        <v>62</v>
      </c>
      <c r="B718" t="s">
        <v>871</v>
      </c>
      <c r="C718" t="str">
        <f t="shared" si="14"/>
        <v>IndiaSTAR Sports Select 2 SD</v>
      </c>
      <c r="D718" s="1">
        <v>29000000</v>
      </c>
      <c r="E718" t="s">
        <v>149</v>
      </c>
      <c r="F718" t="s">
        <v>866</v>
      </c>
    </row>
    <row r="719" spans="1:6" ht="15" hidden="1" customHeight="1" x14ac:dyDescent="0.25">
      <c r="A719" s="13" t="s">
        <v>62</v>
      </c>
      <c r="B719" t="s">
        <v>872</v>
      </c>
      <c r="C719" t="str">
        <f t="shared" si="14"/>
        <v>IndiaStar Sports Select HD1</v>
      </c>
      <c r="D719" s="1">
        <v>101300000</v>
      </c>
      <c r="E719" t="s">
        <v>149</v>
      </c>
      <c r="F719" t="s">
        <v>841</v>
      </c>
    </row>
    <row r="720" spans="1:6" ht="15" hidden="1" customHeight="1" x14ac:dyDescent="0.25">
      <c r="A720" s="13" t="s">
        <v>62</v>
      </c>
      <c r="B720" t="s">
        <v>873</v>
      </c>
      <c r="C720" t="str">
        <f t="shared" si="14"/>
        <v>IndiaStar Sports Select HD2</v>
      </c>
      <c r="D720" s="1">
        <v>101300000</v>
      </c>
      <c r="E720" t="s">
        <v>149</v>
      </c>
      <c r="F720" t="s">
        <v>841</v>
      </c>
    </row>
    <row r="721" spans="1:6" ht="15" hidden="1" customHeight="1" x14ac:dyDescent="0.25">
      <c r="A721" s="13" t="s">
        <v>62</v>
      </c>
      <c r="B721" t="s">
        <v>874</v>
      </c>
      <c r="C721" t="str">
        <f t="shared" si="14"/>
        <v>IndiaTen 1</v>
      </c>
      <c r="D721" s="1">
        <v>101300000</v>
      </c>
      <c r="E721" t="s">
        <v>149</v>
      </c>
      <c r="F721" t="s">
        <v>841</v>
      </c>
    </row>
    <row r="722" spans="1:6" ht="15" hidden="1" customHeight="1" x14ac:dyDescent="0.25">
      <c r="A722" s="13" t="s">
        <v>62</v>
      </c>
      <c r="B722" t="s">
        <v>875</v>
      </c>
      <c r="C722" t="str">
        <f t="shared" si="14"/>
        <v>IndiaTen 1 HD</v>
      </c>
      <c r="D722" s="1">
        <v>101300000</v>
      </c>
      <c r="E722" t="s">
        <v>149</v>
      </c>
      <c r="F722" t="s">
        <v>841</v>
      </c>
    </row>
    <row r="723" spans="1:6" ht="15" hidden="1" customHeight="1" x14ac:dyDescent="0.25">
      <c r="A723" s="13" t="s">
        <v>62</v>
      </c>
      <c r="B723" t="s">
        <v>876</v>
      </c>
      <c r="C723" t="str">
        <f t="shared" si="14"/>
        <v>IndiaTen 2</v>
      </c>
      <c r="D723" s="1">
        <v>101300000</v>
      </c>
      <c r="E723" t="s">
        <v>149</v>
      </c>
      <c r="F723" t="s">
        <v>841</v>
      </c>
    </row>
    <row r="724" spans="1:6" ht="15" hidden="1" customHeight="1" x14ac:dyDescent="0.25">
      <c r="A724" s="13" t="s">
        <v>62</v>
      </c>
      <c r="B724" t="s">
        <v>877</v>
      </c>
      <c r="C724" t="str">
        <f t="shared" si="14"/>
        <v>IndiaTen 3</v>
      </c>
      <c r="D724" s="1">
        <v>101300000</v>
      </c>
      <c r="E724" t="s">
        <v>149</v>
      </c>
      <c r="F724" t="s">
        <v>841</v>
      </c>
    </row>
    <row r="725" spans="1:6" ht="15" hidden="1" customHeight="1" x14ac:dyDescent="0.25">
      <c r="A725" s="13" t="s">
        <v>62</v>
      </c>
      <c r="B725" t="s">
        <v>839</v>
      </c>
      <c r="C725" t="str">
        <f t="shared" si="14"/>
        <v>IndiaTen Golf HD</v>
      </c>
      <c r="D725" s="1">
        <v>101300000</v>
      </c>
      <c r="E725" t="s">
        <v>149</v>
      </c>
      <c r="F725" t="s">
        <v>841</v>
      </c>
    </row>
    <row r="726" spans="1:6" ht="15" hidden="1" customHeight="1" x14ac:dyDescent="0.25">
      <c r="A726" s="13" t="s">
        <v>62</v>
      </c>
      <c r="B726" t="s">
        <v>878</v>
      </c>
      <c r="C726" t="str">
        <f t="shared" si="14"/>
        <v>IndiaVEQTA</v>
      </c>
      <c r="D726" s="1">
        <v>606075</v>
      </c>
      <c r="E726" t="s">
        <v>149</v>
      </c>
      <c r="F726" t="s">
        <v>879</v>
      </c>
    </row>
    <row r="727" spans="1:6" ht="15" hidden="1" customHeight="1" x14ac:dyDescent="0.25">
      <c r="A727" s="13" t="s">
        <v>63</v>
      </c>
      <c r="B727" s="41" t="s">
        <v>455</v>
      </c>
      <c r="C727" t="str">
        <f t="shared" si="14"/>
        <v>IndonesiabeIN Sports</v>
      </c>
      <c r="D727" s="1">
        <v>3696000</v>
      </c>
      <c r="E727" t="s">
        <v>149</v>
      </c>
      <c r="F727" t="s">
        <v>880</v>
      </c>
    </row>
    <row r="728" spans="1:6" ht="15" hidden="1" customHeight="1" x14ac:dyDescent="0.25">
      <c r="A728" s="13" t="s">
        <v>63</v>
      </c>
      <c r="B728" t="s">
        <v>793</v>
      </c>
      <c r="C728" t="str">
        <f t="shared" si="14"/>
        <v>IndonesiaFOX SPORTS</v>
      </c>
      <c r="D728" s="1">
        <v>4637000</v>
      </c>
      <c r="E728" t="s">
        <v>149</v>
      </c>
      <c r="F728" t="s">
        <v>881</v>
      </c>
    </row>
    <row r="729" spans="1:6" ht="15" hidden="1" customHeight="1" x14ac:dyDescent="0.25">
      <c r="A729" s="203" t="s">
        <v>63</v>
      </c>
      <c r="B729" s="147" t="s">
        <v>468</v>
      </c>
      <c r="C729" s="11" t="str">
        <f t="shared" si="14"/>
        <v>IndonesiaFox Sports 1</v>
      </c>
      <c r="D729" s="1">
        <v>4637000</v>
      </c>
      <c r="E729" t="s">
        <v>149</v>
      </c>
      <c r="F729" s="11"/>
    </row>
    <row r="730" spans="1:6" ht="15" hidden="1" customHeight="1" x14ac:dyDescent="0.25">
      <c r="A730" s="13" t="s">
        <v>63</v>
      </c>
      <c r="B730" t="s">
        <v>195</v>
      </c>
      <c r="C730" t="str">
        <f t="shared" si="14"/>
        <v>IndonesiaFox Sports 2</v>
      </c>
      <c r="D730" s="1">
        <v>4637000</v>
      </c>
      <c r="E730" t="s">
        <v>149</v>
      </c>
      <c r="F730" t="s">
        <v>881</v>
      </c>
    </row>
    <row r="731" spans="1:6" ht="15" hidden="1" customHeight="1" x14ac:dyDescent="0.25">
      <c r="A731" s="13" t="s">
        <v>63</v>
      </c>
      <c r="B731" t="s">
        <v>882</v>
      </c>
      <c r="C731" t="str">
        <f t="shared" si="14"/>
        <v>IndonesiaFox Sports 2 HD</v>
      </c>
      <c r="D731" s="1">
        <v>4637000</v>
      </c>
      <c r="E731" t="s">
        <v>149</v>
      </c>
    </row>
    <row r="732" spans="1:6" ht="15" hidden="1" customHeight="1" x14ac:dyDescent="0.25">
      <c r="A732" s="203" t="s">
        <v>63</v>
      </c>
      <c r="B732" s="147" t="s">
        <v>197</v>
      </c>
      <c r="C732" s="11" t="str">
        <f t="shared" si="14"/>
        <v>IndonesiaFox Sports 3</v>
      </c>
      <c r="D732" s="1">
        <v>4637000</v>
      </c>
      <c r="E732" t="s">
        <v>149</v>
      </c>
      <c r="F732" s="11"/>
    </row>
    <row r="733" spans="1:6" ht="15" hidden="1" customHeight="1" x14ac:dyDescent="0.25">
      <c r="A733" s="13" t="s">
        <v>63</v>
      </c>
      <c r="B733" t="s">
        <v>199</v>
      </c>
      <c r="C733" t="str">
        <f t="shared" si="14"/>
        <v>IndonesiaFox Sports HD</v>
      </c>
      <c r="D733" s="1">
        <v>4637000</v>
      </c>
      <c r="E733" t="s">
        <v>149</v>
      </c>
      <c r="F733" t="s">
        <v>881</v>
      </c>
    </row>
    <row r="734" spans="1:6" ht="15" hidden="1" customHeight="1" x14ac:dyDescent="0.25">
      <c r="A734" s="13" t="s">
        <v>63</v>
      </c>
      <c r="B734" t="s">
        <v>883</v>
      </c>
      <c r="C734" t="str">
        <f t="shared" ref="C734:C736" si="15">CONCATENATE(A734,B734)</f>
        <v>IndonesiaGlobal TV</v>
      </c>
      <c r="D734" s="1">
        <v>38833000</v>
      </c>
      <c r="E734" t="s">
        <v>142</v>
      </c>
      <c r="F734" t="s">
        <v>884</v>
      </c>
    </row>
    <row r="735" spans="1:6" ht="15" hidden="1" customHeight="1" x14ac:dyDescent="0.25">
      <c r="A735" s="13" t="s">
        <v>63</v>
      </c>
      <c r="B735" t="s">
        <v>721</v>
      </c>
      <c r="C735" t="str">
        <f t="shared" si="15"/>
        <v>IndonesiaGolf +</v>
      </c>
      <c r="D735" s="1">
        <v>1049000</v>
      </c>
      <c r="E735" t="s">
        <v>149</v>
      </c>
    </row>
    <row r="736" spans="1:6" ht="15" hidden="1" customHeight="1" x14ac:dyDescent="0.25">
      <c r="A736" s="13" t="s">
        <v>63</v>
      </c>
      <c r="B736" t="s">
        <v>477</v>
      </c>
      <c r="C736" t="str">
        <f t="shared" si="15"/>
        <v>IndonesiaGolf Channel</v>
      </c>
      <c r="D736" s="1">
        <v>1049000</v>
      </c>
      <c r="E736" t="s">
        <v>149</v>
      </c>
      <c r="F736" t="s">
        <v>885</v>
      </c>
    </row>
    <row r="737" spans="1:6" ht="15" hidden="1" customHeight="1" x14ac:dyDescent="0.25">
      <c r="A737" s="13" t="s">
        <v>63</v>
      </c>
      <c r="B737" t="s">
        <v>886</v>
      </c>
      <c r="C737" t="s">
        <v>887</v>
      </c>
      <c r="D737" s="1">
        <v>1049000</v>
      </c>
      <c r="E737" t="s">
        <v>149</v>
      </c>
      <c r="F737" t="s">
        <v>885</v>
      </c>
    </row>
    <row r="738" spans="1:6" ht="15" hidden="1" customHeight="1" x14ac:dyDescent="0.25">
      <c r="A738" s="13" t="s">
        <v>63</v>
      </c>
      <c r="B738" t="s">
        <v>888</v>
      </c>
      <c r="C738" t="str">
        <f t="shared" ref="C738:C801" si="16">CONCATENATE(A738,B738)</f>
        <v>IndonesiaGolf HD</v>
      </c>
      <c r="D738" s="1">
        <v>1049000</v>
      </c>
      <c r="E738" t="s">
        <v>149</v>
      </c>
    </row>
    <row r="739" spans="1:6" ht="15" hidden="1" customHeight="1" x14ac:dyDescent="0.25">
      <c r="A739" s="13" t="s">
        <v>63</v>
      </c>
      <c r="B739" t="s">
        <v>889</v>
      </c>
      <c r="C739" t="str">
        <f t="shared" si="16"/>
        <v>IndonesiaGolf+ HD</v>
      </c>
      <c r="D739" s="1">
        <v>1049000</v>
      </c>
      <c r="E739" t="s">
        <v>149</v>
      </c>
    </row>
    <row r="740" spans="1:6" ht="15" hidden="1" customHeight="1" x14ac:dyDescent="0.25">
      <c r="A740" s="13" t="s">
        <v>63</v>
      </c>
      <c r="B740" t="s">
        <v>890</v>
      </c>
      <c r="C740" t="str">
        <f t="shared" si="16"/>
        <v xml:space="preserve">IndonesiaGolf+ HD </v>
      </c>
      <c r="D740" s="1">
        <v>1049000</v>
      </c>
      <c r="E740" t="s">
        <v>149</v>
      </c>
      <c r="F740" t="s">
        <v>885</v>
      </c>
    </row>
    <row r="741" spans="1:6" ht="15" hidden="1" customHeight="1" x14ac:dyDescent="0.25">
      <c r="A741" s="13" t="s">
        <v>63</v>
      </c>
      <c r="B741" t="s">
        <v>891</v>
      </c>
      <c r="C741" t="str">
        <f t="shared" si="16"/>
        <v>IndonesiaINEWSTV</v>
      </c>
      <c r="D741" s="1">
        <v>5600000</v>
      </c>
      <c r="E741" t="s">
        <v>142</v>
      </c>
      <c r="F741" t="s">
        <v>892</v>
      </c>
    </row>
    <row r="742" spans="1:6" ht="15" hidden="1" customHeight="1" x14ac:dyDescent="0.25">
      <c r="A742" s="13" t="s">
        <v>63</v>
      </c>
      <c r="B742" t="s">
        <v>893</v>
      </c>
      <c r="C742" t="str">
        <f t="shared" si="16"/>
        <v>IndonesiaMetro TV</v>
      </c>
      <c r="D742" s="1">
        <v>36819000</v>
      </c>
      <c r="E742" t="s">
        <v>142</v>
      </c>
      <c r="F742" t="s">
        <v>894</v>
      </c>
    </row>
    <row r="743" spans="1:6" ht="15" hidden="1" customHeight="1" x14ac:dyDescent="0.25">
      <c r="A743" s="13" t="s">
        <v>63</v>
      </c>
      <c r="B743" t="s">
        <v>895</v>
      </c>
      <c r="C743" t="str">
        <f t="shared" si="16"/>
        <v>IndonesiaMNC</v>
      </c>
      <c r="D743" s="1">
        <v>2834000</v>
      </c>
      <c r="E743" t="s">
        <v>149</v>
      </c>
      <c r="F743" t="s">
        <v>896</v>
      </c>
    </row>
    <row r="744" spans="1:6" ht="15" hidden="1" customHeight="1" x14ac:dyDescent="0.25">
      <c r="A744" s="13" t="s">
        <v>63</v>
      </c>
      <c r="B744" t="s">
        <v>897</v>
      </c>
      <c r="C744" t="str">
        <f t="shared" si="16"/>
        <v>IndonesiaMNC Sports</v>
      </c>
      <c r="D744" s="1">
        <v>2834000</v>
      </c>
      <c r="E744" t="s">
        <v>149</v>
      </c>
      <c r="F744" t="s">
        <v>896</v>
      </c>
    </row>
    <row r="745" spans="1:6" ht="15" hidden="1" customHeight="1" x14ac:dyDescent="0.25">
      <c r="A745" s="13" t="s">
        <v>64</v>
      </c>
      <c r="C745" t="str">
        <f t="shared" si="16"/>
        <v>Ireland</v>
      </c>
      <c r="D745" s="1">
        <v>1532420</v>
      </c>
      <c r="E745" t="s">
        <v>142</v>
      </c>
      <c r="F745" t="s">
        <v>341</v>
      </c>
    </row>
    <row r="746" spans="1:6" ht="15" hidden="1" customHeight="1" x14ac:dyDescent="0.25">
      <c r="A746" s="205" t="s">
        <v>64</v>
      </c>
      <c r="B746" s="11" t="s">
        <v>898</v>
      </c>
      <c r="C746" s="11" t="str">
        <f t="shared" si="16"/>
        <v>IrelandBBC 1</v>
      </c>
      <c r="D746" s="1">
        <v>1308300</v>
      </c>
      <c r="E746" t="s">
        <v>142</v>
      </c>
      <c r="F746" s="11"/>
    </row>
    <row r="747" spans="1:6" ht="15" hidden="1" customHeight="1" x14ac:dyDescent="0.25">
      <c r="A747" s="203" t="s">
        <v>64</v>
      </c>
      <c r="B747" s="147" t="s">
        <v>899</v>
      </c>
      <c r="C747" s="11" t="str">
        <f t="shared" si="16"/>
        <v>IrelandBBC 2</v>
      </c>
      <c r="D747" s="1">
        <v>1287750</v>
      </c>
      <c r="E747" t="s">
        <v>142</v>
      </c>
      <c r="F747" s="11"/>
    </row>
    <row r="748" spans="1:6" ht="15" hidden="1" customHeight="1" x14ac:dyDescent="0.25">
      <c r="A748" s="13" t="s">
        <v>64</v>
      </c>
      <c r="B748" s="40" t="s">
        <v>900</v>
      </c>
      <c r="C748" t="str">
        <f t="shared" si="16"/>
        <v>IrelandBBC1</v>
      </c>
      <c r="D748" s="1">
        <v>1308300</v>
      </c>
      <c r="E748" t="s">
        <v>142</v>
      </c>
      <c r="F748" t="s">
        <v>901</v>
      </c>
    </row>
    <row r="749" spans="1:6" ht="15" hidden="1" customHeight="1" x14ac:dyDescent="0.25">
      <c r="A749" s="13" t="s">
        <v>64</v>
      </c>
      <c r="B749" s="54" t="s">
        <v>902</v>
      </c>
      <c r="C749" t="str">
        <f t="shared" si="16"/>
        <v>IrelandBBC2</v>
      </c>
      <c r="D749" s="1">
        <v>1287750</v>
      </c>
      <c r="E749" t="s">
        <v>142</v>
      </c>
      <c r="F749" t="s">
        <v>903</v>
      </c>
    </row>
    <row r="750" spans="1:6" ht="15" hidden="1" customHeight="1" x14ac:dyDescent="0.25">
      <c r="A750" s="13" t="s">
        <v>64</v>
      </c>
      <c r="B750" t="s">
        <v>904</v>
      </c>
      <c r="C750" t="str">
        <f t="shared" si="16"/>
        <v>IrelandChannel 4</v>
      </c>
      <c r="D750">
        <v>1155000</v>
      </c>
      <c r="E750" t="s">
        <v>149</v>
      </c>
    </row>
    <row r="751" spans="1:6" ht="15" hidden="1" customHeight="1" x14ac:dyDescent="0.25">
      <c r="A751" s="13" t="s">
        <v>64</v>
      </c>
      <c r="B751" t="s">
        <v>905</v>
      </c>
      <c r="C751" t="str">
        <f t="shared" si="16"/>
        <v>IrelandChannel 4 + 1 Ireland</v>
      </c>
      <c r="D751" s="51">
        <v>1155000</v>
      </c>
      <c r="E751" t="s">
        <v>149</v>
      </c>
      <c r="F751" t="s">
        <v>906</v>
      </c>
    </row>
    <row r="752" spans="1:6" ht="15" hidden="1" customHeight="1" x14ac:dyDescent="0.25">
      <c r="A752" s="13" t="s">
        <v>64</v>
      </c>
      <c r="B752" t="s">
        <v>907</v>
      </c>
      <c r="C752" t="str">
        <f t="shared" si="16"/>
        <v>IrelandChannel 4 Ireland</v>
      </c>
      <c r="D752" s="51">
        <v>1155000</v>
      </c>
      <c r="E752" t="s">
        <v>149</v>
      </c>
      <c r="F752" t="s">
        <v>906</v>
      </c>
    </row>
    <row r="753" spans="1:6" ht="15" hidden="1" customHeight="1" x14ac:dyDescent="0.25">
      <c r="A753" s="13" t="s">
        <v>64</v>
      </c>
      <c r="B753" t="s">
        <v>908</v>
      </c>
      <c r="C753" t="str">
        <f t="shared" si="16"/>
        <v>IrelandChannel 4+1</v>
      </c>
      <c r="D753">
        <v>1155000</v>
      </c>
      <c r="E753" t="s">
        <v>149</v>
      </c>
    </row>
    <row r="754" spans="1:6" ht="15" hidden="1" customHeight="1" x14ac:dyDescent="0.25">
      <c r="A754" s="13" t="s">
        <v>64</v>
      </c>
      <c r="B754" t="s">
        <v>909</v>
      </c>
      <c r="C754" t="str">
        <f t="shared" si="16"/>
        <v>IrelandEIR Sport 1</v>
      </c>
      <c r="D754" s="1">
        <v>498645</v>
      </c>
      <c r="E754" t="s">
        <v>149</v>
      </c>
      <c r="F754" t="s">
        <v>910</v>
      </c>
    </row>
    <row r="755" spans="1:6" ht="15" hidden="1" customHeight="1" x14ac:dyDescent="0.25">
      <c r="A755" s="205" t="s">
        <v>64</v>
      </c>
      <c r="B755" s="11" t="s">
        <v>268</v>
      </c>
      <c r="C755" s="11" t="str">
        <f t="shared" si="16"/>
        <v>IrelandEurosport 1</v>
      </c>
      <c r="D755" s="1">
        <v>832000</v>
      </c>
      <c r="E755" t="s">
        <v>149</v>
      </c>
      <c r="F755" s="11"/>
    </row>
    <row r="756" spans="1:6" ht="15" hidden="1" customHeight="1" x14ac:dyDescent="0.25">
      <c r="A756" s="203" t="s">
        <v>64</v>
      </c>
      <c r="B756" s="147" t="s">
        <v>269</v>
      </c>
      <c r="C756" s="11" t="str">
        <f t="shared" si="16"/>
        <v>IrelandEurosport 2</v>
      </c>
      <c r="D756" s="22">
        <v>828000</v>
      </c>
      <c r="E756" t="s">
        <v>149</v>
      </c>
      <c r="F756" s="11"/>
    </row>
    <row r="757" spans="1:6" ht="15" hidden="1" customHeight="1" x14ac:dyDescent="0.25">
      <c r="A757" s="13" t="s">
        <v>64</v>
      </c>
      <c r="B757" t="s">
        <v>245</v>
      </c>
      <c r="C757" t="str">
        <f t="shared" si="16"/>
        <v>IrelandHorse and Country</v>
      </c>
      <c r="D757" s="51">
        <v>1155000</v>
      </c>
      <c r="E757" s="51" t="s">
        <v>149</v>
      </c>
      <c r="F757" t="s">
        <v>906</v>
      </c>
    </row>
    <row r="758" spans="1:6" ht="15" hidden="1" customHeight="1" x14ac:dyDescent="0.25">
      <c r="A758" s="13" t="s">
        <v>64</v>
      </c>
      <c r="B758" t="s">
        <v>911</v>
      </c>
      <c r="C758" t="str">
        <f t="shared" si="16"/>
        <v>IrelandPick</v>
      </c>
      <c r="D758" s="1">
        <v>638280</v>
      </c>
      <c r="E758" t="s">
        <v>142</v>
      </c>
    </row>
    <row r="759" spans="1:6" ht="15" hidden="1" customHeight="1" x14ac:dyDescent="0.25">
      <c r="A759" s="13" t="s">
        <v>64</v>
      </c>
      <c r="B759" t="s">
        <v>912</v>
      </c>
      <c r="C759" t="str">
        <f t="shared" si="16"/>
        <v>IrelandRTE 1</v>
      </c>
      <c r="D759" s="1">
        <v>1526630</v>
      </c>
      <c r="E759" t="s">
        <v>142</v>
      </c>
      <c r="F759" t="s">
        <v>913</v>
      </c>
    </row>
    <row r="760" spans="1:6" ht="15" hidden="1" customHeight="1" x14ac:dyDescent="0.25">
      <c r="A760" s="13" t="s">
        <v>64</v>
      </c>
      <c r="B760" t="s">
        <v>914</v>
      </c>
      <c r="C760" t="str">
        <f t="shared" si="16"/>
        <v>IrelandRTE 2</v>
      </c>
      <c r="D760" s="1">
        <v>1581426</v>
      </c>
      <c r="E760" t="s">
        <v>142</v>
      </c>
      <c r="F760" t="s">
        <v>915</v>
      </c>
    </row>
    <row r="761" spans="1:6" ht="15" hidden="1" customHeight="1" x14ac:dyDescent="0.25">
      <c r="A761" s="13" t="s">
        <v>64</v>
      </c>
      <c r="B761" t="s">
        <v>916</v>
      </c>
      <c r="C761" t="str">
        <f t="shared" si="16"/>
        <v>IrelandRTE NEWS NOW</v>
      </c>
      <c r="D761" s="1">
        <v>1526630</v>
      </c>
      <c r="E761" t="s">
        <v>142</v>
      </c>
    </row>
    <row r="762" spans="1:6" ht="15" hidden="1" customHeight="1" x14ac:dyDescent="0.25">
      <c r="A762" s="13" t="s">
        <v>64</v>
      </c>
      <c r="B762" t="s">
        <v>917</v>
      </c>
      <c r="C762" t="str">
        <f t="shared" si="16"/>
        <v>IrelandRTE One</v>
      </c>
      <c r="D762" s="1">
        <v>1615493</v>
      </c>
      <c r="E762" t="s">
        <v>142</v>
      </c>
      <c r="F762" t="s">
        <v>918</v>
      </c>
    </row>
    <row r="763" spans="1:6" ht="15" hidden="1" customHeight="1" x14ac:dyDescent="0.25">
      <c r="A763" s="13" t="s">
        <v>64</v>
      </c>
      <c r="B763" t="s">
        <v>919</v>
      </c>
      <c r="C763" t="str">
        <f t="shared" si="16"/>
        <v>IrelandSETANTA</v>
      </c>
      <c r="D763" s="1">
        <v>498645</v>
      </c>
      <c r="E763" t="s">
        <v>149</v>
      </c>
      <c r="F763" t="s">
        <v>920</v>
      </c>
    </row>
    <row r="764" spans="1:6" ht="15" hidden="1" customHeight="1" x14ac:dyDescent="0.25">
      <c r="A764" s="13" t="s">
        <v>64</v>
      </c>
      <c r="B764" t="s">
        <v>921</v>
      </c>
      <c r="C764" t="str">
        <f t="shared" si="16"/>
        <v>IrelandSky 1</v>
      </c>
      <c r="D764" s="1">
        <v>728000</v>
      </c>
      <c r="E764" t="s">
        <v>149</v>
      </c>
    </row>
    <row r="765" spans="1:6" ht="15" hidden="1" customHeight="1" x14ac:dyDescent="0.25">
      <c r="A765" s="13" t="s">
        <v>64</v>
      </c>
      <c r="B765" t="s">
        <v>922</v>
      </c>
      <c r="C765" t="str">
        <f t="shared" si="16"/>
        <v>IrelandSky 2</v>
      </c>
      <c r="D765" s="1">
        <v>728000</v>
      </c>
      <c r="E765" t="s">
        <v>149</v>
      </c>
    </row>
    <row r="766" spans="1:6" ht="15" hidden="1" customHeight="1" x14ac:dyDescent="0.25">
      <c r="A766" s="13" t="s">
        <v>64</v>
      </c>
      <c r="B766" t="s">
        <v>923</v>
      </c>
      <c r="C766" t="str">
        <f t="shared" si="16"/>
        <v>IrelandSky Sports 1</v>
      </c>
      <c r="D766" s="1">
        <v>728000</v>
      </c>
      <c r="E766" t="s">
        <v>149</v>
      </c>
    </row>
    <row r="767" spans="1:6" ht="15" hidden="1" customHeight="1" x14ac:dyDescent="0.25">
      <c r="A767" s="13" t="s">
        <v>64</v>
      </c>
      <c r="B767" t="s">
        <v>924</v>
      </c>
      <c r="C767" t="str">
        <f t="shared" si="16"/>
        <v>IrelandSky Sports 2</v>
      </c>
      <c r="D767" s="1">
        <v>728000</v>
      </c>
      <c r="E767" t="s">
        <v>149</v>
      </c>
    </row>
    <row r="768" spans="1:6" ht="15" hidden="1" customHeight="1" x14ac:dyDescent="0.25">
      <c r="A768" s="13" t="s">
        <v>64</v>
      </c>
      <c r="B768" t="s">
        <v>925</v>
      </c>
      <c r="C768" t="str">
        <f t="shared" si="16"/>
        <v>IrelandSky Sports 3</v>
      </c>
      <c r="D768" s="1">
        <v>728000</v>
      </c>
      <c r="E768" s="19" t="s">
        <v>149</v>
      </c>
    </row>
    <row r="769" spans="1:6" ht="15" hidden="1" customHeight="1" x14ac:dyDescent="0.25">
      <c r="A769" s="13" t="s">
        <v>64</v>
      </c>
      <c r="B769" t="s">
        <v>926</v>
      </c>
      <c r="C769" t="str">
        <f t="shared" si="16"/>
        <v>IrelandSky Sports 4</v>
      </c>
      <c r="D769" s="1">
        <v>728000</v>
      </c>
      <c r="E769" t="s">
        <v>149</v>
      </c>
    </row>
    <row r="770" spans="1:6" ht="15" hidden="1" customHeight="1" x14ac:dyDescent="0.25">
      <c r="A770" s="13" t="s">
        <v>64</v>
      </c>
      <c r="B770" t="s">
        <v>927</v>
      </c>
      <c r="C770" t="str">
        <f t="shared" si="16"/>
        <v>IrelandSky Sports 5</v>
      </c>
      <c r="D770" s="1">
        <v>728000</v>
      </c>
      <c r="E770" t="s">
        <v>149</v>
      </c>
    </row>
    <row r="771" spans="1:6" ht="15" hidden="1" customHeight="1" x14ac:dyDescent="0.25">
      <c r="A771" t="s">
        <v>64</v>
      </c>
      <c r="B771" t="s">
        <v>928</v>
      </c>
      <c r="C771" t="str">
        <f t="shared" si="16"/>
        <v>IrelandSky Sports Arena</v>
      </c>
      <c r="D771" s="1">
        <v>728000</v>
      </c>
      <c r="E771" t="s">
        <v>149</v>
      </c>
    </row>
    <row r="772" spans="1:6" ht="15" hidden="1" customHeight="1" x14ac:dyDescent="0.25">
      <c r="A772" s="13" t="s">
        <v>64</v>
      </c>
      <c r="B772" t="s">
        <v>929</v>
      </c>
      <c r="C772" t="str">
        <f t="shared" si="16"/>
        <v>IrelandSky Sports F1</v>
      </c>
      <c r="D772" s="1">
        <v>728000</v>
      </c>
      <c r="E772" t="s">
        <v>149</v>
      </c>
    </row>
    <row r="773" spans="1:6" ht="15" hidden="1" customHeight="1" x14ac:dyDescent="0.25">
      <c r="A773" s="13" t="s">
        <v>64</v>
      </c>
      <c r="B773" t="s">
        <v>930</v>
      </c>
      <c r="C773" t="str">
        <f t="shared" si="16"/>
        <v>IrelandSky Sports Golf</v>
      </c>
      <c r="D773" s="1">
        <v>728000</v>
      </c>
      <c r="E773" t="s">
        <v>149</v>
      </c>
    </row>
    <row r="774" spans="1:6" ht="15" hidden="1" customHeight="1" x14ac:dyDescent="0.25">
      <c r="A774" t="s">
        <v>64</v>
      </c>
      <c r="B774" t="s">
        <v>931</v>
      </c>
      <c r="C774" t="str">
        <f t="shared" si="16"/>
        <v>IrelandSky Sports Main Event</v>
      </c>
      <c r="D774" s="1">
        <v>728000</v>
      </c>
      <c r="E774" t="s">
        <v>149</v>
      </c>
    </row>
    <row r="775" spans="1:6" ht="15" hidden="1" customHeight="1" x14ac:dyDescent="0.25">
      <c r="A775" s="13" t="s">
        <v>64</v>
      </c>
      <c r="B775" t="s">
        <v>932</v>
      </c>
      <c r="C775" t="str">
        <f t="shared" si="16"/>
        <v>IrelandSky Sports Mix</v>
      </c>
      <c r="D775" s="1">
        <v>728000</v>
      </c>
      <c r="E775" t="s">
        <v>149</v>
      </c>
    </row>
    <row r="776" spans="1:6" ht="15" hidden="1" customHeight="1" x14ac:dyDescent="0.25">
      <c r="A776" s="13" t="s">
        <v>64</v>
      </c>
      <c r="B776" t="s">
        <v>933</v>
      </c>
      <c r="C776" t="str">
        <f t="shared" si="16"/>
        <v>IrelandSKY1</v>
      </c>
      <c r="D776" s="1">
        <v>728000</v>
      </c>
      <c r="E776" t="s">
        <v>149</v>
      </c>
    </row>
    <row r="777" spans="1:6" ht="15" hidden="1" customHeight="1" x14ac:dyDescent="0.25">
      <c r="A777" s="13" t="s">
        <v>64</v>
      </c>
      <c r="B777" t="s">
        <v>934</v>
      </c>
      <c r="C777" t="str">
        <f t="shared" si="16"/>
        <v>IrelandTG4</v>
      </c>
      <c r="D777" s="1">
        <v>1456360</v>
      </c>
      <c r="E777" t="s">
        <v>142</v>
      </c>
      <c r="F777" t="s">
        <v>341</v>
      </c>
    </row>
    <row r="778" spans="1:6" ht="15" hidden="1" customHeight="1" x14ac:dyDescent="0.25">
      <c r="A778" s="13" t="s">
        <v>65</v>
      </c>
      <c r="B778" t="s">
        <v>935</v>
      </c>
      <c r="C778" t="str">
        <f t="shared" si="16"/>
        <v>Israel5 Gold</v>
      </c>
      <c r="D778" s="1">
        <v>1446000</v>
      </c>
      <c r="E778" t="s">
        <v>149</v>
      </c>
      <c r="F778" t="s">
        <v>936</v>
      </c>
    </row>
    <row r="779" spans="1:6" ht="15" hidden="1" customHeight="1" x14ac:dyDescent="0.25">
      <c r="A779" s="13" t="s">
        <v>65</v>
      </c>
      <c r="B779" t="s">
        <v>937</v>
      </c>
      <c r="C779" t="str">
        <f t="shared" si="16"/>
        <v>Israel5 Live</v>
      </c>
      <c r="D779" s="1">
        <v>1446000</v>
      </c>
      <c r="E779" t="s">
        <v>149</v>
      </c>
      <c r="F779" t="s">
        <v>936</v>
      </c>
    </row>
    <row r="780" spans="1:6" ht="15" hidden="1" customHeight="1" x14ac:dyDescent="0.25">
      <c r="A780" s="13" t="s">
        <v>65</v>
      </c>
      <c r="B780" t="s">
        <v>938</v>
      </c>
      <c r="C780" t="str">
        <f t="shared" si="16"/>
        <v>Israel5 Live HD</v>
      </c>
      <c r="D780" s="1">
        <v>1446000</v>
      </c>
      <c r="E780" t="s">
        <v>149</v>
      </c>
      <c r="F780" t="s">
        <v>936</v>
      </c>
    </row>
    <row r="781" spans="1:6" ht="15" hidden="1" customHeight="1" x14ac:dyDescent="0.25">
      <c r="A781" s="13" t="s">
        <v>65</v>
      </c>
      <c r="B781" t="s">
        <v>939</v>
      </c>
      <c r="C781" t="str">
        <f t="shared" si="16"/>
        <v>Israel5 Plus</v>
      </c>
      <c r="D781" s="1">
        <v>1446000</v>
      </c>
      <c r="E781" t="s">
        <v>149</v>
      </c>
      <c r="F781" t="s">
        <v>936</v>
      </c>
    </row>
    <row r="782" spans="1:6" ht="15" hidden="1" customHeight="1" x14ac:dyDescent="0.25">
      <c r="A782" s="202" t="s">
        <v>65</v>
      </c>
      <c r="B782" s="175" t="s">
        <v>940</v>
      </c>
      <c r="C782" s="175" t="str">
        <f t="shared" si="16"/>
        <v>Israel5 Sport 4k</v>
      </c>
      <c r="D782" s="176">
        <v>1446000</v>
      </c>
      <c r="E782" s="175" t="s">
        <v>149</v>
      </c>
      <c r="F782" s="175"/>
    </row>
    <row r="783" spans="1:6" ht="15" hidden="1" customHeight="1" x14ac:dyDescent="0.25">
      <c r="A783" s="13" t="s">
        <v>65</v>
      </c>
      <c r="B783" t="s">
        <v>343</v>
      </c>
      <c r="C783" t="str">
        <f t="shared" si="16"/>
        <v>IsraelMa Chaine Sport</v>
      </c>
      <c r="D783" s="1">
        <v>814000</v>
      </c>
      <c r="E783" t="s">
        <v>149</v>
      </c>
      <c r="F783" t="s">
        <v>941</v>
      </c>
    </row>
    <row r="784" spans="1:6" ht="15" hidden="1" customHeight="1" x14ac:dyDescent="0.25">
      <c r="A784" s="13" t="s">
        <v>65</v>
      </c>
      <c r="B784" t="s">
        <v>344</v>
      </c>
      <c r="C784" t="str">
        <f t="shared" si="16"/>
        <v>IsraelMa Chaine Sport Tennis</v>
      </c>
      <c r="D784" s="1">
        <v>814000</v>
      </c>
      <c r="E784" t="s">
        <v>149</v>
      </c>
      <c r="F784" t="s">
        <v>941</v>
      </c>
    </row>
    <row r="785" spans="1:6" ht="15" hidden="1" customHeight="1" x14ac:dyDescent="0.25">
      <c r="A785" s="33" t="s">
        <v>65</v>
      </c>
      <c r="B785" s="34" t="s">
        <v>304</v>
      </c>
      <c r="C785" t="str">
        <f t="shared" si="16"/>
        <v>IsraelSport 1</v>
      </c>
      <c r="D785" s="1">
        <v>1446000</v>
      </c>
      <c r="E785" t="s">
        <v>149</v>
      </c>
      <c r="F785" t="s">
        <v>936</v>
      </c>
    </row>
    <row r="786" spans="1:6" ht="15" hidden="1" customHeight="1" x14ac:dyDescent="0.25">
      <c r="A786" t="s">
        <v>65</v>
      </c>
      <c r="B786" t="s">
        <v>942</v>
      </c>
      <c r="C786" t="str">
        <f t="shared" si="16"/>
        <v>IsraelSport 1 HD</v>
      </c>
      <c r="D786" s="1">
        <v>1446000</v>
      </c>
      <c r="E786" t="s">
        <v>149</v>
      </c>
      <c r="F786" t="s">
        <v>936</v>
      </c>
    </row>
    <row r="787" spans="1:6" ht="15" hidden="1" customHeight="1" x14ac:dyDescent="0.25">
      <c r="A787" t="s">
        <v>65</v>
      </c>
      <c r="B787" t="s">
        <v>626</v>
      </c>
      <c r="C787" t="str">
        <f t="shared" si="16"/>
        <v>IsraelSport 2</v>
      </c>
      <c r="D787" s="1">
        <v>1446000</v>
      </c>
      <c r="E787" t="s">
        <v>149</v>
      </c>
      <c r="F787" t="s">
        <v>936</v>
      </c>
    </row>
    <row r="788" spans="1:6" ht="15" hidden="1" customHeight="1" x14ac:dyDescent="0.25">
      <c r="A788" t="s">
        <v>65</v>
      </c>
      <c r="B788" t="s">
        <v>943</v>
      </c>
      <c r="C788" t="str">
        <f t="shared" si="16"/>
        <v>IsraelSport 3</v>
      </c>
      <c r="D788" s="1">
        <v>1446000</v>
      </c>
      <c r="E788" t="s">
        <v>149</v>
      </c>
      <c r="F788" t="s">
        <v>936</v>
      </c>
    </row>
    <row r="789" spans="1:6" ht="15" hidden="1" customHeight="1" x14ac:dyDescent="0.25">
      <c r="A789" t="s">
        <v>65</v>
      </c>
      <c r="B789" t="s">
        <v>944</v>
      </c>
      <c r="C789" t="str">
        <f t="shared" si="16"/>
        <v>IsraelSport 4</v>
      </c>
      <c r="D789" s="1">
        <v>1446000</v>
      </c>
      <c r="E789" t="s">
        <v>149</v>
      </c>
      <c r="F789" t="s">
        <v>936</v>
      </c>
    </row>
    <row r="790" spans="1:6" ht="15" hidden="1" customHeight="1" x14ac:dyDescent="0.25">
      <c r="A790" s="13" t="s">
        <v>65</v>
      </c>
      <c r="B790" t="s">
        <v>945</v>
      </c>
      <c r="C790" t="str">
        <f t="shared" si="16"/>
        <v>IsraelSport 5</v>
      </c>
      <c r="D790" s="1">
        <v>1446000</v>
      </c>
      <c r="E790" t="s">
        <v>149</v>
      </c>
      <c r="F790" t="s">
        <v>936</v>
      </c>
    </row>
    <row r="791" spans="1:6" ht="15" hidden="1" customHeight="1" x14ac:dyDescent="0.25">
      <c r="A791" t="s">
        <v>65</v>
      </c>
      <c r="B791" t="s">
        <v>946</v>
      </c>
      <c r="C791" t="str">
        <f t="shared" si="16"/>
        <v>IsraelSport 5 + Live</v>
      </c>
      <c r="D791" s="1">
        <v>1446000</v>
      </c>
      <c r="E791" t="s">
        <v>149</v>
      </c>
      <c r="F791" t="s">
        <v>936</v>
      </c>
    </row>
    <row r="792" spans="1:6" ht="15" hidden="1" customHeight="1" x14ac:dyDescent="0.25">
      <c r="A792" s="13" t="s">
        <v>65</v>
      </c>
      <c r="B792" t="s">
        <v>947</v>
      </c>
      <c r="C792" t="str">
        <f t="shared" si="16"/>
        <v>IsraelSport 5 4K</v>
      </c>
      <c r="D792" s="51">
        <v>1446000</v>
      </c>
      <c r="E792" s="51" t="s">
        <v>149</v>
      </c>
    </row>
    <row r="793" spans="1:6" ht="15" hidden="1" customHeight="1" x14ac:dyDescent="0.25">
      <c r="A793" s="13" t="s">
        <v>65</v>
      </c>
      <c r="B793" s="41" t="s">
        <v>948</v>
      </c>
      <c r="C793" t="str">
        <f t="shared" si="16"/>
        <v>IsraelSport 5 Gold</v>
      </c>
      <c r="D793" s="1">
        <v>1446000</v>
      </c>
      <c r="E793" t="s">
        <v>149</v>
      </c>
      <c r="F793" t="s">
        <v>936</v>
      </c>
    </row>
    <row r="794" spans="1:6" ht="15" hidden="1" customHeight="1" x14ac:dyDescent="0.25">
      <c r="A794" s="13" t="s">
        <v>65</v>
      </c>
      <c r="B794" t="s">
        <v>949</v>
      </c>
      <c r="C794" t="str">
        <f t="shared" si="16"/>
        <v>IsraelSport 5 HD</v>
      </c>
      <c r="D794" s="1">
        <v>1446000</v>
      </c>
      <c r="E794" t="s">
        <v>149</v>
      </c>
      <c r="F794" t="s">
        <v>936</v>
      </c>
    </row>
    <row r="795" spans="1:6" ht="15" hidden="1" customHeight="1" x14ac:dyDescent="0.25">
      <c r="A795" s="13" t="s">
        <v>65</v>
      </c>
      <c r="B795" t="s">
        <v>950</v>
      </c>
      <c r="C795" t="str">
        <f t="shared" si="16"/>
        <v>IsraelSport 5 Live</v>
      </c>
      <c r="D795" s="1">
        <v>1446000</v>
      </c>
      <c r="E795" t="s">
        <v>149</v>
      </c>
      <c r="F795" t="s">
        <v>936</v>
      </c>
    </row>
    <row r="796" spans="1:6" ht="15" hidden="1" customHeight="1" x14ac:dyDescent="0.25">
      <c r="A796" s="13" t="s">
        <v>65</v>
      </c>
      <c r="B796" t="s">
        <v>951</v>
      </c>
      <c r="C796" t="str">
        <f t="shared" si="16"/>
        <v>IsraelSport 5 Plus</v>
      </c>
      <c r="D796" s="1">
        <v>1446000</v>
      </c>
      <c r="E796" t="s">
        <v>149</v>
      </c>
      <c r="F796" t="s">
        <v>936</v>
      </c>
    </row>
    <row r="797" spans="1:6" ht="15" hidden="1" customHeight="1" x14ac:dyDescent="0.25">
      <c r="A797" s="13" t="s">
        <v>66</v>
      </c>
      <c r="B797" t="s">
        <v>952</v>
      </c>
      <c r="C797" t="str">
        <f t="shared" si="16"/>
        <v>ItalyClass Horse TV</v>
      </c>
      <c r="D797" s="51">
        <v>583000</v>
      </c>
      <c r="E797" s="51" t="s">
        <v>149</v>
      </c>
      <c r="F797" t="s">
        <v>953</v>
      </c>
    </row>
    <row r="798" spans="1:6" ht="15" hidden="1" customHeight="1" x14ac:dyDescent="0.25">
      <c r="A798" s="13" t="s">
        <v>66</v>
      </c>
      <c r="B798" t="s">
        <v>221</v>
      </c>
      <c r="C798" t="str">
        <f t="shared" si="16"/>
        <v>ItalyEurosport</v>
      </c>
      <c r="E798" t="s">
        <v>149</v>
      </c>
    </row>
    <row r="799" spans="1:6" ht="15" hidden="1" customHeight="1" x14ac:dyDescent="0.25">
      <c r="A799" s="205" t="s">
        <v>66</v>
      </c>
      <c r="B799" s="11" t="s">
        <v>268</v>
      </c>
      <c r="C799" s="11" t="str">
        <f t="shared" si="16"/>
        <v>ItalyEurosport 1</v>
      </c>
      <c r="D799" s="1">
        <v>6954000</v>
      </c>
      <c r="E799" t="s">
        <v>149</v>
      </c>
      <c r="F799" s="11"/>
    </row>
    <row r="800" spans="1:6" ht="15" hidden="1" customHeight="1" x14ac:dyDescent="0.25">
      <c r="A800" s="13" t="s">
        <v>66</v>
      </c>
      <c r="B800" t="s">
        <v>269</v>
      </c>
      <c r="C800" t="str">
        <f t="shared" si="16"/>
        <v>ItalyEurosport 2</v>
      </c>
      <c r="D800" s="1">
        <v>6054000</v>
      </c>
      <c r="E800" t="s">
        <v>149</v>
      </c>
      <c r="F800" t="s">
        <v>954</v>
      </c>
    </row>
    <row r="801" spans="1:6" ht="15" hidden="1" customHeight="1" x14ac:dyDescent="0.25">
      <c r="A801" s="13" t="s">
        <v>66</v>
      </c>
      <c r="B801" t="s">
        <v>955</v>
      </c>
      <c r="C801" t="str">
        <f t="shared" si="16"/>
        <v>ItalyRai 1</v>
      </c>
      <c r="D801" s="1">
        <v>24888923</v>
      </c>
      <c r="E801" t="s">
        <v>142</v>
      </c>
      <c r="F801" t="s">
        <v>956</v>
      </c>
    </row>
    <row r="802" spans="1:6" ht="15" hidden="1" customHeight="1" x14ac:dyDescent="0.25">
      <c r="A802" s="13" t="s">
        <v>66</v>
      </c>
      <c r="B802" t="s">
        <v>957</v>
      </c>
      <c r="C802" t="str">
        <f t="shared" ref="C802:C865" si="17">CONCATENATE(A802,B802)</f>
        <v>ItalyRai 2</v>
      </c>
      <c r="D802" s="1">
        <v>24888923</v>
      </c>
      <c r="E802" t="s">
        <v>142</v>
      </c>
      <c r="F802" t="s">
        <v>956</v>
      </c>
    </row>
    <row r="803" spans="1:6" ht="15" hidden="1" customHeight="1" x14ac:dyDescent="0.25">
      <c r="A803" s="13" t="s">
        <v>66</v>
      </c>
      <c r="B803" t="s">
        <v>958</v>
      </c>
      <c r="C803" t="str">
        <f t="shared" si="17"/>
        <v>ItalyRai Sport 1</v>
      </c>
      <c r="D803" s="1">
        <v>24888923</v>
      </c>
      <c r="E803" t="s">
        <v>142</v>
      </c>
      <c r="F803" t="s">
        <v>956</v>
      </c>
    </row>
    <row r="804" spans="1:6" ht="15" hidden="1" customHeight="1" x14ac:dyDescent="0.25">
      <c r="A804" s="13" t="s">
        <v>66</v>
      </c>
      <c r="B804" t="s">
        <v>959</v>
      </c>
      <c r="C804" t="str">
        <f t="shared" si="17"/>
        <v>ItalyRai Sport 2</v>
      </c>
      <c r="D804" s="1">
        <v>24888923</v>
      </c>
      <c r="E804" t="s">
        <v>142</v>
      </c>
      <c r="F804" t="s">
        <v>956</v>
      </c>
    </row>
    <row r="805" spans="1:6" ht="15" hidden="1" customHeight="1" x14ac:dyDescent="0.25">
      <c r="A805" s="13" t="s">
        <v>66</v>
      </c>
      <c r="B805" t="s">
        <v>960</v>
      </c>
      <c r="C805" t="str">
        <f t="shared" si="17"/>
        <v>ItalySky Calcio 1</v>
      </c>
      <c r="D805" s="1">
        <v>4649000</v>
      </c>
      <c r="E805" t="s">
        <v>149</v>
      </c>
    </row>
    <row r="806" spans="1:6" ht="15" hidden="1" customHeight="1" x14ac:dyDescent="0.25">
      <c r="A806" s="13" t="s">
        <v>66</v>
      </c>
      <c r="B806" t="s">
        <v>961</v>
      </c>
      <c r="C806" t="str">
        <f t="shared" si="17"/>
        <v>ItalySky Calcio 2</v>
      </c>
      <c r="D806" s="1">
        <v>4649000</v>
      </c>
      <c r="E806" t="s">
        <v>149</v>
      </c>
    </row>
    <row r="807" spans="1:6" ht="15" hidden="1" customHeight="1" x14ac:dyDescent="0.25">
      <c r="A807" s="13" t="s">
        <v>66</v>
      </c>
      <c r="B807" t="s">
        <v>962</v>
      </c>
      <c r="C807" t="str">
        <f t="shared" si="17"/>
        <v>ItalySky Calcio 3</v>
      </c>
      <c r="D807" s="1">
        <v>4649000</v>
      </c>
      <c r="E807" t="s">
        <v>149</v>
      </c>
    </row>
    <row r="808" spans="1:6" ht="15" hidden="1" customHeight="1" x14ac:dyDescent="0.25">
      <c r="A808" t="s">
        <v>66</v>
      </c>
      <c r="B808" t="s">
        <v>963</v>
      </c>
      <c r="C808" t="str">
        <f t="shared" si="17"/>
        <v>ItalySky Calcio 7</v>
      </c>
      <c r="D808" s="1">
        <v>4649000</v>
      </c>
      <c r="E808" t="s">
        <v>149</v>
      </c>
    </row>
    <row r="809" spans="1:6" ht="15" hidden="1" customHeight="1" x14ac:dyDescent="0.25">
      <c r="A809" s="13" t="s">
        <v>66</v>
      </c>
      <c r="B809" t="s">
        <v>964</v>
      </c>
      <c r="C809" t="str">
        <f t="shared" si="17"/>
        <v>ItalySky Calcio 8</v>
      </c>
      <c r="D809" s="1">
        <v>4649000</v>
      </c>
      <c r="E809" t="s">
        <v>149</v>
      </c>
    </row>
    <row r="810" spans="1:6" ht="15" hidden="1" customHeight="1" x14ac:dyDescent="0.25">
      <c r="A810" s="13" t="s">
        <v>66</v>
      </c>
      <c r="B810" t="s">
        <v>283</v>
      </c>
      <c r="C810" t="str">
        <f t="shared" si="17"/>
        <v>ItalySky Sport 1</v>
      </c>
      <c r="D810" s="1">
        <v>4649000</v>
      </c>
      <c r="E810" t="s">
        <v>149</v>
      </c>
    </row>
    <row r="811" spans="1:6" ht="15" hidden="1" customHeight="1" x14ac:dyDescent="0.25">
      <c r="A811" s="13" t="s">
        <v>66</v>
      </c>
      <c r="B811" t="s">
        <v>287</v>
      </c>
      <c r="C811" t="str">
        <f t="shared" si="17"/>
        <v>ItalySky Sport 2</v>
      </c>
      <c r="D811" s="1">
        <v>4649000</v>
      </c>
      <c r="E811" t="s">
        <v>149</v>
      </c>
    </row>
    <row r="812" spans="1:6" ht="15" hidden="1" customHeight="1" x14ac:dyDescent="0.25">
      <c r="A812" s="13" t="s">
        <v>66</v>
      </c>
      <c r="B812" t="s">
        <v>965</v>
      </c>
      <c r="C812" t="str">
        <f t="shared" si="17"/>
        <v>ItalySky Sport 24</v>
      </c>
      <c r="D812" s="1">
        <v>4649000</v>
      </c>
      <c r="E812" t="s">
        <v>149</v>
      </c>
    </row>
    <row r="813" spans="1:6" ht="15" hidden="1" customHeight="1" x14ac:dyDescent="0.25">
      <c r="A813" s="13" t="s">
        <v>66</v>
      </c>
      <c r="B813" t="s">
        <v>966</v>
      </c>
      <c r="C813" t="str">
        <f t="shared" si="17"/>
        <v>ItalySky Sport 252</v>
      </c>
      <c r="D813" s="1">
        <v>4649000</v>
      </c>
      <c r="E813" t="s">
        <v>149</v>
      </c>
    </row>
    <row r="814" spans="1:6" ht="15" hidden="1" customHeight="1" x14ac:dyDescent="0.25">
      <c r="A814" s="13" t="s">
        <v>66</v>
      </c>
      <c r="B814" t="s">
        <v>288</v>
      </c>
      <c r="C814" t="str">
        <f t="shared" si="17"/>
        <v>ItalySky Sport 3</v>
      </c>
      <c r="D814" s="1">
        <v>4649000</v>
      </c>
      <c r="E814" t="s">
        <v>149</v>
      </c>
    </row>
    <row r="815" spans="1:6" ht="15" hidden="1" customHeight="1" x14ac:dyDescent="0.25">
      <c r="A815" t="s">
        <v>66</v>
      </c>
      <c r="B815" t="s">
        <v>967</v>
      </c>
      <c r="C815" t="str">
        <f t="shared" si="17"/>
        <v>ItalySky Sport Arena</v>
      </c>
      <c r="D815" s="1">
        <v>4649000</v>
      </c>
      <c r="E815" t="s">
        <v>149</v>
      </c>
    </row>
    <row r="816" spans="1:6" ht="15" hidden="1" customHeight="1" x14ac:dyDescent="0.25">
      <c r="A816" s="13" t="s">
        <v>66</v>
      </c>
      <c r="B816" t="s">
        <v>968</v>
      </c>
      <c r="C816" t="str">
        <f t="shared" si="17"/>
        <v>ItalySky Sport F1</v>
      </c>
      <c r="D816" s="1">
        <v>4649000</v>
      </c>
      <c r="E816" t="s">
        <v>149</v>
      </c>
    </row>
    <row r="817" spans="1:6" ht="15" hidden="1" customHeight="1" x14ac:dyDescent="0.25">
      <c r="A817" s="13" t="s">
        <v>66</v>
      </c>
      <c r="B817" t="s">
        <v>969</v>
      </c>
      <c r="C817" t="str">
        <f t="shared" si="17"/>
        <v>ItalySky Sport Golf</v>
      </c>
      <c r="D817" s="1">
        <v>4649000</v>
      </c>
      <c r="E817" t="s">
        <v>149</v>
      </c>
    </row>
    <row r="818" spans="1:6" ht="15" hidden="1" customHeight="1" x14ac:dyDescent="0.25">
      <c r="A818" s="13" t="s">
        <v>66</v>
      </c>
      <c r="B818" t="s">
        <v>970</v>
      </c>
      <c r="C818" t="str">
        <f t="shared" si="17"/>
        <v>ItalySky Sport Mix</v>
      </c>
      <c r="D818" s="1">
        <v>4649000</v>
      </c>
      <c r="E818" t="s">
        <v>149</v>
      </c>
    </row>
    <row r="819" spans="1:6" ht="15" hidden="1" customHeight="1" x14ac:dyDescent="0.25">
      <c r="A819" s="13" t="s">
        <v>66</v>
      </c>
      <c r="B819" t="s">
        <v>971</v>
      </c>
      <c r="C819" t="str">
        <f t="shared" si="17"/>
        <v>ItalySky Sport Plus</v>
      </c>
      <c r="D819" s="1">
        <v>4649000</v>
      </c>
      <c r="E819" t="s">
        <v>149</v>
      </c>
    </row>
    <row r="820" spans="1:6" ht="15" hidden="1" customHeight="1" x14ac:dyDescent="0.25">
      <c r="A820" s="13" t="s">
        <v>66</v>
      </c>
      <c r="B820" t="s">
        <v>972</v>
      </c>
      <c r="C820" t="str">
        <f t="shared" si="17"/>
        <v>ItalySky Sport Uno</v>
      </c>
      <c r="D820" s="1">
        <v>4649000</v>
      </c>
      <c r="E820" t="s">
        <v>149</v>
      </c>
    </row>
    <row r="821" spans="1:6" ht="15" hidden="1" customHeight="1" x14ac:dyDescent="0.25">
      <c r="A821" t="s">
        <v>66</v>
      </c>
      <c r="B821" t="s">
        <v>932</v>
      </c>
      <c r="C821" t="str">
        <f t="shared" si="17"/>
        <v>ItalySky Sports Mix</v>
      </c>
      <c r="D821" s="1">
        <v>4649000</v>
      </c>
      <c r="E821" t="s">
        <v>149</v>
      </c>
    </row>
    <row r="822" spans="1:6" ht="15" hidden="1" customHeight="1" x14ac:dyDescent="0.25">
      <c r="A822" s="13" t="s">
        <v>66</v>
      </c>
      <c r="B822" t="s">
        <v>973</v>
      </c>
      <c r="C822" t="str">
        <f t="shared" si="17"/>
        <v>ItalySky Wimbledon 1</v>
      </c>
      <c r="D822" s="1">
        <v>4649000</v>
      </c>
      <c r="E822" t="s">
        <v>149</v>
      </c>
    </row>
    <row r="823" spans="1:6" ht="15" hidden="1" customHeight="1" x14ac:dyDescent="0.25">
      <c r="A823" s="13" t="s">
        <v>66</v>
      </c>
      <c r="B823" t="s">
        <v>974</v>
      </c>
      <c r="C823" t="str">
        <f t="shared" si="17"/>
        <v>ItalySky Wimbledon 2</v>
      </c>
      <c r="D823" s="1">
        <v>4649000</v>
      </c>
      <c r="E823" t="s">
        <v>149</v>
      </c>
    </row>
    <row r="824" spans="1:6" ht="15" hidden="1" customHeight="1" x14ac:dyDescent="0.25">
      <c r="A824" s="13" t="s">
        <v>66</v>
      </c>
      <c r="B824" t="s">
        <v>975</v>
      </c>
      <c r="C824" t="str">
        <f t="shared" si="17"/>
        <v>ItalySky Wimbledon 3</v>
      </c>
      <c r="D824" s="1">
        <v>4649000</v>
      </c>
      <c r="E824" t="s">
        <v>149</v>
      </c>
    </row>
    <row r="825" spans="1:6" ht="15" hidden="1" customHeight="1" x14ac:dyDescent="0.25">
      <c r="A825" s="13" t="s">
        <v>66</v>
      </c>
      <c r="B825" t="s">
        <v>976</v>
      </c>
      <c r="C825" t="str">
        <f t="shared" si="17"/>
        <v>ItalySky Wimbledon 4</v>
      </c>
      <c r="D825" s="1">
        <v>4649000</v>
      </c>
      <c r="E825" t="s">
        <v>149</v>
      </c>
    </row>
    <row r="826" spans="1:6" ht="15" hidden="1" customHeight="1" x14ac:dyDescent="0.25">
      <c r="A826" s="13" t="s">
        <v>66</v>
      </c>
      <c r="B826" t="s">
        <v>977</v>
      </c>
      <c r="C826" t="str">
        <f t="shared" si="17"/>
        <v>ItalySky Wimbledon 5</v>
      </c>
      <c r="D826" s="1">
        <v>4649000</v>
      </c>
      <c r="E826" t="s">
        <v>149</v>
      </c>
    </row>
    <row r="827" spans="1:6" ht="15" hidden="1" customHeight="1" x14ac:dyDescent="0.25">
      <c r="A827" s="13" t="s">
        <v>66</v>
      </c>
      <c r="B827" t="s">
        <v>978</v>
      </c>
      <c r="C827" t="str">
        <f t="shared" si="17"/>
        <v>ItalySky Wimbledon 6</v>
      </c>
      <c r="D827" s="1">
        <v>4649000</v>
      </c>
      <c r="E827" t="s">
        <v>149</v>
      </c>
    </row>
    <row r="828" spans="1:6" ht="15" hidden="1" customHeight="1" x14ac:dyDescent="0.25">
      <c r="A828" s="13" t="s">
        <v>66</v>
      </c>
      <c r="B828" t="s">
        <v>979</v>
      </c>
      <c r="C828" t="str">
        <f t="shared" si="17"/>
        <v>ItalySuper Tennis</v>
      </c>
      <c r="D828" s="1">
        <v>24888923</v>
      </c>
      <c r="E828" t="s">
        <v>142</v>
      </c>
      <c r="F828" t="s">
        <v>980</v>
      </c>
    </row>
    <row r="829" spans="1:6" ht="15" hidden="1" customHeight="1" x14ac:dyDescent="0.25">
      <c r="A829" s="202" t="s">
        <v>66</v>
      </c>
      <c r="B829" s="175" t="s">
        <v>981</v>
      </c>
      <c r="C829" s="175" t="str">
        <f t="shared" si="17"/>
        <v>ItalySupertennis</v>
      </c>
      <c r="D829" s="176">
        <v>24888923</v>
      </c>
      <c r="E829" s="175" t="s">
        <v>142</v>
      </c>
      <c r="F829" s="175"/>
    </row>
    <row r="830" spans="1:6" ht="15" hidden="1" customHeight="1" x14ac:dyDescent="0.25">
      <c r="A830" s="13" t="s">
        <v>66</v>
      </c>
      <c r="B830" t="s">
        <v>982</v>
      </c>
      <c r="C830" t="str">
        <f t="shared" si="17"/>
        <v>ItalyTV8</v>
      </c>
      <c r="D830">
        <v>20636370</v>
      </c>
      <c r="E830" t="s">
        <v>142</v>
      </c>
      <c r="F830" t="s">
        <v>983</v>
      </c>
    </row>
    <row r="831" spans="1:6" ht="15" hidden="1" customHeight="1" x14ac:dyDescent="0.25">
      <c r="A831" s="13" t="s">
        <v>984</v>
      </c>
      <c r="B831" t="s">
        <v>985</v>
      </c>
      <c r="C831" t="str">
        <f t="shared" si="17"/>
        <v>JamaicaCVM</v>
      </c>
      <c r="D831" s="1">
        <v>264400</v>
      </c>
      <c r="E831" t="s">
        <v>142</v>
      </c>
      <c r="F831" t="s">
        <v>986</v>
      </c>
    </row>
    <row r="832" spans="1:6" ht="15" hidden="1" customHeight="1" x14ac:dyDescent="0.25">
      <c r="A832" s="13" t="s">
        <v>67</v>
      </c>
      <c r="B832" t="s">
        <v>212</v>
      </c>
      <c r="C832" t="str">
        <f t="shared" si="17"/>
        <v>JapanABC</v>
      </c>
      <c r="D832" s="1">
        <v>7115000</v>
      </c>
      <c r="E832" t="s">
        <v>142</v>
      </c>
      <c r="F832" t="s">
        <v>987</v>
      </c>
    </row>
    <row r="833" spans="1:6" ht="15" hidden="1" customHeight="1" x14ac:dyDescent="0.25">
      <c r="A833" s="13" t="s">
        <v>67</v>
      </c>
      <c r="B833" t="s">
        <v>988</v>
      </c>
      <c r="C833" t="str">
        <f t="shared" si="17"/>
        <v>JapanBS Asahi</v>
      </c>
      <c r="D833" s="1">
        <v>25132000</v>
      </c>
      <c r="E833" t="s">
        <v>149</v>
      </c>
      <c r="F833" t="s">
        <v>989</v>
      </c>
    </row>
    <row r="834" spans="1:6" ht="15" hidden="1" customHeight="1" x14ac:dyDescent="0.25">
      <c r="A834" s="13" t="s">
        <v>67</v>
      </c>
      <c r="B834" t="s">
        <v>990</v>
      </c>
      <c r="C834" t="str">
        <f t="shared" si="17"/>
        <v>JapanCS Asahi</v>
      </c>
      <c r="D834" s="1">
        <v>25132000</v>
      </c>
      <c r="E834" t="s">
        <v>149</v>
      </c>
    </row>
    <row r="835" spans="1:6" ht="15" hidden="1" customHeight="1" x14ac:dyDescent="0.25">
      <c r="A835" s="13" t="s">
        <v>67</v>
      </c>
      <c r="B835" s="41" t="s">
        <v>265</v>
      </c>
      <c r="C835" t="str">
        <f t="shared" si="17"/>
        <v>JapanDAZN</v>
      </c>
      <c r="D835" s="19">
        <v>115221</v>
      </c>
      <c r="E835" t="s">
        <v>149</v>
      </c>
      <c r="F835" t="s">
        <v>266</v>
      </c>
    </row>
    <row r="836" spans="1:6" ht="15" hidden="1" customHeight="1" x14ac:dyDescent="0.25">
      <c r="A836" s="13" t="s">
        <v>67</v>
      </c>
      <c r="B836" t="s">
        <v>991</v>
      </c>
      <c r="C836" t="str">
        <f t="shared" si="17"/>
        <v>JapanFuji Next</v>
      </c>
      <c r="D836" s="1">
        <v>11632000</v>
      </c>
      <c r="E836" t="s">
        <v>149</v>
      </c>
      <c r="F836" t="s">
        <v>992</v>
      </c>
    </row>
    <row r="837" spans="1:6" ht="15" hidden="1" customHeight="1" x14ac:dyDescent="0.25">
      <c r="A837" s="13" t="s">
        <v>67</v>
      </c>
      <c r="B837" t="s">
        <v>993</v>
      </c>
      <c r="C837" t="str">
        <f t="shared" si="17"/>
        <v>JapanFuji TV</v>
      </c>
      <c r="D837" s="1">
        <v>11632000</v>
      </c>
      <c r="E837" t="s">
        <v>149</v>
      </c>
      <c r="F837" t="s">
        <v>992</v>
      </c>
    </row>
    <row r="838" spans="1:6" ht="15" hidden="1" customHeight="1" x14ac:dyDescent="0.25">
      <c r="A838" t="s">
        <v>67</v>
      </c>
      <c r="B838" t="s">
        <v>994</v>
      </c>
      <c r="C838" t="str">
        <f t="shared" si="17"/>
        <v>JapanFuji TV Next</v>
      </c>
      <c r="D838" s="1">
        <v>11632000</v>
      </c>
      <c r="E838" t="s">
        <v>149</v>
      </c>
      <c r="F838" t="s">
        <v>992</v>
      </c>
    </row>
    <row r="839" spans="1:6" ht="15" hidden="1" customHeight="1" x14ac:dyDescent="0.25">
      <c r="A839" s="13" t="s">
        <v>67</v>
      </c>
      <c r="B839" t="s">
        <v>995</v>
      </c>
      <c r="C839" t="str">
        <f t="shared" si="17"/>
        <v>JapanGaora</v>
      </c>
      <c r="D839" s="1">
        <v>11632000</v>
      </c>
      <c r="E839" t="s">
        <v>149</v>
      </c>
    </row>
    <row r="840" spans="1:6" ht="15" hidden="1" customHeight="1" x14ac:dyDescent="0.25">
      <c r="A840" t="s">
        <v>67</v>
      </c>
      <c r="B840" t="s">
        <v>996</v>
      </c>
      <c r="C840" t="str">
        <f t="shared" si="17"/>
        <v>JapanGaora Sports Channel</v>
      </c>
      <c r="D840" s="1">
        <v>11632000</v>
      </c>
      <c r="E840" t="s">
        <v>149</v>
      </c>
    </row>
    <row r="841" spans="1:6" ht="15" hidden="1" customHeight="1" x14ac:dyDescent="0.25">
      <c r="A841" s="13" t="s">
        <v>67</v>
      </c>
      <c r="B841" t="s">
        <v>997</v>
      </c>
      <c r="C841" t="str">
        <f t="shared" si="17"/>
        <v>JapanGolf Network</v>
      </c>
      <c r="D841" s="19">
        <v>7119000</v>
      </c>
      <c r="E841" t="s">
        <v>149</v>
      </c>
      <c r="F841" t="s">
        <v>998</v>
      </c>
    </row>
    <row r="842" spans="1:6" ht="15" hidden="1" customHeight="1" x14ac:dyDescent="0.25">
      <c r="A842" s="13" t="s">
        <v>67</v>
      </c>
      <c r="B842" t="s">
        <v>999</v>
      </c>
      <c r="C842" t="str">
        <f t="shared" si="17"/>
        <v>JapanGolfNetwork</v>
      </c>
      <c r="D842" s="19">
        <v>7119000</v>
      </c>
      <c r="E842" t="s">
        <v>149</v>
      </c>
    </row>
    <row r="843" spans="1:6" ht="15" hidden="1" customHeight="1" x14ac:dyDescent="0.25">
      <c r="A843" s="13" t="s">
        <v>67</v>
      </c>
      <c r="B843" t="s">
        <v>1000</v>
      </c>
      <c r="C843" t="str">
        <f t="shared" si="17"/>
        <v>JapanJ Sports 1</v>
      </c>
      <c r="D843" s="19">
        <v>7119000</v>
      </c>
      <c r="E843" t="s">
        <v>149</v>
      </c>
      <c r="F843" t="s">
        <v>1001</v>
      </c>
    </row>
    <row r="844" spans="1:6" ht="15" hidden="1" customHeight="1" x14ac:dyDescent="0.25">
      <c r="A844" s="13" t="s">
        <v>67</v>
      </c>
      <c r="B844" t="s">
        <v>1002</v>
      </c>
      <c r="C844" t="str">
        <f t="shared" si="17"/>
        <v>JapanJ Sports 3</v>
      </c>
      <c r="D844" s="19">
        <v>7119000</v>
      </c>
      <c r="E844" t="s">
        <v>149</v>
      </c>
      <c r="F844" t="s">
        <v>1001</v>
      </c>
    </row>
    <row r="845" spans="1:6" ht="15" hidden="1" customHeight="1" x14ac:dyDescent="0.25">
      <c r="A845" s="13" t="s">
        <v>67</v>
      </c>
      <c r="B845" t="s">
        <v>1003</v>
      </c>
      <c r="C845" t="str">
        <f t="shared" si="17"/>
        <v>JapanJGN+</v>
      </c>
      <c r="D845" s="19">
        <v>7119000</v>
      </c>
      <c r="E845" t="s">
        <v>149</v>
      </c>
    </row>
    <row r="846" spans="1:6" ht="15" hidden="1" customHeight="1" x14ac:dyDescent="0.25">
      <c r="A846" s="13" t="s">
        <v>67</v>
      </c>
      <c r="B846" t="s">
        <v>1004</v>
      </c>
      <c r="C846" t="str">
        <f t="shared" si="17"/>
        <v>JapanJupiter Golf Network</v>
      </c>
      <c r="D846" s="19">
        <v>7119000</v>
      </c>
      <c r="E846" t="s">
        <v>149</v>
      </c>
    </row>
    <row r="847" spans="1:6" ht="15" hidden="1" customHeight="1" x14ac:dyDescent="0.25">
      <c r="A847" s="13" t="s">
        <v>67</v>
      </c>
      <c r="B847" t="s">
        <v>1005</v>
      </c>
      <c r="C847" t="str">
        <f t="shared" si="17"/>
        <v>JapanNBN</v>
      </c>
      <c r="D847" s="1">
        <v>3870000</v>
      </c>
      <c r="E847" t="s">
        <v>142</v>
      </c>
      <c r="F847" t="s">
        <v>1006</v>
      </c>
    </row>
    <row r="848" spans="1:6" ht="15" hidden="1" customHeight="1" x14ac:dyDescent="0.25">
      <c r="A848" t="s">
        <v>67</v>
      </c>
      <c r="B848" t="s">
        <v>1007</v>
      </c>
      <c r="C848" t="str">
        <f t="shared" si="17"/>
        <v>JapanNHK BS1</v>
      </c>
      <c r="D848" s="19">
        <v>25132000</v>
      </c>
      <c r="E848" t="s">
        <v>142</v>
      </c>
    </row>
    <row r="849" spans="1:6" ht="15" hidden="1" customHeight="1" x14ac:dyDescent="0.25">
      <c r="A849" s="13" t="s">
        <v>67</v>
      </c>
      <c r="B849" t="s">
        <v>1008</v>
      </c>
      <c r="C849" t="str">
        <f t="shared" si="17"/>
        <v>JapanNHK E</v>
      </c>
      <c r="D849" s="19">
        <v>49570000</v>
      </c>
      <c r="E849" t="s">
        <v>142</v>
      </c>
    </row>
    <row r="850" spans="1:6" ht="15" hidden="1" customHeight="1" x14ac:dyDescent="0.25">
      <c r="A850" s="13" t="s">
        <v>67</v>
      </c>
      <c r="B850" s="40" t="s">
        <v>1009</v>
      </c>
      <c r="C850" t="str">
        <f t="shared" si="17"/>
        <v>JapanNHK G</v>
      </c>
      <c r="D850" s="19">
        <v>49570000</v>
      </c>
      <c r="E850" t="s">
        <v>142</v>
      </c>
    </row>
    <row r="851" spans="1:6" ht="15" hidden="1" customHeight="1" x14ac:dyDescent="0.25">
      <c r="A851" s="13" t="s">
        <v>67</v>
      </c>
      <c r="B851" t="s">
        <v>1010</v>
      </c>
      <c r="C851" t="str">
        <f t="shared" si="17"/>
        <v>JapanNHK1</v>
      </c>
      <c r="D851" s="19">
        <v>49570000</v>
      </c>
      <c r="E851" t="s">
        <v>142</v>
      </c>
    </row>
    <row r="852" spans="1:6" ht="15" hidden="1" customHeight="1" x14ac:dyDescent="0.25">
      <c r="A852" s="13" t="s">
        <v>67</v>
      </c>
      <c r="B852" t="s">
        <v>1011</v>
      </c>
      <c r="C852" t="str">
        <f t="shared" si="17"/>
        <v>JapanNHKBS1</v>
      </c>
      <c r="D852" s="19">
        <v>25132000</v>
      </c>
      <c r="E852" t="s">
        <v>142</v>
      </c>
    </row>
    <row r="853" spans="1:6" ht="15" hidden="1" customHeight="1" x14ac:dyDescent="0.25">
      <c r="A853" s="13" t="s">
        <v>67</v>
      </c>
      <c r="B853" t="s">
        <v>1012</v>
      </c>
      <c r="C853" t="str">
        <f t="shared" si="17"/>
        <v>JapanTV Asahi</v>
      </c>
      <c r="D853" s="19">
        <v>49570000</v>
      </c>
      <c r="E853" t="s">
        <v>142</v>
      </c>
    </row>
    <row r="854" spans="1:6" ht="15" hidden="1" customHeight="1" x14ac:dyDescent="0.25">
      <c r="A854" s="13" t="s">
        <v>67</v>
      </c>
      <c r="B854" t="s">
        <v>1013</v>
      </c>
      <c r="C854" t="str">
        <f t="shared" si="17"/>
        <v>JapanTV ASAHI (EX)</v>
      </c>
      <c r="D854" s="19">
        <v>49570000</v>
      </c>
      <c r="E854" t="s">
        <v>142</v>
      </c>
      <c r="F854" s="9" t="s">
        <v>1014</v>
      </c>
    </row>
    <row r="855" spans="1:6" ht="15" hidden="1" customHeight="1" x14ac:dyDescent="0.25">
      <c r="A855" s="13" t="s">
        <v>67</v>
      </c>
      <c r="B855" s="34" t="s">
        <v>1015</v>
      </c>
      <c r="C855" t="str">
        <f t="shared" si="17"/>
        <v>JapanTV Bank Channel 1</v>
      </c>
      <c r="D855" s="117" t="s">
        <v>658</v>
      </c>
      <c r="E855" t="s">
        <v>149</v>
      </c>
    </row>
    <row r="856" spans="1:6" ht="15" hidden="1" customHeight="1" x14ac:dyDescent="0.25">
      <c r="A856" s="13" t="s">
        <v>67</v>
      </c>
      <c r="B856" s="34" t="s">
        <v>1016</v>
      </c>
      <c r="C856" t="str">
        <f t="shared" si="17"/>
        <v>JapanTV Bank Channel 2</v>
      </c>
      <c r="D856" s="117" t="s">
        <v>658</v>
      </c>
      <c r="E856" t="s">
        <v>149</v>
      </c>
    </row>
    <row r="857" spans="1:6" ht="15" hidden="1" customHeight="1" x14ac:dyDescent="0.25">
      <c r="A857" s="13" t="s">
        <v>67</v>
      </c>
      <c r="B857" s="34" t="s">
        <v>1017</v>
      </c>
      <c r="C857" t="str">
        <f t="shared" si="17"/>
        <v>JapanTV Bank Channel 3</v>
      </c>
      <c r="D857" s="117" t="s">
        <v>658</v>
      </c>
      <c r="E857" t="s">
        <v>149</v>
      </c>
    </row>
    <row r="858" spans="1:6" ht="15" hidden="1" customHeight="1" x14ac:dyDescent="0.25">
      <c r="A858" s="13" t="s">
        <v>67</v>
      </c>
      <c r="B858" s="34" t="s">
        <v>1018</v>
      </c>
      <c r="C858" t="str">
        <f t="shared" si="17"/>
        <v>JapanTV Bank Channel 4</v>
      </c>
      <c r="D858" s="117" t="s">
        <v>658</v>
      </c>
      <c r="E858" t="s">
        <v>149</v>
      </c>
    </row>
    <row r="859" spans="1:6" ht="15" hidden="1" customHeight="1" x14ac:dyDescent="0.25">
      <c r="A859" s="210" t="s">
        <v>67</v>
      </c>
      <c r="B859" s="162" t="s">
        <v>1019</v>
      </c>
      <c r="C859" s="162" t="str">
        <f t="shared" si="17"/>
        <v>JapanTV TOKYO (TX)</v>
      </c>
      <c r="D859" s="1">
        <v>18692070</v>
      </c>
      <c r="E859" t="s">
        <v>142</v>
      </c>
      <c r="F859" s="162"/>
    </row>
    <row r="860" spans="1:6" ht="15" hidden="1" customHeight="1" x14ac:dyDescent="0.25">
      <c r="A860" s="210" t="s">
        <v>67</v>
      </c>
      <c r="B860" s="162" t="s">
        <v>1020</v>
      </c>
      <c r="C860" s="162" t="str">
        <f t="shared" si="17"/>
        <v>JapanTVA</v>
      </c>
      <c r="D860" s="1">
        <v>5950265</v>
      </c>
      <c r="E860" t="s">
        <v>142</v>
      </c>
      <c r="F860" s="162"/>
    </row>
    <row r="861" spans="1:6" ht="15" hidden="1" customHeight="1" x14ac:dyDescent="0.25">
      <c r="A861" s="13" t="s">
        <v>67</v>
      </c>
      <c r="B861" t="s">
        <v>1021</v>
      </c>
      <c r="C861" t="str">
        <f t="shared" si="17"/>
        <v>JapanTVASAHI(EX)</v>
      </c>
      <c r="D861" s="19">
        <v>49570000</v>
      </c>
      <c r="E861" t="s">
        <v>142</v>
      </c>
    </row>
    <row r="862" spans="1:6" ht="15" hidden="1" customHeight="1" x14ac:dyDescent="0.25">
      <c r="A862" s="211" t="s">
        <v>67</v>
      </c>
      <c r="B862" s="166" t="s">
        <v>1022</v>
      </c>
      <c r="C862" s="162" t="str">
        <f t="shared" si="17"/>
        <v>JapanTVO</v>
      </c>
      <c r="D862" s="1">
        <v>3923255</v>
      </c>
      <c r="E862" t="s">
        <v>142</v>
      </c>
      <c r="F862" s="162"/>
    </row>
    <row r="863" spans="1:6" ht="15" hidden="1" customHeight="1" x14ac:dyDescent="0.25">
      <c r="A863" s="13" t="s">
        <v>67</v>
      </c>
      <c r="B863" t="s">
        <v>1023</v>
      </c>
      <c r="C863" t="str">
        <f t="shared" si="17"/>
        <v>JapanWOWOW</v>
      </c>
      <c r="D863" s="19">
        <v>4513000</v>
      </c>
      <c r="E863" t="s">
        <v>149</v>
      </c>
    </row>
    <row r="864" spans="1:6" ht="15" hidden="1" customHeight="1" x14ac:dyDescent="0.25">
      <c r="A864" s="13" t="s">
        <v>67</v>
      </c>
      <c r="B864" s="41" t="s">
        <v>1024</v>
      </c>
      <c r="C864" t="str">
        <f t="shared" si="17"/>
        <v>JapanWOWOW Live</v>
      </c>
      <c r="D864" s="19">
        <v>4513000</v>
      </c>
      <c r="E864" t="s">
        <v>149</v>
      </c>
      <c r="F864" t="s">
        <v>1025</v>
      </c>
    </row>
    <row r="865" spans="1:6" ht="15" hidden="1" customHeight="1" x14ac:dyDescent="0.25">
      <c r="A865" s="13" t="s">
        <v>67</v>
      </c>
      <c r="B865" s="41" t="s">
        <v>1026</v>
      </c>
      <c r="C865" t="str">
        <f t="shared" si="17"/>
        <v>JapanWOWOW Prime</v>
      </c>
      <c r="D865" s="19">
        <v>4513000</v>
      </c>
      <c r="E865" t="s">
        <v>149</v>
      </c>
      <c r="F865" t="s">
        <v>1025</v>
      </c>
    </row>
    <row r="866" spans="1:6" ht="15" hidden="1" customHeight="1" x14ac:dyDescent="0.25">
      <c r="A866" s="13" t="s">
        <v>67</v>
      </c>
      <c r="B866" s="40" t="s">
        <v>1027</v>
      </c>
      <c r="C866" t="str">
        <f t="shared" ref="C866:C929" si="18">CONCATENATE(A866,B866)</f>
        <v>JapanWowwow Live</v>
      </c>
      <c r="D866" s="19">
        <v>4513000</v>
      </c>
      <c r="E866" t="s">
        <v>149</v>
      </c>
      <c r="F866" t="s">
        <v>1025</v>
      </c>
    </row>
    <row r="867" spans="1:6" ht="15" hidden="1" customHeight="1" x14ac:dyDescent="0.25">
      <c r="A867" s="13" t="s">
        <v>67</v>
      </c>
      <c r="B867" s="40" t="s">
        <v>1028</v>
      </c>
      <c r="C867" t="str">
        <f t="shared" si="18"/>
        <v>JapanWowwow Prime</v>
      </c>
      <c r="D867" s="19">
        <v>4513000</v>
      </c>
      <c r="E867" t="s">
        <v>149</v>
      </c>
      <c r="F867" t="s">
        <v>1025</v>
      </c>
    </row>
    <row r="868" spans="1:6" ht="15" hidden="1" customHeight="1" x14ac:dyDescent="0.25">
      <c r="A868" s="13" t="s">
        <v>1029</v>
      </c>
      <c r="B868" t="s">
        <v>1030</v>
      </c>
      <c r="C868" t="str">
        <f t="shared" si="18"/>
        <v>KenyaBamba TV</v>
      </c>
      <c r="D868" s="1">
        <v>4000000</v>
      </c>
      <c r="E868" t="s">
        <v>142</v>
      </c>
      <c r="F868" t="s">
        <v>1031</v>
      </c>
    </row>
    <row r="869" spans="1:6" ht="15" hidden="1" customHeight="1" x14ac:dyDescent="0.25">
      <c r="A869" s="13" t="s">
        <v>1029</v>
      </c>
      <c r="B869" t="s">
        <v>1032</v>
      </c>
      <c r="C869" t="str">
        <f t="shared" si="18"/>
        <v>KenyaKBC</v>
      </c>
      <c r="D869" s="1">
        <v>3500000</v>
      </c>
      <c r="E869" t="s">
        <v>142</v>
      </c>
      <c r="F869" t="s">
        <v>1033</v>
      </c>
    </row>
    <row r="870" spans="1:6" ht="15" hidden="1" customHeight="1" x14ac:dyDescent="0.25">
      <c r="A870" s="13" t="s">
        <v>1034</v>
      </c>
      <c r="B870" t="s">
        <v>672</v>
      </c>
      <c r="C870" t="str">
        <f t="shared" si="18"/>
        <v>KiribatiFiji TV</v>
      </c>
      <c r="D870" s="1">
        <v>8800</v>
      </c>
      <c r="E870" t="s">
        <v>142</v>
      </c>
      <c r="F870" t="s">
        <v>986</v>
      </c>
    </row>
    <row r="871" spans="1:6" ht="15" hidden="1" customHeight="1" x14ac:dyDescent="0.25">
      <c r="A871" s="13" t="s">
        <v>70</v>
      </c>
      <c r="B871" t="s">
        <v>1035</v>
      </c>
      <c r="C871" t="str">
        <f t="shared" si="18"/>
        <v>KosovoArtMotion 1</v>
      </c>
      <c r="D871">
        <v>131000</v>
      </c>
      <c r="E871" t="s">
        <v>149</v>
      </c>
      <c r="F871" t="s">
        <v>1036</v>
      </c>
    </row>
    <row r="872" spans="1:6" ht="15" hidden="1" customHeight="1" x14ac:dyDescent="0.25">
      <c r="A872" s="13" t="s">
        <v>70</v>
      </c>
      <c r="B872" t="s">
        <v>1037</v>
      </c>
      <c r="C872" t="str">
        <f t="shared" si="18"/>
        <v>KosovoRTK</v>
      </c>
      <c r="D872" s="1">
        <v>89100</v>
      </c>
      <c r="E872" t="s">
        <v>142</v>
      </c>
      <c r="F872" t="s">
        <v>986</v>
      </c>
    </row>
    <row r="873" spans="1:6" ht="15" hidden="1" customHeight="1" x14ac:dyDescent="0.25">
      <c r="A873" s="209" t="s">
        <v>70</v>
      </c>
      <c r="B873" s="155" t="s">
        <v>147</v>
      </c>
      <c r="C873" s="155" t="str">
        <f t="shared" si="18"/>
        <v>KosovoRTSH Sport</v>
      </c>
      <c r="D873" s="156">
        <v>131000</v>
      </c>
      <c r="E873" s="155" t="s">
        <v>149</v>
      </c>
      <c r="F873" s="155"/>
    </row>
    <row r="874" spans="1:6" ht="15" hidden="1" customHeight="1" x14ac:dyDescent="0.25">
      <c r="A874" s="13" t="s">
        <v>70</v>
      </c>
      <c r="B874" t="s">
        <v>396</v>
      </c>
      <c r="C874" t="str">
        <f t="shared" si="18"/>
        <v>KosovoSport Klub 1</v>
      </c>
      <c r="D874" s="1">
        <v>131000</v>
      </c>
      <c r="E874" t="s">
        <v>149</v>
      </c>
      <c r="F874" t="s">
        <v>1036</v>
      </c>
    </row>
    <row r="875" spans="1:6" ht="15" hidden="1" customHeight="1" x14ac:dyDescent="0.25">
      <c r="A875" s="13" t="s">
        <v>70</v>
      </c>
      <c r="B875" t="s">
        <v>398</v>
      </c>
      <c r="C875" t="str">
        <f t="shared" si="18"/>
        <v>KosovoSport Klub 2</v>
      </c>
      <c r="D875" s="1">
        <v>131000</v>
      </c>
      <c r="E875" t="s">
        <v>149</v>
      </c>
      <c r="F875" t="s">
        <v>1036</v>
      </c>
    </row>
    <row r="876" spans="1:6" ht="15" hidden="1" customHeight="1" x14ac:dyDescent="0.25">
      <c r="A876" s="13" t="s">
        <v>70</v>
      </c>
      <c r="B876" t="s">
        <v>399</v>
      </c>
      <c r="C876" t="str">
        <f t="shared" si="18"/>
        <v>KosovoSport Klub 3</v>
      </c>
      <c r="D876" s="1">
        <v>131000</v>
      </c>
      <c r="E876" t="s">
        <v>149</v>
      </c>
      <c r="F876" t="s">
        <v>1036</v>
      </c>
    </row>
    <row r="877" spans="1:6" ht="15" hidden="1" customHeight="1" x14ac:dyDescent="0.25">
      <c r="A877" s="13" t="s">
        <v>70</v>
      </c>
      <c r="B877" t="s">
        <v>400</v>
      </c>
      <c r="C877" t="str">
        <f t="shared" si="18"/>
        <v>KosovoSport Klub 4</v>
      </c>
      <c r="D877" s="1">
        <v>131000</v>
      </c>
      <c r="E877" t="s">
        <v>149</v>
      </c>
      <c r="F877" t="s">
        <v>1036</v>
      </c>
    </row>
    <row r="878" spans="1:6" ht="15" hidden="1" customHeight="1" x14ac:dyDescent="0.25">
      <c r="A878" s="13" t="s">
        <v>70</v>
      </c>
      <c r="B878" t="s">
        <v>402</v>
      </c>
      <c r="C878" t="str">
        <f t="shared" si="18"/>
        <v>KosovoSport Klub 6</v>
      </c>
      <c r="D878" s="1">
        <v>131000</v>
      </c>
      <c r="E878" t="s">
        <v>149</v>
      </c>
      <c r="F878" t="s">
        <v>1036</v>
      </c>
    </row>
    <row r="879" spans="1:6" ht="15" hidden="1" customHeight="1" x14ac:dyDescent="0.25">
      <c r="A879" s="33" t="s">
        <v>70</v>
      </c>
      <c r="B879" s="34" t="s">
        <v>148</v>
      </c>
      <c r="C879" t="str">
        <f t="shared" si="18"/>
        <v>KosovoSuperSport</v>
      </c>
      <c r="D879" s="1">
        <v>131000</v>
      </c>
      <c r="E879" t="s">
        <v>149</v>
      </c>
      <c r="F879" t="s">
        <v>1038</v>
      </c>
    </row>
    <row r="880" spans="1:6" ht="15" hidden="1" customHeight="1" x14ac:dyDescent="0.25">
      <c r="A880" t="s">
        <v>70</v>
      </c>
      <c r="B880" t="s">
        <v>150</v>
      </c>
      <c r="C880" t="str">
        <f t="shared" si="18"/>
        <v>KosovoSuperSport 1</v>
      </c>
      <c r="D880" s="1">
        <v>131000</v>
      </c>
      <c r="E880" t="s">
        <v>149</v>
      </c>
      <c r="F880" t="s">
        <v>1038</v>
      </c>
    </row>
    <row r="881" spans="1:6" ht="15" hidden="1" customHeight="1" x14ac:dyDescent="0.25">
      <c r="A881" t="s">
        <v>70</v>
      </c>
      <c r="B881" t="s">
        <v>152</v>
      </c>
      <c r="C881" t="str">
        <f t="shared" si="18"/>
        <v>KosovoSuperSport 3</v>
      </c>
      <c r="D881" s="1">
        <v>131000</v>
      </c>
      <c r="E881" t="s">
        <v>149</v>
      </c>
      <c r="F881" t="s">
        <v>1038</v>
      </c>
    </row>
    <row r="882" spans="1:6" ht="15" hidden="1" customHeight="1" x14ac:dyDescent="0.25">
      <c r="A882" s="13" t="s">
        <v>70</v>
      </c>
      <c r="B882" t="s">
        <v>153</v>
      </c>
      <c r="C882" t="str">
        <f t="shared" si="18"/>
        <v>KosovoSuperSport 5</v>
      </c>
      <c r="D882" s="1">
        <v>131000</v>
      </c>
      <c r="E882" t="s">
        <v>149</v>
      </c>
      <c r="F882" t="s">
        <v>1038</v>
      </c>
    </row>
    <row r="883" spans="1:6" ht="15" hidden="1" customHeight="1" x14ac:dyDescent="0.25">
      <c r="A883" s="13" t="s">
        <v>70</v>
      </c>
      <c r="B883" t="s">
        <v>154</v>
      </c>
      <c r="C883" t="str">
        <f t="shared" si="18"/>
        <v>KosovoSuperSport 6</v>
      </c>
      <c r="D883" s="1">
        <v>131000</v>
      </c>
      <c r="E883" t="s">
        <v>149</v>
      </c>
      <c r="F883" t="s">
        <v>1038</v>
      </c>
    </row>
    <row r="884" spans="1:6" ht="15" hidden="1" customHeight="1" x14ac:dyDescent="0.25">
      <c r="A884" s="13" t="s">
        <v>70</v>
      </c>
      <c r="B884" t="s">
        <v>155</v>
      </c>
      <c r="C884" t="str">
        <f t="shared" si="18"/>
        <v>KosovoSuperSport 7</v>
      </c>
      <c r="D884" s="1">
        <v>131000</v>
      </c>
      <c r="E884" t="s">
        <v>149</v>
      </c>
      <c r="F884" t="s">
        <v>1038</v>
      </c>
    </row>
    <row r="885" spans="1:6" ht="15" hidden="1" customHeight="1" x14ac:dyDescent="0.25">
      <c r="A885" s="13" t="s">
        <v>72</v>
      </c>
      <c r="B885" s="41" t="s">
        <v>455</v>
      </c>
      <c r="C885" t="str">
        <f t="shared" si="18"/>
        <v>LaosbeIN Sports</v>
      </c>
      <c r="D885" s="1">
        <v>14440</v>
      </c>
      <c r="E885" t="s">
        <v>149</v>
      </c>
      <c r="F885" t="s">
        <v>1039</v>
      </c>
    </row>
    <row r="886" spans="1:6" ht="15" hidden="1" customHeight="1" x14ac:dyDescent="0.25">
      <c r="A886" s="13" t="s">
        <v>72</v>
      </c>
      <c r="B886" t="s">
        <v>1040</v>
      </c>
      <c r="C886" t="str">
        <f t="shared" si="18"/>
        <v>LaosLNTV</v>
      </c>
      <c r="D886" s="1">
        <v>193000</v>
      </c>
      <c r="E886" t="s">
        <v>142</v>
      </c>
      <c r="F886" t="s">
        <v>1041</v>
      </c>
    </row>
    <row r="887" spans="1:6" ht="15" hidden="1" customHeight="1" x14ac:dyDescent="0.25">
      <c r="A887" s="13" t="s">
        <v>74</v>
      </c>
      <c r="B887" t="s">
        <v>1042</v>
      </c>
      <c r="C887" t="str">
        <f t="shared" si="18"/>
        <v>LatviaBest4Sport</v>
      </c>
      <c r="D887" s="1">
        <v>334000</v>
      </c>
      <c r="E887" t="s">
        <v>149</v>
      </c>
      <c r="F887" t="s">
        <v>1043</v>
      </c>
    </row>
    <row r="888" spans="1:6" ht="15" hidden="1" customHeight="1" x14ac:dyDescent="0.25">
      <c r="A888" s="33" t="s">
        <v>74</v>
      </c>
      <c r="B888" s="35" t="s">
        <v>1044</v>
      </c>
      <c r="C888" t="str">
        <f t="shared" si="18"/>
        <v>LatviaLTV 1</v>
      </c>
      <c r="D888" s="1">
        <v>685600</v>
      </c>
      <c r="E888" t="s">
        <v>142</v>
      </c>
    </row>
    <row r="889" spans="1:6" ht="15" hidden="1" customHeight="1" x14ac:dyDescent="0.25">
      <c r="A889" s="13" t="s">
        <v>74</v>
      </c>
      <c r="B889" t="s">
        <v>1045</v>
      </c>
      <c r="C889" t="str">
        <f t="shared" si="18"/>
        <v>LatviaLTV1</v>
      </c>
      <c r="D889" s="1">
        <v>685600</v>
      </c>
      <c r="E889" t="s">
        <v>142</v>
      </c>
    </row>
    <row r="890" spans="1:6" ht="15" hidden="1" customHeight="1" x14ac:dyDescent="0.25">
      <c r="A890" s="13" t="s">
        <v>74</v>
      </c>
      <c r="B890" t="s">
        <v>1046</v>
      </c>
      <c r="C890" t="str">
        <f t="shared" si="18"/>
        <v>LatviaLTV7</v>
      </c>
      <c r="D890" s="1">
        <v>691377</v>
      </c>
      <c r="E890" t="s">
        <v>142</v>
      </c>
      <c r="F890" t="s">
        <v>1047</v>
      </c>
    </row>
    <row r="891" spans="1:6" ht="15" hidden="1" customHeight="1" x14ac:dyDescent="0.25">
      <c r="A891" s="13" t="s">
        <v>74</v>
      </c>
      <c r="B891" t="s">
        <v>667</v>
      </c>
      <c r="C891" t="str">
        <f t="shared" si="18"/>
        <v>LatviaTV6</v>
      </c>
      <c r="D891" s="1">
        <v>661000</v>
      </c>
      <c r="E891" t="s">
        <v>149</v>
      </c>
      <c r="F891" t="s">
        <v>1048</v>
      </c>
    </row>
    <row r="892" spans="1:6" ht="15" hidden="1" customHeight="1" x14ac:dyDescent="0.25">
      <c r="A892" s="212" t="s">
        <v>74</v>
      </c>
      <c r="B892" s="152" t="s">
        <v>652</v>
      </c>
      <c r="C892" s="150" t="str">
        <f t="shared" si="18"/>
        <v>LatviaV Sport Golf</v>
      </c>
      <c r="D892" s="1">
        <v>661000</v>
      </c>
      <c r="E892" t="s">
        <v>149</v>
      </c>
      <c r="F892" s="150"/>
    </row>
    <row r="893" spans="1:6" ht="15" hidden="1" customHeight="1" x14ac:dyDescent="0.25">
      <c r="A893" s="13" t="s">
        <v>74</v>
      </c>
      <c r="B893" t="s">
        <v>653</v>
      </c>
      <c r="C893" t="str">
        <f t="shared" si="18"/>
        <v>LatviaViaplay</v>
      </c>
      <c r="D893" s="1">
        <v>661000</v>
      </c>
      <c r="E893" t="s">
        <v>149</v>
      </c>
    </row>
    <row r="894" spans="1:6" ht="15" hidden="1" customHeight="1" x14ac:dyDescent="0.25">
      <c r="A894" s="13" t="s">
        <v>74</v>
      </c>
      <c r="B894" t="s">
        <v>654</v>
      </c>
      <c r="C894" t="str">
        <f t="shared" si="18"/>
        <v>LatviaViasat Golf</v>
      </c>
      <c r="D894" s="1">
        <v>661000</v>
      </c>
      <c r="E894" t="s">
        <v>149</v>
      </c>
      <c r="F894" t="s">
        <v>1048</v>
      </c>
    </row>
    <row r="895" spans="1:6" ht="15" hidden="1" customHeight="1" x14ac:dyDescent="0.25">
      <c r="A895" s="13" t="s">
        <v>74</v>
      </c>
      <c r="B895" t="s">
        <v>656</v>
      </c>
      <c r="C895" t="str">
        <f t="shared" si="18"/>
        <v>LatviaViasat Motor</v>
      </c>
      <c r="D895">
        <v>661000</v>
      </c>
      <c r="E895" t="s">
        <v>149</v>
      </c>
    </row>
    <row r="896" spans="1:6" ht="15" hidden="1" customHeight="1" x14ac:dyDescent="0.25">
      <c r="A896" s="13" t="s">
        <v>74</v>
      </c>
      <c r="B896" t="s">
        <v>657</v>
      </c>
      <c r="C896" t="str">
        <f t="shared" si="18"/>
        <v>LatviaViasat Sport</v>
      </c>
      <c r="D896" s="1">
        <v>661000</v>
      </c>
      <c r="E896" t="s">
        <v>149</v>
      </c>
      <c r="F896" t="s">
        <v>1048</v>
      </c>
    </row>
    <row r="897" spans="1:6" ht="15" hidden="1" customHeight="1" x14ac:dyDescent="0.25">
      <c r="A897" s="13" t="s">
        <v>74</v>
      </c>
      <c r="B897" t="s">
        <v>670</v>
      </c>
      <c r="C897" t="str">
        <f t="shared" si="18"/>
        <v>LatviaViasat Sport Baltic</v>
      </c>
      <c r="D897" s="1">
        <v>661000</v>
      </c>
      <c r="E897" t="s">
        <v>149</v>
      </c>
      <c r="F897" t="s">
        <v>1048</v>
      </c>
    </row>
    <row r="898" spans="1:6" ht="15" hidden="1" customHeight="1" x14ac:dyDescent="0.25">
      <c r="A898" s="13" t="s">
        <v>77</v>
      </c>
      <c r="B898" t="s">
        <v>749</v>
      </c>
      <c r="C898" t="str">
        <f t="shared" si="18"/>
        <v>Liechtenstein3SAT</v>
      </c>
      <c r="D898" s="1">
        <v>12900</v>
      </c>
      <c r="E898" t="s">
        <v>142</v>
      </c>
      <c r="F898" t="s">
        <v>1049</v>
      </c>
    </row>
    <row r="899" spans="1:6" ht="15" hidden="1" customHeight="1" x14ac:dyDescent="0.25">
      <c r="A899" s="13" t="s">
        <v>77</v>
      </c>
      <c r="B899" t="s">
        <v>275</v>
      </c>
      <c r="C899" t="str">
        <f t="shared" si="18"/>
        <v>LiechtensteinORF 2</v>
      </c>
      <c r="D899" s="1">
        <v>15179.994000000001</v>
      </c>
      <c r="E899" t="s">
        <v>142</v>
      </c>
      <c r="F899" t="s">
        <v>1049</v>
      </c>
    </row>
    <row r="900" spans="1:6" ht="15" hidden="1" customHeight="1" x14ac:dyDescent="0.25">
      <c r="A900" s="33" t="s">
        <v>77</v>
      </c>
      <c r="B900" s="34" t="s">
        <v>283</v>
      </c>
      <c r="C900" t="str">
        <f t="shared" si="18"/>
        <v>LiechtensteinSky Sport 1</v>
      </c>
      <c r="D900" s="1">
        <v>5430</v>
      </c>
      <c r="E900" t="s">
        <v>149</v>
      </c>
    </row>
    <row r="901" spans="1:6" ht="15" hidden="1" customHeight="1" x14ac:dyDescent="0.25">
      <c r="A901" s="13" t="s">
        <v>77</v>
      </c>
      <c r="B901" t="s">
        <v>285</v>
      </c>
      <c r="C901" t="str">
        <f t="shared" si="18"/>
        <v>LiechtensteinSky Sport 10</v>
      </c>
      <c r="D901" s="1">
        <v>5430</v>
      </c>
      <c r="E901" t="s">
        <v>149</v>
      </c>
      <c r="F901" t="s">
        <v>1050</v>
      </c>
    </row>
    <row r="902" spans="1:6" ht="15" hidden="1" customHeight="1" x14ac:dyDescent="0.25">
      <c r="A902" s="33" t="s">
        <v>77</v>
      </c>
      <c r="B902" s="34" t="s">
        <v>287</v>
      </c>
      <c r="C902" t="str">
        <f t="shared" si="18"/>
        <v>LiechtensteinSky Sport 2</v>
      </c>
      <c r="D902" s="1">
        <v>5430</v>
      </c>
      <c r="E902" t="s">
        <v>149</v>
      </c>
    </row>
    <row r="903" spans="1:6" ht="15" hidden="1" customHeight="1" x14ac:dyDescent="0.25">
      <c r="A903" s="13" t="s">
        <v>77</v>
      </c>
      <c r="B903" t="s">
        <v>288</v>
      </c>
      <c r="C903" t="str">
        <f t="shared" si="18"/>
        <v>LiechtensteinSky Sport 3</v>
      </c>
      <c r="D903" s="1">
        <v>5430</v>
      </c>
      <c r="E903" t="s">
        <v>149</v>
      </c>
    </row>
    <row r="904" spans="1:6" ht="15" hidden="1" customHeight="1" x14ac:dyDescent="0.25">
      <c r="A904" s="209" t="s">
        <v>77</v>
      </c>
      <c r="B904" s="155" t="s">
        <v>289</v>
      </c>
      <c r="C904" s="155" t="str">
        <f t="shared" si="18"/>
        <v>LiechtensteinSky Sport 4</v>
      </c>
      <c r="D904" s="156">
        <v>5430</v>
      </c>
      <c r="E904" s="155" t="s">
        <v>149</v>
      </c>
      <c r="F904" s="155"/>
    </row>
    <row r="905" spans="1:6" ht="15" hidden="1" customHeight="1" x14ac:dyDescent="0.25">
      <c r="A905" s="13" t="s">
        <v>77</v>
      </c>
      <c r="B905" t="s">
        <v>290</v>
      </c>
      <c r="C905" t="str">
        <f t="shared" si="18"/>
        <v>LiechtensteinSky Sport 5</v>
      </c>
      <c r="D905" s="1">
        <v>5430</v>
      </c>
      <c r="E905" t="s">
        <v>149</v>
      </c>
      <c r="F905" t="s">
        <v>1050</v>
      </c>
    </row>
    <row r="906" spans="1:6" ht="15" hidden="1" customHeight="1" x14ac:dyDescent="0.25">
      <c r="A906" s="33" t="s">
        <v>77</v>
      </c>
      <c r="B906" s="34" t="s">
        <v>294</v>
      </c>
      <c r="C906" t="str">
        <f t="shared" si="18"/>
        <v>LiechtensteinSky Sport Multifeed Group 1</v>
      </c>
      <c r="D906" s="1">
        <v>5430</v>
      </c>
      <c r="E906" t="s">
        <v>149</v>
      </c>
    </row>
    <row r="907" spans="1:6" ht="15" hidden="1" customHeight="1" x14ac:dyDescent="0.25">
      <c r="A907" s="13" t="s">
        <v>77</v>
      </c>
      <c r="B907" t="s">
        <v>295</v>
      </c>
      <c r="C907" t="str">
        <f t="shared" si="18"/>
        <v>LiechtensteinSky Sport Multifeed Group 10</v>
      </c>
      <c r="D907" s="1">
        <v>5430</v>
      </c>
      <c r="E907" t="s">
        <v>149</v>
      </c>
      <c r="F907" t="s">
        <v>1050</v>
      </c>
    </row>
    <row r="908" spans="1:6" ht="15" hidden="1" customHeight="1" x14ac:dyDescent="0.25">
      <c r="A908" s="33" t="s">
        <v>77</v>
      </c>
      <c r="B908" s="34" t="s">
        <v>297</v>
      </c>
      <c r="C908" t="str">
        <f t="shared" si="18"/>
        <v>LiechtensteinSky Sport Multifeed Group 2</v>
      </c>
      <c r="D908" s="1">
        <v>5430</v>
      </c>
      <c r="E908" t="s">
        <v>149</v>
      </c>
    </row>
    <row r="909" spans="1:6" ht="15" hidden="1" customHeight="1" x14ac:dyDescent="0.25">
      <c r="A909" s="13" t="s">
        <v>77</v>
      </c>
      <c r="B909" t="s">
        <v>298</v>
      </c>
      <c r="C909" t="str">
        <f t="shared" si="18"/>
        <v>LiechtensteinSky Sport Multifeed Group 3</v>
      </c>
      <c r="D909" s="1">
        <v>5430</v>
      </c>
      <c r="E909" t="s">
        <v>149</v>
      </c>
    </row>
    <row r="910" spans="1:6" ht="15" hidden="1" customHeight="1" x14ac:dyDescent="0.25">
      <c r="A910" s="209" t="s">
        <v>77</v>
      </c>
      <c r="B910" s="155" t="s">
        <v>299</v>
      </c>
      <c r="C910" s="155" t="str">
        <f t="shared" si="18"/>
        <v>LiechtensteinSky Sport Multifeed Group 4</v>
      </c>
      <c r="D910" s="156">
        <v>5430</v>
      </c>
      <c r="E910" s="155" t="s">
        <v>149</v>
      </c>
      <c r="F910" s="155"/>
    </row>
    <row r="911" spans="1:6" ht="15" hidden="1" customHeight="1" x14ac:dyDescent="0.25">
      <c r="A911" s="13" t="s">
        <v>77</v>
      </c>
      <c r="B911" t="s">
        <v>300</v>
      </c>
      <c r="C911" t="str">
        <f t="shared" si="18"/>
        <v>LiechtensteinSky Sport Multifeed Group 5</v>
      </c>
      <c r="D911" s="1">
        <v>5430</v>
      </c>
      <c r="E911" t="s">
        <v>149</v>
      </c>
      <c r="F911" t="s">
        <v>1050</v>
      </c>
    </row>
    <row r="912" spans="1:6" ht="15" hidden="1" customHeight="1" x14ac:dyDescent="0.25">
      <c r="A912" s="33" t="s">
        <v>77</v>
      </c>
      <c r="B912" s="34" t="s">
        <v>302</v>
      </c>
      <c r="C912" t="str">
        <f t="shared" si="18"/>
        <v>LiechtensteinSky Sport News</v>
      </c>
      <c r="D912" s="1">
        <v>5430</v>
      </c>
      <c r="E912" t="s">
        <v>149</v>
      </c>
    </row>
    <row r="913" spans="1:6" ht="15" hidden="1" customHeight="1" x14ac:dyDescent="0.25">
      <c r="A913" s="13" t="s">
        <v>77</v>
      </c>
      <c r="B913" t="s">
        <v>923</v>
      </c>
      <c r="C913" t="str">
        <f t="shared" si="18"/>
        <v>LiechtensteinSky Sports 1</v>
      </c>
      <c r="D913" s="1">
        <v>5430</v>
      </c>
      <c r="E913" t="s">
        <v>149</v>
      </c>
      <c r="F913" t="s">
        <v>1050</v>
      </c>
    </row>
    <row r="914" spans="1:6" ht="15" hidden="1" customHeight="1" x14ac:dyDescent="0.25">
      <c r="A914" s="13" t="s">
        <v>77</v>
      </c>
      <c r="B914" t="s">
        <v>924</v>
      </c>
      <c r="C914" t="str">
        <f t="shared" si="18"/>
        <v>LiechtensteinSky Sports 2</v>
      </c>
      <c r="D914" s="1">
        <v>5430</v>
      </c>
      <c r="E914" t="s">
        <v>149</v>
      </c>
      <c r="F914" t="s">
        <v>1050</v>
      </c>
    </row>
    <row r="915" spans="1:6" ht="15" hidden="1" customHeight="1" x14ac:dyDescent="0.25">
      <c r="A915" s="13" t="s">
        <v>77</v>
      </c>
      <c r="B915" t="s">
        <v>1051</v>
      </c>
      <c r="C915" t="str">
        <f t="shared" si="18"/>
        <v>LiechtensteinSky Sports Multifeed Group 1</v>
      </c>
      <c r="D915" s="1">
        <v>5430</v>
      </c>
      <c r="E915" t="s">
        <v>149</v>
      </c>
      <c r="F915" t="s">
        <v>1050</v>
      </c>
    </row>
    <row r="916" spans="1:6" ht="15" hidden="1" customHeight="1" x14ac:dyDescent="0.25">
      <c r="A916" s="13" t="s">
        <v>77</v>
      </c>
      <c r="B916" t="s">
        <v>1052</v>
      </c>
      <c r="C916" t="str">
        <f t="shared" si="18"/>
        <v>LiechtensteinSky Sports Multifeed Group 2</v>
      </c>
      <c r="D916" s="1">
        <v>5430</v>
      </c>
      <c r="E916" t="s">
        <v>149</v>
      </c>
      <c r="F916" t="s">
        <v>1050</v>
      </c>
    </row>
    <row r="917" spans="1:6" ht="15" hidden="1" customHeight="1" x14ac:dyDescent="0.25">
      <c r="A917" s="13" t="s">
        <v>77</v>
      </c>
      <c r="B917" t="s">
        <v>1053</v>
      </c>
      <c r="C917" t="str">
        <f t="shared" si="18"/>
        <v>LiechtensteinSky Sports News</v>
      </c>
      <c r="D917" s="1">
        <v>5430</v>
      </c>
      <c r="E917" t="s">
        <v>149</v>
      </c>
      <c r="F917" t="s">
        <v>1050</v>
      </c>
    </row>
    <row r="918" spans="1:6" ht="15" hidden="1" customHeight="1" x14ac:dyDescent="0.25">
      <c r="A918" s="39" t="s">
        <v>77</v>
      </c>
      <c r="B918" t="s">
        <v>1054</v>
      </c>
      <c r="C918" t="str">
        <f t="shared" si="18"/>
        <v>LiechtensteinTeleclub Sport 2</v>
      </c>
      <c r="D918" s="1">
        <v>5430</v>
      </c>
      <c r="E918" t="s">
        <v>149</v>
      </c>
    </row>
    <row r="919" spans="1:6" ht="15" hidden="1" customHeight="1" x14ac:dyDescent="0.25">
      <c r="A919" s="13" t="s">
        <v>77</v>
      </c>
      <c r="B919" t="s">
        <v>1055</v>
      </c>
      <c r="C919" t="str">
        <f t="shared" si="18"/>
        <v>LiechtensteinTeleclub Sport 3</v>
      </c>
      <c r="D919" s="1">
        <v>5430</v>
      </c>
      <c r="E919" t="s">
        <v>149</v>
      </c>
    </row>
    <row r="920" spans="1:6" ht="15" hidden="1" customHeight="1" x14ac:dyDescent="0.25">
      <c r="A920" s="13" t="s">
        <v>78</v>
      </c>
      <c r="B920" t="s">
        <v>1056</v>
      </c>
      <c r="C920" t="str">
        <f t="shared" si="18"/>
        <v>LithuaniaLRT Kultura</v>
      </c>
      <c r="D920" s="1">
        <v>926900</v>
      </c>
      <c r="E920" t="s">
        <v>142</v>
      </c>
      <c r="F920" t="s">
        <v>341</v>
      </c>
    </row>
    <row r="921" spans="1:6" ht="15" hidden="1" customHeight="1" x14ac:dyDescent="0.25">
      <c r="A921" s="13" t="s">
        <v>78</v>
      </c>
      <c r="B921" t="s">
        <v>667</v>
      </c>
      <c r="C921" t="str">
        <f t="shared" si="18"/>
        <v>LithuaniaTV6</v>
      </c>
      <c r="D921" s="1">
        <v>420000</v>
      </c>
      <c r="E921" t="s">
        <v>149</v>
      </c>
      <c r="F921" t="s">
        <v>1057</v>
      </c>
    </row>
    <row r="922" spans="1:6" ht="15" hidden="1" customHeight="1" x14ac:dyDescent="0.25">
      <c r="A922" s="212" t="s">
        <v>78</v>
      </c>
      <c r="B922" s="152" t="s">
        <v>652</v>
      </c>
      <c r="C922" s="150" t="str">
        <f t="shared" si="18"/>
        <v>LithuaniaV Sport Golf</v>
      </c>
      <c r="D922" s="1">
        <v>420000</v>
      </c>
      <c r="E922" t="s">
        <v>149</v>
      </c>
      <c r="F922" s="150"/>
    </row>
    <row r="923" spans="1:6" ht="15" hidden="1" customHeight="1" x14ac:dyDescent="0.25">
      <c r="A923" s="13" t="s">
        <v>78</v>
      </c>
      <c r="B923" t="s">
        <v>653</v>
      </c>
      <c r="C923" t="str">
        <f t="shared" si="18"/>
        <v>LithuaniaViaplay</v>
      </c>
      <c r="D923" s="1">
        <v>420000</v>
      </c>
      <c r="E923" t="s">
        <v>149</v>
      </c>
    </row>
    <row r="924" spans="1:6" ht="15" hidden="1" customHeight="1" x14ac:dyDescent="0.25">
      <c r="A924" s="39" t="s">
        <v>78</v>
      </c>
      <c r="B924" t="s">
        <v>654</v>
      </c>
      <c r="C924" t="str">
        <f t="shared" si="18"/>
        <v>LithuaniaViasat Golf</v>
      </c>
      <c r="D924" s="1">
        <v>420000</v>
      </c>
      <c r="E924" t="s">
        <v>149</v>
      </c>
      <c r="F924" t="s">
        <v>1057</v>
      </c>
    </row>
    <row r="925" spans="1:6" ht="15" hidden="1" customHeight="1" x14ac:dyDescent="0.25">
      <c r="A925" s="13" t="s">
        <v>78</v>
      </c>
      <c r="B925" t="s">
        <v>656</v>
      </c>
      <c r="C925" t="str">
        <f t="shared" si="18"/>
        <v>LithuaniaViasat Motor</v>
      </c>
      <c r="D925">
        <v>420000</v>
      </c>
      <c r="E925" t="s">
        <v>149</v>
      </c>
    </row>
    <row r="926" spans="1:6" ht="15" hidden="1" customHeight="1" x14ac:dyDescent="0.25">
      <c r="A926" s="13" t="s">
        <v>78</v>
      </c>
      <c r="B926" t="s">
        <v>657</v>
      </c>
      <c r="C926" t="str">
        <f t="shared" si="18"/>
        <v>LithuaniaViasat Sport</v>
      </c>
      <c r="D926" s="1">
        <v>420000</v>
      </c>
      <c r="E926" t="s">
        <v>149</v>
      </c>
      <c r="F926" t="s">
        <v>1057</v>
      </c>
    </row>
    <row r="927" spans="1:6" ht="15" hidden="1" customHeight="1" x14ac:dyDescent="0.25">
      <c r="A927" s="13" t="s">
        <v>78</v>
      </c>
      <c r="B927" t="s">
        <v>670</v>
      </c>
      <c r="C927" t="str">
        <f t="shared" si="18"/>
        <v>LithuaniaViasat Sport Baltic</v>
      </c>
      <c r="D927" s="1">
        <v>420000</v>
      </c>
      <c r="E927" t="s">
        <v>149</v>
      </c>
      <c r="F927" t="s">
        <v>1057</v>
      </c>
    </row>
    <row r="928" spans="1:6" ht="15" hidden="1" customHeight="1" x14ac:dyDescent="0.25">
      <c r="A928" s="13" t="s">
        <v>79</v>
      </c>
      <c r="B928" t="s">
        <v>334</v>
      </c>
      <c r="C928" t="str">
        <f t="shared" si="18"/>
        <v>LuxembourgEEN</v>
      </c>
      <c r="D928" s="1">
        <v>200000</v>
      </c>
      <c r="E928" t="s">
        <v>142</v>
      </c>
    </row>
    <row r="929" spans="1:6" ht="15" hidden="1" customHeight="1" x14ac:dyDescent="0.25">
      <c r="A929" s="39" t="s">
        <v>79</v>
      </c>
      <c r="B929" t="s">
        <v>163</v>
      </c>
      <c r="C929" t="str">
        <f t="shared" si="18"/>
        <v>LuxembourgFrance 2</v>
      </c>
      <c r="D929" s="1">
        <v>200000</v>
      </c>
      <c r="E929" t="s">
        <v>142</v>
      </c>
    </row>
    <row r="930" spans="1:6" ht="15" hidden="1" customHeight="1" x14ac:dyDescent="0.25">
      <c r="A930" s="33" t="s">
        <v>79</v>
      </c>
      <c r="B930" s="35" t="s">
        <v>165</v>
      </c>
      <c r="C930" t="str">
        <f t="shared" ref="C930:C993" si="19">CONCATENATE(A930,B930)</f>
        <v>LuxembourgFrance2</v>
      </c>
      <c r="D930" s="1">
        <v>200000</v>
      </c>
      <c r="E930" t="s">
        <v>142</v>
      </c>
      <c r="F930" s="1"/>
    </row>
    <row r="931" spans="1:6" ht="15" hidden="1" customHeight="1" x14ac:dyDescent="0.25">
      <c r="A931" s="13" t="s">
        <v>79</v>
      </c>
      <c r="B931" s="53" t="s">
        <v>725</v>
      </c>
      <c r="C931" t="str">
        <f t="shared" si="19"/>
        <v>LuxembourgL'Equipe</v>
      </c>
      <c r="D931" s="1">
        <v>200000</v>
      </c>
      <c r="E931" t="s">
        <v>142</v>
      </c>
      <c r="F931" t="s">
        <v>1058</v>
      </c>
    </row>
    <row r="932" spans="1:6" ht="15" hidden="1" customHeight="1" x14ac:dyDescent="0.25">
      <c r="A932" s="13" t="s">
        <v>79</v>
      </c>
      <c r="B932" t="s">
        <v>343</v>
      </c>
      <c r="C932" t="str">
        <f t="shared" si="19"/>
        <v>LuxembourgMa Chaine Sport</v>
      </c>
      <c r="D932" s="1">
        <v>200000</v>
      </c>
      <c r="E932" t="s">
        <v>149</v>
      </c>
      <c r="F932" t="s">
        <v>1058</v>
      </c>
    </row>
    <row r="933" spans="1:6" ht="15" hidden="1" customHeight="1" x14ac:dyDescent="0.25">
      <c r="A933" s="13" t="s">
        <v>79</v>
      </c>
      <c r="B933" t="s">
        <v>344</v>
      </c>
      <c r="C933" t="str">
        <f t="shared" si="19"/>
        <v>LuxembourgMa Chaine Sport Tennis</v>
      </c>
      <c r="D933" s="1">
        <v>200000</v>
      </c>
      <c r="E933" t="s">
        <v>149</v>
      </c>
      <c r="F933" t="s">
        <v>1058</v>
      </c>
    </row>
    <row r="934" spans="1:6" ht="15" hidden="1" customHeight="1" x14ac:dyDescent="0.25">
      <c r="A934" s="13" t="s">
        <v>79</v>
      </c>
      <c r="B934" t="s">
        <v>379</v>
      </c>
      <c r="C934" t="str">
        <f t="shared" si="19"/>
        <v>LuxembourgRTBF</v>
      </c>
      <c r="D934" s="1">
        <v>200000</v>
      </c>
      <c r="E934" t="s">
        <v>142</v>
      </c>
    </row>
    <row r="935" spans="1:6" ht="15" hidden="1" customHeight="1" x14ac:dyDescent="0.25">
      <c r="A935" s="13" t="s">
        <v>79</v>
      </c>
      <c r="B935" t="s">
        <v>1059</v>
      </c>
      <c r="C935" t="str">
        <f t="shared" si="19"/>
        <v>LuxembourgSky Sport</v>
      </c>
      <c r="D935" s="1">
        <v>78000</v>
      </c>
      <c r="E935" t="s">
        <v>149</v>
      </c>
      <c r="F935" t="s">
        <v>1060</v>
      </c>
    </row>
    <row r="936" spans="1:6" ht="15" hidden="1" customHeight="1" x14ac:dyDescent="0.25">
      <c r="A936" s="33" t="s">
        <v>79</v>
      </c>
      <c r="B936" s="34" t="s">
        <v>283</v>
      </c>
      <c r="C936" t="str">
        <f t="shared" si="19"/>
        <v>LuxembourgSky Sport 1</v>
      </c>
      <c r="D936" s="1">
        <v>78000</v>
      </c>
      <c r="E936" t="s">
        <v>149</v>
      </c>
    </row>
    <row r="937" spans="1:6" ht="15" hidden="1" customHeight="1" x14ac:dyDescent="0.25">
      <c r="A937" t="s">
        <v>79</v>
      </c>
      <c r="B937" t="s">
        <v>285</v>
      </c>
      <c r="C937" t="str">
        <f t="shared" si="19"/>
        <v>LuxembourgSky Sport 10</v>
      </c>
      <c r="D937" s="1">
        <v>78000</v>
      </c>
      <c r="E937" t="s">
        <v>149</v>
      </c>
    </row>
    <row r="938" spans="1:6" ht="15" hidden="1" customHeight="1" x14ac:dyDescent="0.25">
      <c r="A938" s="33" t="s">
        <v>79</v>
      </c>
      <c r="B938" s="34" t="s">
        <v>287</v>
      </c>
      <c r="C938" t="str">
        <f t="shared" si="19"/>
        <v>LuxembourgSky Sport 2</v>
      </c>
      <c r="D938" s="1">
        <v>78000</v>
      </c>
      <c r="E938" t="s">
        <v>149</v>
      </c>
    </row>
    <row r="939" spans="1:6" ht="15" hidden="1" customHeight="1" x14ac:dyDescent="0.25">
      <c r="A939" s="13" t="s">
        <v>79</v>
      </c>
      <c r="B939" t="s">
        <v>288</v>
      </c>
      <c r="C939" t="str">
        <f t="shared" si="19"/>
        <v>LuxembourgSky Sport 3</v>
      </c>
      <c r="D939" s="1">
        <v>78000</v>
      </c>
      <c r="E939" t="s">
        <v>149</v>
      </c>
    </row>
    <row r="940" spans="1:6" ht="15" hidden="1" customHeight="1" x14ac:dyDescent="0.25">
      <c r="A940" s="209" t="s">
        <v>79</v>
      </c>
      <c r="B940" s="155" t="s">
        <v>289</v>
      </c>
      <c r="C940" s="155" t="str">
        <f t="shared" si="19"/>
        <v>LuxembourgSky Sport 4</v>
      </c>
      <c r="D940" s="156">
        <v>78000</v>
      </c>
      <c r="E940" s="155" t="s">
        <v>149</v>
      </c>
      <c r="F940" s="155"/>
    </row>
    <row r="941" spans="1:6" ht="15" hidden="1" customHeight="1" x14ac:dyDescent="0.25">
      <c r="A941" t="s">
        <v>79</v>
      </c>
      <c r="B941" t="s">
        <v>290</v>
      </c>
      <c r="C941" t="str">
        <f t="shared" si="19"/>
        <v>LuxembourgSky Sport 5</v>
      </c>
      <c r="D941" s="1">
        <v>78000</v>
      </c>
      <c r="E941" t="s">
        <v>149</v>
      </c>
    </row>
    <row r="942" spans="1:6" ht="15" hidden="1" customHeight="1" x14ac:dyDescent="0.25">
      <c r="A942" s="33" t="s">
        <v>79</v>
      </c>
      <c r="B942" s="34" t="s">
        <v>294</v>
      </c>
      <c r="C942" t="str">
        <f t="shared" si="19"/>
        <v>LuxembourgSky Sport Multifeed Group 1</v>
      </c>
      <c r="D942" s="1">
        <v>78000</v>
      </c>
      <c r="E942" t="s">
        <v>149</v>
      </c>
    </row>
    <row r="943" spans="1:6" ht="15" hidden="1" customHeight="1" x14ac:dyDescent="0.25">
      <c r="A943" t="s">
        <v>79</v>
      </c>
      <c r="B943" t="s">
        <v>295</v>
      </c>
      <c r="C943" t="str">
        <f t="shared" si="19"/>
        <v>LuxembourgSky Sport Multifeed Group 10</v>
      </c>
      <c r="D943" s="1">
        <v>78000</v>
      </c>
      <c r="E943" t="s">
        <v>149</v>
      </c>
    </row>
    <row r="944" spans="1:6" ht="15" hidden="1" customHeight="1" x14ac:dyDescent="0.25">
      <c r="A944" s="33" t="s">
        <v>79</v>
      </c>
      <c r="B944" s="34" t="s">
        <v>297</v>
      </c>
      <c r="C944" t="str">
        <f t="shared" si="19"/>
        <v>LuxembourgSky Sport Multifeed Group 2</v>
      </c>
      <c r="D944" s="1">
        <v>78000</v>
      </c>
      <c r="E944" t="s">
        <v>149</v>
      </c>
    </row>
    <row r="945" spans="1:6" ht="15" hidden="1" customHeight="1" x14ac:dyDescent="0.25">
      <c r="A945" s="13" t="s">
        <v>79</v>
      </c>
      <c r="B945" t="s">
        <v>298</v>
      </c>
      <c r="C945" t="str">
        <f t="shared" si="19"/>
        <v>LuxembourgSky Sport Multifeed Group 3</v>
      </c>
      <c r="D945" s="1">
        <v>78000</v>
      </c>
      <c r="E945" t="s">
        <v>149</v>
      </c>
    </row>
    <row r="946" spans="1:6" ht="15" hidden="1" customHeight="1" x14ac:dyDescent="0.25">
      <c r="A946" s="209" t="s">
        <v>79</v>
      </c>
      <c r="B946" s="155" t="s">
        <v>299</v>
      </c>
      <c r="C946" s="155" t="str">
        <f t="shared" si="19"/>
        <v>LuxembourgSky Sport Multifeed Group 4</v>
      </c>
      <c r="D946" s="156">
        <v>78000</v>
      </c>
      <c r="E946" s="155" t="s">
        <v>149</v>
      </c>
      <c r="F946" s="155"/>
    </row>
    <row r="947" spans="1:6" ht="15" hidden="1" customHeight="1" x14ac:dyDescent="0.25">
      <c r="A947" t="s">
        <v>79</v>
      </c>
      <c r="B947" t="s">
        <v>300</v>
      </c>
      <c r="C947" t="str">
        <f t="shared" si="19"/>
        <v>LuxembourgSky Sport Multifeed Group 5</v>
      </c>
      <c r="D947" s="1">
        <v>78000</v>
      </c>
      <c r="E947" t="s">
        <v>149</v>
      </c>
    </row>
    <row r="948" spans="1:6" ht="15" hidden="1" customHeight="1" x14ac:dyDescent="0.25">
      <c r="A948" s="33" t="s">
        <v>79</v>
      </c>
      <c r="B948" s="34" t="s">
        <v>302</v>
      </c>
      <c r="C948" t="str">
        <f t="shared" si="19"/>
        <v>LuxembourgSky Sport News</v>
      </c>
      <c r="D948" s="1">
        <v>78000</v>
      </c>
      <c r="E948" t="s">
        <v>149</v>
      </c>
    </row>
    <row r="949" spans="1:6" ht="15" hidden="1" customHeight="1" x14ac:dyDescent="0.25">
      <c r="A949" s="13" t="s">
        <v>79</v>
      </c>
      <c r="B949" t="s">
        <v>923</v>
      </c>
      <c r="C949" t="str">
        <f t="shared" si="19"/>
        <v>LuxembourgSky Sports 1</v>
      </c>
      <c r="D949" s="1">
        <v>78000</v>
      </c>
      <c r="E949" t="s">
        <v>149</v>
      </c>
      <c r="F949" t="s">
        <v>1050</v>
      </c>
    </row>
    <row r="950" spans="1:6" ht="15" hidden="1" customHeight="1" x14ac:dyDescent="0.25">
      <c r="A950" s="13" t="s">
        <v>79</v>
      </c>
      <c r="B950" t="s">
        <v>924</v>
      </c>
      <c r="C950" t="str">
        <f t="shared" si="19"/>
        <v>LuxembourgSky Sports 2</v>
      </c>
      <c r="D950" s="1">
        <v>78000</v>
      </c>
      <c r="E950" t="s">
        <v>149</v>
      </c>
      <c r="F950" t="s">
        <v>1050</v>
      </c>
    </row>
    <row r="951" spans="1:6" ht="15" hidden="1" customHeight="1" x14ac:dyDescent="0.25">
      <c r="A951" s="13" t="s">
        <v>79</v>
      </c>
      <c r="B951" t="s">
        <v>1051</v>
      </c>
      <c r="C951" t="str">
        <f t="shared" si="19"/>
        <v>LuxembourgSky Sports Multifeed Group 1</v>
      </c>
      <c r="D951" s="1">
        <v>78000</v>
      </c>
      <c r="E951" t="s">
        <v>149</v>
      </c>
      <c r="F951" t="s">
        <v>1050</v>
      </c>
    </row>
    <row r="952" spans="1:6" ht="15" hidden="1" customHeight="1" x14ac:dyDescent="0.25">
      <c r="A952" s="13" t="s">
        <v>79</v>
      </c>
      <c r="B952" t="s">
        <v>1052</v>
      </c>
      <c r="C952" t="str">
        <f t="shared" si="19"/>
        <v>LuxembourgSky Sports Multifeed Group 2</v>
      </c>
      <c r="D952" s="1">
        <v>78000</v>
      </c>
      <c r="E952" t="s">
        <v>149</v>
      </c>
      <c r="F952" t="s">
        <v>1050</v>
      </c>
    </row>
    <row r="953" spans="1:6" ht="15" hidden="1" customHeight="1" x14ac:dyDescent="0.25">
      <c r="A953" s="13" t="s">
        <v>79</v>
      </c>
      <c r="B953" t="s">
        <v>1053</v>
      </c>
      <c r="C953" t="str">
        <f t="shared" si="19"/>
        <v>LuxembourgSky Sports News</v>
      </c>
      <c r="D953" s="1">
        <v>78000</v>
      </c>
      <c r="E953" t="s">
        <v>149</v>
      </c>
      <c r="F953" t="s">
        <v>1050</v>
      </c>
    </row>
    <row r="954" spans="1:6" ht="15" hidden="1" customHeight="1" x14ac:dyDescent="0.25">
      <c r="A954" s="13" t="s">
        <v>79</v>
      </c>
      <c r="B954" t="s">
        <v>383</v>
      </c>
      <c r="C954" t="str">
        <f t="shared" si="19"/>
        <v>LuxembourgVoo Sport World 1</v>
      </c>
      <c r="D954" s="1">
        <v>78000</v>
      </c>
      <c r="E954" t="s">
        <v>149</v>
      </c>
    </row>
    <row r="955" spans="1:6" ht="15" hidden="1" customHeight="1" x14ac:dyDescent="0.25">
      <c r="A955" s="13" t="s">
        <v>79</v>
      </c>
      <c r="B955" t="s">
        <v>384</v>
      </c>
      <c r="C955" t="str">
        <f t="shared" si="19"/>
        <v>LuxembourgVoo Sport World 2</v>
      </c>
      <c r="D955" s="1">
        <v>78000</v>
      </c>
      <c r="E955" t="s">
        <v>149</v>
      </c>
    </row>
    <row r="956" spans="1:6" ht="15" hidden="1" customHeight="1" x14ac:dyDescent="0.25">
      <c r="A956" s="13" t="s">
        <v>79</v>
      </c>
      <c r="B956" t="s">
        <v>387</v>
      </c>
      <c r="C956" t="str">
        <f t="shared" si="19"/>
        <v>LuxembourgVooSport World 1</v>
      </c>
      <c r="D956" s="1">
        <v>78000</v>
      </c>
      <c r="E956" t="s">
        <v>149</v>
      </c>
    </row>
    <row r="957" spans="1:6" ht="15" hidden="1" customHeight="1" x14ac:dyDescent="0.25">
      <c r="A957" s="13" t="s">
        <v>79</v>
      </c>
      <c r="B957" t="s">
        <v>388</v>
      </c>
      <c r="C957" t="str">
        <f t="shared" si="19"/>
        <v>LuxembourgVooSport World 2</v>
      </c>
      <c r="D957" s="1">
        <v>78000</v>
      </c>
      <c r="E957" t="s">
        <v>149</v>
      </c>
    </row>
    <row r="958" spans="1:6" ht="15" hidden="1" customHeight="1" x14ac:dyDescent="0.25">
      <c r="A958" s="13" t="s">
        <v>79</v>
      </c>
      <c r="B958" t="s">
        <v>389</v>
      </c>
      <c r="C958" t="str">
        <f t="shared" si="19"/>
        <v>LuxembourgVooSport World 3</v>
      </c>
      <c r="D958" s="1">
        <v>78000</v>
      </c>
      <c r="E958" t="s">
        <v>149</v>
      </c>
    </row>
    <row r="959" spans="1:6" ht="15" hidden="1" customHeight="1" x14ac:dyDescent="0.25">
      <c r="A959" s="205" t="s">
        <v>133</v>
      </c>
      <c r="B959" s="11" t="s">
        <v>1061</v>
      </c>
      <c r="C959" s="11" t="str">
        <f t="shared" si="19"/>
        <v>MacauTDM</v>
      </c>
      <c r="D959" s="1">
        <v>250000</v>
      </c>
      <c r="E959" t="s">
        <v>142</v>
      </c>
      <c r="F959" s="11"/>
    </row>
    <row r="960" spans="1:6" ht="15" hidden="1" customHeight="1" x14ac:dyDescent="0.25">
      <c r="A960" s="211" t="s">
        <v>133</v>
      </c>
      <c r="B960" s="166" t="s">
        <v>1062</v>
      </c>
      <c r="C960" s="162" t="str">
        <f t="shared" si="19"/>
        <v>MacauTDM Desporto</v>
      </c>
      <c r="D960" s="1">
        <v>250000</v>
      </c>
      <c r="E960" t="s">
        <v>142</v>
      </c>
      <c r="F960" s="162"/>
    </row>
    <row r="961" spans="1:6" ht="15" hidden="1" customHeight="1" x14ac:dyDescent="0.25">
      <c r="A961" s="211" t="s">
        <v>133</v>
      </c>
      <c r="B961" s="166" t="s">
        <v>1063</v>
      </c>
      <c r="C961" s="162" t="str">
        <f t="shared" si="19"/>
        <v>MacauTDM HD</v>
      </c>
      <c r="D961" s="1">
        <v>250000</v>
      </c>
      <c r="E961" t="s">
        <v>142</v>
      </c>
      <c r="F961" s="162"/>
    </row>
    <row r="962" spans="1:6" ht="15" hidden="1" customHeight="1" x14ac:dyDescent="0.25">
      <c r="A962" s="202" t="s">
        <v>130</v>
      </c>
      <c r="B962" s="175" t="s">
        <v>1064</v>
      </c>
      <c r="C962" s="175" t="str">
        <f t="shared" si="19"/>
        <v>Macedonia1TV</v>
      </c>
      <c r="D962" s="176">
        <v>540000</v>
      </c>
      <c r="E962" s="175" t="s">
        <v>142</v>
      </c>
      <c r="F962" s="175"/>
    </row>
    <row r="963" spans="1:6" ht="15" hidden="1" customHeight="1" x14ac:dyDescent="0.25">
      <c r="A963" s="13" t="s">
        <v>130</v>
      </c>
      <c r="B963" t="s">
        <v>1065</v>
      </c>
      <c r="C963" t="str">
        <f t="shared" si="19"/>
        <v>Macedonia24Vesti</v>
      </c>
      <c r="D963">
        <v>481500</v>
      </c>
      <c r="E963" t="s">
        <v>149</v>
      </c>
      <c r="F963" t="s">
        <v>341</v>
      </c>
    </row>
    <row r="964" spans="1:6" ht="15" hidden="1" customHeight="1" x14ac:dyDescent="0.25">
      <c r="A964" s="13" t="s">
        <v>130</v>
      </c>
      <c r="B964" t="s">
        <v>1066</v>
      </c>
      <c r="C964" t="str">
        <f t="shared" si="19"/>
        <v>MacedoniaMKRTV</v>
      </c>
      <c r="D964" s="1">
        <v>540000</v>
      </c>
      <c r="E964" t="s">
        <v>142</v>
      </c>
      <c r="F964" t="s">
        <v>1067</v>
      </c>
    </row>
    <row r="965" spans="1:6" ht="15" hidden="1" customHeight="1" x14ac:dyDescent="0.25">
      <c r="A965" s="13" t="s">
        <v>130</v>
      </c>
      <c r="B965" t="s">
        <v>1068</v>
      </c>
      <c r="C965" t="str">
        <f t="shared" si="19"/>
        <v>MacedoniaMRT 1</v>
      </c>
      <c r="D965" s="1">
        <v>540000</v>
      </c>
      <c r="E965" t="s">
        <v>142</v>
      </c>
      <c r="F965" t="s">
        <v>1069</v>
      </c>
    </row>
    <row r="966" spans="1:6" ht="15" hidden="1" customHeight="1" x14ac:dyDescent="0.25">
      <c r="A966" s="13" t="s">
        <v>130</v>
      </c>
      <c r="B966" t="s">
        <v>396</v>
      </c>
      <c r="C966" t="str">
        <f t="shared" si="19"/>
        <v>MacedoniaSport Klub 1</v>
      </c>
      <c r="D966" s="1">
        <v>100000</v>
      </c>
      <c r="E966" t="s">
        <v>149</v>
      </c>
      <c r="F966" t="s">
        <v>393</v>
      </c>
    </row>
    <row r="967" spans="1:6" ht="15" hidden="1" customHeight="1" x14ac:dyDescent="0.25">
      <c r="A967" s="202" t="s">
        <v>130</v>
      </c>
      <c r="B967" s="175" t="s">
        <v>397</v>
      </c>
      <c r="C967" s="175" t="str">
        <f t="shared" si="19"/>
        <v>MacedoniaSport Klub 10</v>
      </c>
      <c r="D967" s="176">
        <v>100000</v>
      </c>
      <c r="E967" s="175" t="s">
        <v>149</v>
      </c>
      <c r="F967" s="175"/>
    </row>
    <row r="968" spans="1:6" ht="15" hidden="1" customHeight="1" x14ac:dyDescent="0.25">
      <c r="A968" s="13" t="s">
        <v>130</v>
      </c>
      <c r="B968" t="s">
        <v>398</v>
      </c>
      <c r="C968" t="str">
        <f t="shared" si="19"/>
        <v>MacedoniaSport Klub 2</v>
      </c>
      <c r="D968" s="1">
        <v>100000</v>
      </c>
      <c r="E968" t="s">
        <v>149</v>
      </c>
      <c r="F968" t="s">
        <v>393</v>
      </c>
    </row>
    <row r="969" spans="1:6" ht="15" hidden="1" customHeight="1" x14ac:dyDescent="0.25">
      <c r="A969" s="13" t="s">
        <v>130</v>
      </c>
      <c r="B969" t="s">
        <v>399</v>
      </c>
      <c r="C969" t="str">
        <f t="shared" si="19"/>
        <v>MacedoniaSport Klub 3</v>
      </c>
      <c r="D969" s="1">
        <v>100000</v>
      </c>
      <c r="E969" t="s">
        <v>149</v>
      </c>
      <c r="F969" t="s">
        <v>393</v>
      </c>
    </row>
    <row r="970" spans="1:6" ht="15" hidden="1" customHeight="1" x14ac:dyDescent="0.25">
      <c r="A970" s="13" t="s">
        <v>130</v>
      </c>
      <c r="B970" t="s">
        <v>400</v>
      </c>
      <c r="C970" t="str">
        <f t="shared" si="19"/>
        <v>MacedoniaSport Klub 4</v>
      </c>
      <c r="D970" s="1">
        <v>100000</v>
      </c>
      <c r="E970" t="s">
        <v>149</v>
      </c>
      <c r="F970" t="s">
        <v>393</v>
      </c>
    </row>
    <row r="971" spans="1:6" ht="15" hidden="1" customHeight="1" x14ac:dyDescent="0.25">
      <c r="A971" s="13" t="s">
        <v>130</v>
      </c>
      <c r="B971" t="s">
        <v>401</v>
      </c>
      <c r="C971" t="str">
        <f t="shared" si="19"/>
        <v>MacedoniaSport Klub 5</v>
      </c>
      <c r="D971" s="1">
        <v>100000</v>
      </c>
      <c r="E971" t="s">
        <v>149</v>
      </c>
      <c r="F971" t="s">
        <v>393</v>
      </c>
    </row>
    <row r="972" spans="1:6" ht="15" hidden="1" customHeight="1" x14ac:dyDescent="0.25">
      <c r="A972" s="13" t="s">
        <v>130</v>
      </c>
      <c r="B972" t="s">
        <v>402</v>
      </c>
      <c r="C972" t="str">
        <f t="shared" si="19"/>
        <v>MacedoniaSport Klub 6</v>
      </c>
      <c r="D972" s="1">
        <v>100000</v>
      </c>
      <c r="E972" t="s">
        <v>149</v>
      </c>
    </row>
    <row r="973" spans="1:6" ht="15" hidden="1" customHeight="1" x14ac:dyDescent="0.25">
      <c r="A973" s="202" t="s">
        <v>130</v>
      </c>
      <c r="B973" s="175" t="s">
        <v>403</v>
      </c>
      <c r="C973" s="175" t="str">
        <f t="shared" si="19"/>
        <v>MacedoniaSport Klub 7</v>
      </c>
      <c r="D973" s="176">
        <v>100000</v>
      </c>
      <c r="E973" s="175" t="s">
        <v>149</v>
      </c>
      <c r="F973" s="175"/>
    </row>
    <row r="974" spans="1:6" ht="15" hidden="1" customHeight="1" x14ac:dyDescent="0.25">
      <c r="A974" s="202" t="s">
        <v>130</v>
      </c>
      <c r="B974" s="175" t="s">
        <v>404</v>
      </c>
      <c r="C974" s="175" t="str">
        <f t="shared" si="19"/>
        <v>MacedoniaSport Klub 8</v>
      </c>
      <c r="D974" s="176">
        <v>100000</v>
      </c>
      <c r="E974" s="175" t="s">
        <v>149</v>
      </c>
      <c r="F974" s="175"/>
    </row>
    <row r="975" spans="1:6" ht="15" hidden="1" customHeight="1" x14ac:dyDescent="0.25">
      <c r="A975" s="202" t="s">
        <v>130</v>
      </c>
      <c r="B975" s="175" t="s">
        <v>405</v>
      </c>
      <c r="C975" s="175" t="str">
        <f t="shared" si="19"/>
        <v>MacedoniaSport Klub 9</v>
      </c>
      <c r="D975" s="176">
        <v>100000</v>
      </c>
      <c r="E975" s="175" t="s">
        <v>149</v>
      </c>
      <c r="F975" s="175"/>
    </row>
    <row r="976" spans="1:6" ht="15" hidden="1" customHeight="1" x14ac:dyDescent="0.25">
      <c r="A976" s="13" t="s">
        <v>130</v>
      </c>
      <c r="B976" t="s">
        <v>406</v>
      </c>
      <c r="C976" t="str">
        <f t="shared" si="19"/>
        <v>MacedoniaSport Klub Golf</v>
      </c>
      <c r="D976" s="1">
        <v>100000</v>
      </c>
      <c r="E976" t="s">
        <v>149</v>
      </c>
      <c r="F976" t="s">
        <v>393</v>
      </c>
    </row>
    <row r="977" spans="1:6" ht="15" hidden="1" customHeight="1" x14ac:dyDescent="0.25">
      <c r="A977" s="13" t="s">
        <v>130</v>
      </c>
      <c r="B977" t="s">
        <v>407</v>
      </c>
      <c r="C977" t="str">
        <f t="shared" si="19"/>
        <v>MacedoniaSport Klub HD</v>
      </c>
      <c r="D977" s="1">
        <v>100000</v>
      </c>
      <c r="E977" t="s">
        <v>149</v>
      </c>
      <c r="F977" t="s">
        <v>393</v>
      </c>
    </row>
    <row r="978" spans="1:6" ht="15" hidden="1" customHeight="1" x14ac:dyDescent="0.25">
      <c r="A978" s="13" t="s">
        <v>81</v>
      </c>
      <c r="B978" t="s">
        <v>1070</v>
      </c>
      <c r="C978" t="str">
        <f t="shared" si="19"/>
        <v>MalaysiaAstro SuperSport</v>
      </c>
      <c r="D978" s="1">
        <v>3555000</v>
      </c>
      <c r="E978" s="19" t="s">
        <v>149</v>
      </c>
    </row>
    <row r="979" spans="1:6" ht="15" hidden="1" customHeight="1" x14ac:dyDescent="0.25">
      <c r="A979" s="50" t="s">
        <v>81</v>
      </c>
      <c r="B979" s="34" t="s">
        <v>425</v>
      </c>
      <c r="C979" t="str">
        <f t="shared" si="19"/>
        <v>MalaysiaAstro SuperSport 2</v>
      </c>
      <c r="D979" s="1">
        <v>3555000</v>
      </c>
      <c r="E979" s="19" t="s">
        <v>149</v>
      </c>
    </row>
    <row r="980" spans="1:6" ht="15" hidden="1" customHeight="1" x14ac:dyDescent="0.25">
      <c r="A980" s="50" t="s">
        <v>81</v>
      </c>
      <c r="B980" s="34" t="s">
        <v>1071</v>
      </c>
      <c r="C980" t="str">
        <f t="shared" si="19"/>
        <v>MalaysiaASTRO SUPERSPORT 2 HD</v>
      </c>
      <c r="D980" s="1">
        <v>3555000</v>
      </c>
      <c r="E980" s="19" t="s">
        <v>149</v>
      </c>
    </row>
    <row r="981" spans="1:6" ht="15" hidden="1" customHeight="1" x14ac:dyDescent="0.25">
      <c r="A981" s="13" t="s">
        <v>81</v>
      </c>
      <c r="B981" t="s">
        <v>427</v>
      </c>
      <c r="C981" t="str">
        <f t="shared" si="19"/>
        <v>MalaysiaAstro SuperSport 3</v>
      </c>
      <c r="D981" s="1">
        <v>3555000</v>
      </c>
      <c r="E981" t="s">
        <v>149</v>
      </c>
      <c r="F981" t="s">
        <v>1072</v>
      </c>
    </row>
    <row r="982" spans="1:6" ht="15" hidden="1" customHeight="1" x14ac:dyDescent="0.25">
      <c r="A982" s="13" t="s">
        <v>81</v>
      </c>
      <c r="B982" t="s">
        <v>429</v>
      </c>
      <c r="C982" t="str">
        <f t="shared" si="19"/>
        <v>MalaysiaAstro SuperSport 3 HD</v>
      </c>
      <c r="D982" s="1">
        <v>3555000</v>
      </c>
      <c r="E982" t="s">
        <v>149</v>
      </c>
      <c r="F982" t="s">
        <v>1072</v>
      </c>
    </row>
    <row r="983" spans="1:6" ht="15" hidden="1" customHeight="1" x14ac:dyDescent="0.25">
      <c r="A983" s="13" t="s">
        <v>81</v>
      </c>
      <c r="B983" t="s">
        <v>430</v>
      </c>
      <c r="C983" t="str">
        <f t="shared" si="19"/>
        <v>MalaysiaAstro SuperSport 4</v>
      </c>
      <c r="D983" s="1">
        <v>3555000</v>
      </c>
      <c r="E983" t="s">
        <v>149</v>
      </c>
      <c r="F983" t="s">
        <v>1072</v>
      </c>
    </row>
    <row r="984" spans="1:6" ht="15" hidden="1" customHeight="1" x14ac:dyDescent="0.25">
      <c r="A984" s="13" t="s">
        <v>81</v>
      </c>
      <c r="B984" t="s">
        <v>1073</v>
      </c>
      <c r="C984" t="str">
        <f t="shared" si="19"/>
        <v>MalaysiaBeIN Sports</v>
      </c>
      <c r="E984" t="s">
        <v>149</v>
      </c>
    </row>
    <row r="985" spans="1:6" ht="15" hidden="1" customHeight="1" x14ac:dyDescent="0.25">
      <c r="A985" s="13" t="s">
        <v>81</v>
      </c>
      <c r="B985" t="s">
        <v>221</v>
      </c>
      <c r="C985" t="str">
        <f t="shared" si="19"/>
        <v>MalaysiaEurosport</v>
      </c>
      <c r="D985" s="1">
        <v>1042451</v>
      </c>
      <c r="E985" t="s">
        <v>149</v>
      </c>
      <c r="F985" t="s">
        <v>1074</v>
      </c>
    </row>
    <row r="986" spans="1:6" ht="15" hidden="1" customHeight="1" x14ac:dyDescent="0.25">
      <c r="A986" s="103" t="s">
        <v>81</v>
      </c>
      <c r="B986" s="104" t="s">
        <v>793</v>
      </c>
      <c r="C986" t="str">
        <f t="shared" si="19"/>
        <v>MalaysiaFOX SPORTS</v>
      </c>
      <c r="D986" s="1">
        <v>4355000</v>
      </c>
      <c r="E986" t="s">
        <v>149</v>
      </c>
      <c r="F986" t="s">
        <v>1075</v>
      </c>
    </row>
    <row r="987" spans="1:6" ht="15" hidden="1" customHeight="1" x14ac:dyDescent="0.25">
      <c r="A987" s="103" t="s">
        <v>81</v>
      </c>
      <c r="B987" s="104" t="s">
        <v>195</v>
      </c>
      <c r="C987" t="str">
        <f t="shared" si="19"/>
        <v>MalaysiaFox Sports 2</v>
      </c>
      <c r="D987" s="1">
        <v>4355000</v>
      </c>
      <c r="E987" s="19" t="s">
        <v>149</v>
      </c>
    </row>
    <row r="988" spans="1:6" ht="15" hidden="1" customHeight="1" x14ac:dyDescent="0.25">
      <c r="A988" s="13" t="s">
        <v>81</v>
      </c>
      <c r="B988" t="s">
        <v>882</v>
      </c>
      <c r="C988" t="str">
        <f t="shared" si="19"/>
        <v>MalaysiaFox Sports 2 HD</v>
      </c>
      <c r="D988" s="1">
        <v>4355000</v>
      </c>
      <c r="E988" s="19" t="s">
        <v>149</v>
      </c>
    </row>
    <row r="989" spans="1:6" ht="15" hidden="1" customHeight="1" x14ac:dyDescent="0.25">
      <c r="A989" s="58" t="s">
        <v>81</v>
      </c>
      <c r="B989" s="3" t="s">
        <v>197</v>
      </c>
      <c r="C989" t="str">
        <f t="shared" si="19"/>
        <v>MalaysiaFox Sports 3</v>
      </c>
      <c r="D989" s="1">
        <v>4355000</v>
      </c>
      <c r="E989" s="19" t="s">
        <v>149</v>
      </c>
    </row>
    <row r="990" spans="1:6" ht="15" hidden="1" customHeight="1" x14ac:dyDescent="0.25">
      <c r="A990" s="219" t="s">
        <v>81</v>
      </c>
      <c r="B990" s="172" t="s">
        <v>1076</v>
      </c>
      <c r="C990" s="11" t="str">
        <f t="shared" si="19"/>
        <v>MalaysiaFox Sports 3 HD</v>
      </c>
      <c r="D990" s="1">
        <v>4355000</v>
      </c>
      <c r="E990" s="19" t="s">
        <v>149</v>
      </c>
      <c r="F990" s="11"/>
    </row>
    <row r="991" spans="1:6" ht="15" hidden="1" customHeight="1" x14ac:dyDescent="0.25">
      <c r="A991" s="13" t="s">
        <v>81</v>
      </c>
      <c r="B991" t="s">
        <v>199</v>
      </c>
      <c r="C991" t="str">
        <f t="shared" si="19"/>
        <v>MalaysiaFox Sports HD</v>
      </c>
      <c r="D991" s="1">
        <v>4355000</v>
      </c>
      <c r="E991" t="s">
        <v>149</v>
      </c>
      <c r="F991" t="s">
        <v>1075</v>
      </c>
    </row>
    <row r="992" spans="1:6" ht="15" hidden="1" customHeight="1" x14ac:dyDescent="0.25">
      <c r="A992" s="13" t="s">
        <v>81</v>
      </c>
      <c r="B992" t="s">
        <v>431</v>
      </c>
      <c r="C992" t="str">
        <f t="shared" si="19"/>
        <v>MalaysiaGOLF HD</v>
      </c>
      <c r="D992" s="1">
        <v>3555000</v>
      </c>
      <c r="E992" t="s">
        <v>149</v>
      </c>
      <c r="F992" t="s">
        <v>1072</v>
      </c>
    </row>
    <row r="993" spans="1:6" ht="15" hidden="1" customHeight="1" x14ac:dyDescent="0.25">
      <c r="A993" s="13" t="s">
        <v>82</v>
      </c>
      <c r="B993" t="s">
        <v>1077</v>
      </c>
      <c r="C993" t="str">
        <f t="shared" si="19"/>
        <v>MaltaGo Sports</v>
      </c>
      <c r="D993" s="1">
        <v>66000</v>
      </c>
      <c r="E993" t="s">
        <v>149</v>
      </c>
      <c r="F993" s="118" t="s">
        <v>1078</v>
      </c>
    </row>
    <row r="994" spans="1:6" ht="15" hidden="1" customHeight="1" x14ac:dyDescent="0.25">
      <c r="A994" s="13" t="s">
        <v>82</v>
      </c>
      <c r="B994" t="s">
        <v>1079</v>
      </c>
      <c r="C994" t="str">
        <f t="shared" ref="C994:C1057" si="20">CONCATENATE(A994,B994)</f>
        <v>MaltaGo Sports 1</v>
      </c>
      <c r="D994" s="1">
        <v>66000</v>
      </c>
      <c r="E994" t="s">
        <v>149</v>
      </c>
      <c r="F994" s="118" t="s">
        <v>1078</v>
      </c>
    </row>
    <row r="995" spans="1:6" ht="15" hidden="1" customHeight="1" x14ac:dyDescent="0.25">
      <c r="A995" s="13" t="s">
        <v>82</v>
      </c>
      <c r="B995" t="s">
        <v>1080</v>
      </c>
      <c r="C995" t="str">
        <f t="shared" si="20"/>
        <v>MaltaGO Sports 2</v>
      </c>
      <c r="D995" s="1">
        <v>66000</v>
      </c>
      <c r="E995" t="s">
        <v>149</v>
      </c>
    </row>
    <row r="996" spans="1:6" ht="15" hidden="1" customHeight="1" x14ac:dyDescent="0.25">
      <c r="A996" s="13" t="s">
        <v>82</v>
      </c>
      <c r="B996" t="s">
        <v>1081</v>
      </c>
      <c r="C996" t="str">
        <f t="shared" si="20"/>
        <v>MaltaGO Sports 3</v>
      </c>
      <c r="D996" s="1">
        <v>66000</v>
      </c>
      <c r="E996" t="s">
        <v>149</v>
      </c>
    </row>
    <row r="997" spans="1:6" ht="15" hidden="1" customHeight="1" x14ac:dyDescent="0.25">
      <c r="A997" s="13" t="s">
        <v>82</v>
      </c>
      <c r="B997" t="s">
        <v>1082</v>
      </c>
      <c r="C997" t="str">
        <f t="shared" si="20"/>
        <v>MaltaGO Sports 4</v>
      </c>
      <c r="D997" s="1">
        <v>66000</v>
      </c>
      <c r="E997" t="s">
        <v>149</v>
      </c>
    </row>
    <row r="998" spans="1:6" ht="15" hidden="1" customHeight="1" x14ac:dyDescent="0.25">
      <c r="A998" s="13" t="s">
        <v>82</v>
      </c>
      <c r="B998" t="s">
        <v>1083</v>
      </c>
      <c r="C998" t="str">
        <f t="shared" si="20"/>
        <v>MaltaGO Sports 5</v>
      </c>
      <c r="D998" s="1">
        <v>66000</v>
      </c>
      <c r="E998" t="s">
        <v>149</v>
      </c>
    </row>
    <row r="999" spans="1:6" ht="15" hidden="1" customHeight="1" x14ac:dyDescent="0.25">
      <c r="A999" s="13" t="s">
        <v>82</v>
      </c>
      <c r="B999" t="s">
        <v>1084</v>
      </c>
      <c r="C999" t="str">
        <f t="shared" si="20"/>
        <v>MaltaGO Sports 6</v>
      </c>
      <c r="D999" s="1">
        <v>66000</v>
      </c>
      <c r="E999" t="s">
        <v>149</v>
      </c>
    </row>
    <row r="1000" spans="1:6" ht="15" hidden="1" customHeight="1" x14ac:dyDescent="0.25">
      <c r="A1000" s="13" t="s">
        <v>82</v>
      </c>
      <c r="B1000" t="s">
        <v>1085</v>
      </c>
      <c r="C1000" t="str">
        <f t="shared" si="20"/>
        <v>MaltaGO Sports 7</v>
      </c>
      <c r="D1000" s="1">
        <v>66000</v>
      </c>
      <c r="E1000" t="s">
        <v>149</v>
      </c>
    </row>
    <row r="1001" spans="1:6" ht="15" hidden="1" customHeight="1" x14ac:dyDescent="0.25">
      <c r="A1001" s="13" t="s">
        <v>82</v>
      </c>
      <c r="B1001" t="s">
        <v>1086</v>
      </c>
      <c r="C1001" t="str">
        <f t="shared" si="20"/>
        <v>MaltaGO Sports 8</v>
      </c>
      <c r="D1001" s="1">
        <v>66000</v>
      </c>
      <c r="E1001" t="s">
        <v>149</v>
      </c>
    </row>
    <row r="1002" spans="1:6" ht="15" hidden="1" customHeight="1" x14ac:dyDescent="0.25">
      <c r="A1002" s="13" t="s">
        <v>82</v>
      </c>
      <c r="B1002" t="s">
        <v>493</v>
      </c>
      <c r="C1002" t="str">
        <f t="shared" si="20"/>
        <v>MaltaTSN 1</v>
      </c>
      <c r="D1002" s="1">
        <v>66000</v>
      </c>
      <c r="E1002" t="s">
        <v>149</v>
      </c>
    </row>
    <row r="1003" spans="1:6" ht="15" hidden="1" customHeight="1" x14ac:dyDescent="0.25">
      <c r="A1003" s="209" t="s">
        <v>82</v>
      </c>
      <c r="B1003" s="155" t="s">
        <v>494</v>
      </c>
      <c r="C1003" s="155" t="str">
        <f t="shared" si="20"/>
        <v>MaltaTSN 2</v>
      </c>
      <c r="D1003" s="1">
        <v>66000</v>
      </c>
      <c r="E1003" t="s">
        <v>149</v>
      </c>
      <c r="F1003" s="155"/>
    </row>
    <row r="1004" spans="1:6" ht="15" hidden="1" customHeight="1" x14ac:dyDescent="0.25">
      <c r="A1004" s="209" t="s">
        <v>82</v>
      </c>
      <c r="B1004" s="155" t="s">
        <v>495</v>
      </c>
      <c r="C1004" s="155" t="str">
        <f t="shared" si="20"/>
        <v>MaltaTSN 3</v>
      </c>
      <c r="D1004" s="1">
        <v>66000</v>
      </c>
      <c r="E1004" t="s">
        <v>149</v>
      </c>
      <c r="F1004" s="155"/>
    </row>
    <row r="1005" spans="1:6" ht="15" hidden="1" customHeight="1" x14ac:dyDescent="0.25">
      <c r="A1005" s="209" t="s">
        <v>82</v>
      </c>
      <c r="B1005" s="155" t="s">
        <v>496</v>
      </c>
      <c r="C1005" s="155" t="str">
        <f t="shared" si="20"/>
        <v>MaltaTSN 4</v>
      </c>
      <c r="D1005" s="1">
        <v>66000</v>
      </c>
      <c r="E1005" t="s">
        <v>149</v>
      </c>
      <c r="F1005" s="155"/>
    </row>
    <row r="1006" spans="1:6" ht="15" hidden="1" customHeight="1" x14ac:dyDescent="0.25">
      <c r="A1006" s="209" t="s">
        <v>82</v>
      </c>
      <c r="B1006" s="155" t="s">
        <v>497</v>
      </c>
      <c r="C1006" s="155" t="str">
        <f t="shared" si="20"/>
        <v>MaltaTSN 5</v>
      </c>
      <c r="D1006" s="1">
        <v>66000</v>
      </c>
      <c r="E1006" t="s">
        <v>149</v>
      </c>
      <c r="F1006" s="155"/>
    </row>
    <row r="1007" spans="1:6" ht="15" hidden="1" customHeight="1" x14ac:dyDescent="0.25">
      <c r="A1007" s="13" t="s">
        <v>82</v>
      </c>
      <c r="B1007" t="s">
        <v>1087</v>
      </c>
      <c r="C1007" t="str">
        <f t="shared" si="20"/>
        <v>MaltaTSN 6</v>
      </c>
      <c r="D1007" s="1">
        <v>66000</v>
      </c>
      <c r="E1007" t="s">
        <v>149</v>
      </c>
    </row>
    <row r="1008" spans="1:6" ht="15" hidden="1" customHeight="1" x14ac:dyDescent="0.25">
      <c r="A1008" s="209" t="s">
        <v>82</v>
      </c>
      <c r="B1008" s="155" t="s">
        <v>1088</v>
      </c>
      <c r="C1008" s="155" t="str">
        <f t="shared" si="20"/>
        <v>MaltaTSN 7</v>
      </c>
      <c r="D1008" s="1">
        <v>66000</v>
      </c>
      <c r="E1008" t="s">
        <v>149</v>
      </c>
      <c r="F1008" s="155"/>
    </row>
    <row r="1009" spans="1:6" ht="15" hidden="1" customHeight="1" x14ac:dyDescent="0.25">
      <c r="A1009" s="209" t="s">
        <v>82</v>
      </c>
      <c r="B1009" s="155" t="s">
        <v>1089</v>
      </c>
      <c r="C1009" s="155" t="str">
        <f t="shared" si="20"/>
        <v>MaltaTSN 8</v>
      </c>
      <c r="D1009" s="1">
        <v>66000</v>
      </c>
      <c r="E1009" t="s">
        <v>149</v>
      </c>
      <c r="F1009" s="155"/>
    </row>
    <row r="1010" spans="1:6" ht="15" hidden="1" customHeight="1" x14ac:dyDescent="0.25">
      <c r="A1010" s="13" t="s">
        <v>82</v>
      </c>
      <c r="B1010" t="s">
        <v>1090</v>
      </c>
      <c r="C1010" t="str">
        <f t="shared" si="20"/>
        <v>MaltaTSN1</v>
      </c>
      <c r="D1010" s="1">
        <v>66000</v>
      </c>
      <c r="E1010" t="s">
        <v>149</v>
      </c>
    </row>
    <row r="1011" spans="1:6" ht="15" hidden="1" customHeight="1" x14ac:dyDescent="0.25">
      <c r="A1011" s="33" t="s">
        <v>1091</v>
      </c>
      <c r="B1011" s="35" t="s">
        <v>1092</v>
      </c>
      <c r="C1011" t="str">
        <f t="shared" si="20"/>
        <v>Marshall IslandsOTV</v>
      </c>
      <c r="D1011" s="51">
        <v>2322.6</v>
      </c>
      <c r="E1011" t="s">
        <v>142</v>
      </c>
      <c r="F1011" t="s">
        <v>322</v>
      </c>
    </row>
    <row r="1012" spans="1:6" ht="15" hidden="1" customHeight="1" x14ac:dyDescent="0.25">
      <c r="A1012" s="13" t="s">
        <v>1093</v>
      </c>
      <c r="B1012" t="s">
        <v>1092</v>
      </c>
      <c r="C1012" t="str">
        <f t="shared" si="20"/>
        <v>Marshall Isld.OTV</v>
      </c>
      <c r="D1012" s="1">
        <v>2322.6</v>
      </c>
      <c r="E1012" t="s">
        <v>142</v>
      </c>
      <c r="F1012" t="s">
        <v>322</v>
      </c>
    </row>
    <row r="1013" spans="1:6" ht="15" hidden="1" customHeight="1" x14ac:dyDescent="0.25">
      <c r="A1013" t="s">
        <v>83</v>
      </c>
      <c r="B1013" t="s">
        <v>1094</v>
      </c>
      <c r="C1013" t="str">
        <f t="shared" si="20"/>
        <v>Mexico9 Gala</v>
      </c>
      <c r="D1013" s="1">
        <v>28814000</v>
      </c>
      <c r="E1013" t="s">
        <v>142</v>
      </c>
      <c r="F1013" t="s">
        <v>1095</v>
      </c>
    </row>
    <row r="1014" spans="1:6" ht="15" hidden="1" customHeight="1" x14ac:dyDescent="0.25">
      <c r="A1014" s="58" t="s">
        <v>83</v>
      </c>
      <c r="B1014" s="134" t="s">
        <v>554</v>
      </c>
      <c r="C1014" t="str">
        <f t="shared" si="20"/>
        <v>MexicoClaro Sports</v>
      </c>
      <c r="D1014" s="1">
        <v>3400000</v>
      </c>
      <c r="E1014" t="s">
        <v>149</v>
      </c>
      <c r="F1014" t="s">
        <v>1096</v>
      </c>
    </row>
    <row r="1015" spans="1:6" ht="15" hidden="1" customHeight="1" x14ac:dyDescent="0.25">
      <c r="A1015" s="103" t="s">
        <v>83</v>
      </c>
      <c r="B1015" s="104" t="s">
        <v>183</v>
      </c>
      <c r="C1015" t="str">
        <f t="shared" si="20"/>
        <v>MexicoESPN</v>
      </c>
      <c r="D1015" s="1">
        <v>8173540</v>
      </c>
      <c r="E1015" t="s">
        <v>149</v>
      </c>
    </row>
    <row r="1016" spans="1:6" ht="15" hidden="1" customHeight="1" x14ac:dyDescent="0.25">
      <c r="A1016" s="220" t="s">
        <v>83</v>
      </c>
      <c r="B1016" s="145" t="s">
        <v>184</v>
      </c>
      <c r="C1016" s="11" t="str">
        <f t="shared" si="20"/>
        <v>MexicoESPN +</v>
      </c>
      <c r="D1016" s="1">
        <v>8173540</v>
      </c>
      <c r="E1016" t="s">
        <v>149</v>
      </c>
      <c r="F1016" s="11"/>
    </row>
    <row r="1017" spans="1:6" ht="15" hidden="1" customHeight="1" x14ac:dyDescent="0.25">
      <c r="A1017" s="13" t="s">
        <v>83</v>
      </c>
      <c r="B1017" t="s">
        <v>185</v>
      </c>
      <c r="C1017" t="str">
        <f t="shared" si="20"/>
        <v>MexicoESPN 2</v>
      </c>
      <c r="D1017" s="1">
        <v>8173540</v>
      </c>
      <c r="E1017" t="s">
        <v>149</v>
      </c>
    </row>
    <row r="1018" spans="1:6" ht="15" hidden="1" customHeight="1" x14ac:dyDescent="0.25">
      <c r="A1018" s="13" t="s">
        <v>83</v>
      </c>
      <c r="B1018" t="s">
        <v>186</v>
      </c>
      <c r="C1018" t="str">
        <f t="shared" si="20"/>
        <v>MexicoESPN 3</v>
      </c>
      <c r="D1018" s="1">
        <v>8173540</v>
      </c>
      <c r="E1018" t="s">
        <v>149</v>
      </c>
    </row>
    <row r="1019" spans="1:6" ht="15" hidden="1" customHeight="1" x14ac:dyDescent="0.25">
      <c r="A1019" s="13" t="s">
        <v>83</v>
      </c>
      <c r="B1019" s="54" t="s">
        <v>187</v>
      </c>
      <c r="C1019" t="str">
        <f t="shared" si="20"/>
        <v>MexicoESPN Deportes</v>
      </c>
      <c r="D1019" s="1">
        <v>8173540</v>
      </c>
      <c r="E1019" t="s">
        <v>149</v>
      </c>
    </row>
    <row r="1020" spans="1:6" ht="15" hidden="1" customHeight="1" x14ac:dyDescent="0.25">
      <c r="A1020" s="13" t="s">
        <v>83</v>
      </c>
      <c r="B1020" s="40" t="s">
        <v>188</v>
      </c>
      <c r="C1020" t="str">
        <f t="shared" si="20"/>
        <v>MexicoESPN Dos</v>
      </c>
      <c r="D1020" s="1">
        <v>8173540</v>
      </c>
      <c r="E1020" t="s">
        <v>149</v>
      </c>
    </row>
    <row r="1021" spans="1:6" ht="15" hidden="1" customHeight="1" x14ac:dyDescent="0.25">
      <c r="A1021" s="13" t="s">
        <v>83</v>
      </c>
      <c r="B1021" s="40" t="s">
        <v>189</v>
      </c>
      <c r="C1021" t="str">
        <f t="shared" si="20"/>
        <v>MexicoESPN HD</v>
      </c>
      <c r="D1021" s="1">
        <v>8173540</v>
      </c>
      <c r="E1021" t="s">
        <v>149</v>
      </c>
    </row>
    <row r="1022" spans="1:6" ht="15" hidden="1" customHeight="1" x14ac:dyDescent="0.25">
      <c r="A1022" s="13" t="s">
        <v>83</v>
      </c>
      <c r="B1022" t="s">
        <v>190</v>
      </c>
      <c r="C1022" t="str">
        <f t="shared" si="20"/>
        <v>MexicoESPN Internacional</v>
      </c>
      <c r="D1022" s="1">
        <v>8173540</v>
      </c>
      <c r="E1022" t="s">
        <v>149</v>
      </c>
    </row>
    <row r="1023" spans="1:6" ht="15" hidden="1" customHeight="1" x14ac:dyDescent="0.25">
      <c r="A1023" s="221" t="s">
        <v>83</v>
      </c>
      <c r="B1023" s="184" t="s">
        <v>191</v>
      </c>
      <c r="C1023" t="str">
        <f t="shared" si="20"/>
        <v>MexicoESPN Latin</v>
      </c>
      <c r="D1023" s="1">
        <v>8173540</v>
      </c>
      <c r="E1023" t="s">
        <v>149</v>
      </c>
    </row>
    <row r="1024" spans="1:6" ht="15" hidden="1" customHeight="1" x14ac:dyDescent="0.25">
      <c r="A1024" s="13" t="s">
        <v>83</v>
      </c>
      <c r="B1024" t="s">
        <v>1097</v>
      </c>
      <c r="C1024" t="str">
        <f t="shared" si="20"/>
        <v>MexicoESPN Mexico</v>
      </c>
      <c r="D1024" s="1">
        <v>8173540</v>
      </c>
      <c r="E1024" t="s">
        <v>149</v>
      </c>
    </row>
    <row r="1025" spans="1:9" ht="15" hidden="1" customHeight="1" x14ac:dyDescent="0.25">
      <c r="A1025" s="13" t="s">
        <v>83</v>
      </c>
      <c r="B1025" t="s">
        <v>192</v>
      </c>
      <c r="C1025" t="str">
        <f t="shared" si="20"/>
        <v>MexicoESPN+</v>
      </c>
      <c r="D1025" s="1">
        <v>8173540</v>
      </c>
      <c r="E1025" t="s">
        <v>149</v>
      </c>
    </row>
    <row r="1026" spans="1:9" ht="15" hidden="1" customHeight="1" x14ac:dyDescent="0.25">
      <c r="A1026" s="13" t="s">
        <v>83</v>
      </c>
      <c r="B1026" t="s">
        <v>194</v>
      </c>
      <c r="C1026" t="str">
        <f t="shared" si="20"/>
        <v>MexicoFox Sports</v>
      </c>
      <c r="D1026">
        <v>4663970</v>
      </c>
      <c r="E1026" t="s">
        <v>149</v>
      </c>
    </row>
    <row r="1027" spans="1:9" ht="15" hidden="1" customHeight="1" x14ac:dyDescent="0.25">
      <c r="A1027" s="13" t="s">
        <v>83</v>
      </c>
      <c r="B1027" t="s">
        <v>195</v>
      </c>
      <c r="C1027" t="str">
        <f t="shared" si="20"/>
        <v>MexicoFox Sports 2</v>
      </c>
      <c r="D1027" s="1">
        <v>4663970</v>
      </c>
      <c r="E1027" t="s">
        <v>149</v>
      </c>
    </row>
    <row r="1028" spans="1:9" ht="15" hidden="1" customHeight="1" x14ac:dyDescent="0.25">
      <c r="A1028" s="13" t="s">
        <v>83</v>
      </c>
      <c r="B1028" t="s">
        <v>197</v>
      </c>
      <c r="C1028" t="str">
        <f t="shared" si="20"/>
        <v>MexicoFox Sports 3</v>
      </c>
      <c r="D1028" s="1">
        <v>4663970</v>
      </c>
      <c r="E1028" t="s">
        <v>149</v>
      </c>
      <c r="F1028" t="s">
        <v>198</v>
      </c>
    </row>
    <row r="1029" spans="1:9" ht="15" hidden="1" customHeight="1" x14ac:dyDescent="0.25">
      <c r="A1029" s="13" t="s">
        <v>83</v>
      </c>
      <c r="B1029" t="s">
        <v>199</v>
      </c>
      <c r="C1029" t="str">
        <f t="shared" si="20"/>
        <v>MexicoFox Sports HD</v>
      </c>
      <c r="D1029" s="1">
        <v>1360924</v>
      </c>
      <c r="E1029" t="s">
        <v>149</v>
      </c>
      <c r="F1029" t="s">
        <v>200</v>
      </c>
    </row>
    <row r="1030" spans="1:9" ht="15" hidden="1" customHeight="1" x14ac:dyDescent="0.25">
      <c r="A1030" s="39" t="s">
        <v>83</v>
      </c>
      <c r="B1030" t="s">
        <v>1098</v>
      </c>
      <c r="C1030" t="str">
        <f t="shared" si="20"/>
        <v>MexicoGala TV</v>
      </c>
      <c r="D1030" s="1">
        <v>28814000</v>
      </c>
      <c r="E1030" t="s">
        <v>142</v>
      </c>
      <c r="F1030" t="s">
        <v>1095</v>
      </c>
    </row>
    <row r="1031" spans="1:9" ht="15" hidden="1" customHeight="1" x14ac:dyDescent="0.25">
      <c r="A1031" s="13" t="s">
        <v>83</v>
      </c>
      <c r="B1031" t="s">
        <v>558</v>
      </c>
      <c r="C1031" t="str">
        <f t="shared" si="20"/>
        <v>MexicoSky</v>
      </c>
      <c r="D1031" s="1">
        <v>6913000</v>
      </c>
      <c r="E1031" t="s">
        <v>149</v>
      </c>
      <c r="F1031" t="s">
        <v>559</v>
      </c>
    </row>
    <row r="1032" spans="1:9" ht="15" hidden="1" customHeight="1" x14ac:dyDescent="0.25">
      <c r="A1032" s="13" t="s">
        <v>83</v>
      </c>
      <c r="B1032" t="s">
        <v>1099</v>
      </c>
      <c r="C1032" t="str">
        <f t="shared" si="20"/>
        <v>MexicoSky Mexico</v>
      </c>
      <c r="D1032" s="1">
        <v>6770000</v>
      </c>
      <c r="E1032" t="s">
        <v>149</v>
      </c>
      <c r="F1032" t="s">
        <v>792</v>
      </c>
    </row>
    <row r="1033" spans="1:9" ht="15" hidden="1" customHeight="1" x14ac:dyDescent="0.25">
      <c r="A1033" s="13" t="s">
        <v>83</v>
      </c>
      <c r="B1033" t="s">
        <v>283</v>
      </c>
      <c r="C1033" t="str">
        <f t="shared" si="20"/>
        <v>MexicoSky Sport 1</v>
      </c>
      <c r="D1033" s="1">
        <v>6770000</v>
      </c>
      <c r="E1033" t="s">
        <v>149</v>
      </c>
      <c r="F1033" t="s">
        <v>792</v>
      </c>
    </row>
    <row r="1034" spans="1:9" ht="15" hidden="1" customHeight="1" x14ac:dyDescent="0.25">
      <c r="A1034" s="13" t="s">
        <v>83</v>
      </c>
      <c r="B1034" t="s">
        <v>1100</v>
      </c>
      <c r="C1034" t="str">
        <f t="shared" si="20"/>
        <v>MexicoTDN</v>
      </c>
      <c r="D1034" s="1">
        <v>4000000</v>
      </c>
      <c r="E1034" t="s">
        <v>149</v>
      </c>
      <c r="F1034" t="s">
        <v>1101</v>
      </c>
    </row>
    <row r="1035" spans="1:9" ht="15" hidden="1" customHeight="1" x14ac:dyDescent="0.25">
      <c r="A1035" s="39" t="s">
        <v>1102</v>
      </c>
      <c r="B1035" t="s">
        <v>1092</v>
      </c>
      <c r="C1035" t="str">
        <f t="shared" si="20"/>
        <v>MicronesiaOTV</v>
      </c>
      <c r="D1035" s="1">
        <v>8871.4285714285706</v>
      </c>
      <c r="E1035" t="s">
        <v>142</v>
      </c>
      <c r="F1035" t="s">
        <v>322</v>
      </c>
    </row>
    <row r="1036" spans="1:9" ht="15" hidden="1" customHeight="1" x14ac:dyDescent="0.25">
      <c r="A1036" s="13" t="s">
        <v>1103</v>
      </c>
      <c r="B1036" t="s">
        <v>1104</v>
      </c>
      <c r="C1036" t="str">
        <f t="shared" si="20"/>
        <v>MoldovaTRM</v>
      </c>
      <c r="D1036" s="1">
        <v>1084750</v>
      </c>
      <c r="E1036" t="s">
        <v>142</v>
      </c>
      <c r="F1036" t="s">
        <v>1105</v>
      </c>
    </row>
    <row r="1037" spans="1:9" ht="15" hidden="1" customHeight="1" x14ac:dyDescent="0.25">
      <c r="A1037" s="13" t="s">
        <v>84</v>
      </c>
      <c r="B1037" t="s">
        <v>707</v>
      </c>
      <c r="C1037" t="str">
        <f t="shared" si="20"/>
        <v>MonacoC8</v>
      </c>
      <c r="D1037" s="1">
        <v>14230</v>
      </c>
      <c r="E1037" t="s">
        <v>142</v>
      </c>
      <c r="F1037" t="s">
        <v>1106</v>
      </c>
    </row>
    <row r="1038" spans="1:9" ht="15" hidden="1" customHeight="1" x14ac:dyDescent="0.25">
      <c r="A1038" s="13" t="s">
        <v>84</v>
      </c>
      <c r="B1038" t="s">
        <v>712</v>
      </c>
      <c r="C1038" t="str">
        <f t="shared" si="20"/>
        <v>MonacoCanal + Sport</v>
      </c>
      <c r="D1038" s="1">
        <v>3800</v>
      </c>
      <c r="E1038" t="s">
        <v>149</v>
      </c>
      <c r="F1038" t="s">
        <v>1107</v>
      </c>
    </row>
    <row r="1039" spans="1:9" ht="15" hidden="1" customHeight="1" x14ac:dyDescent="0.25">
      <c r="A1039" s="13" t="s">
        <v>84</v>
      </c>
      <c r="B1039" t="s">
        <v>714</v>
      </c>
      <c r="C1039" t="str">
        <f t="shared" si="20"/>
        <v>MonacoCanal+</v>
      </c>
      <c r="D1039" s="1">
        <v>11025</v>
      </c>
      <c r="E1039" t="s">
        <v>142</v>
      </c>
      <c r="F1039" t="s">
        <v>1108</v>
      </c>
      <c r="I1039" s="51"/>
    </row>
    <row r="1040" spans="1:9" ht="15" hidden="1" customHeight="1" x14ac:dyDescent="0.25">
      <c r="A1040" s="13" t="s">
        <v>84</v>
      </c>
      <c r="B1040" t="s">
        <v>163</v>
      </c>
      <c r="C1040" t="str">
        <f t="shared" si="20"/>
        <v>MonacoFrance 2</v>
      </c>
      <c r="D1040" s="1">
        <v>16470</v>
      </c>
      <c r="E1040" t="s">
        <v>142</v>
      </c>
      <c r="F1040" t="s">
        <v>1109</v>
      </c>
    </row>
    <row r="1041" spans="1:6" ht="15" hidden="1" customHeight="1" x14ac:dyDescent="0.25">
      <c r="A1041" s="33" t="s">
        <v>84</v>
      </c>
      <c r="B1041" s="35" t="s">
        <v>165</v>
      </c>
      <c r="C1041" t="str">
        <f t="shared" si="20"/>
        <v>MonacoFrance2</v>
      </c>
      <c r="D1041" s="1">
        <v>16470</v>
      </c>
      <c r="E1041" t="s">
        <v>142</v>
      </c>
      <c r="F1041" t="s">
        <v>1109</v>
      </c>
    </row>
    <row r="1042" spans="1:6" ht="15" hidden="1" customHeight="1" x14ac:dyDescent="0.25">
      <c r="A1042" s="205" t="s">
        <v>86</v>
      </c>
      <c r="B1042" s="11" t="s">
        <v>268</v>
      </c>
      <c r="C1042" s="11" t="str">
        <f t="shared" si="20"/>
        <v>MontenegroEurosport 1</v>
      </c>
      <c r="D1042" s="1">
        <v>18465.537231911869</v>
      </c>
      <c r="E1042" t="s">
        <v>149</v>
      </c>
      <c r="F1042" s="11"/>
    </row>
    <row r="1043" spans="1:6" ht="15" hidden="1" customHeight="1" x14ac:dyDescent="0.25">
      <c r="A1043" s="13" t="s">
        <v>86</v>
      </c>
      <c r="B1043" t="s">
        <v>269</v>
      </c>
      <c r="C1043" t="str">
        <f t="shared" si="20"/>
        <v>MontenegroEurosport 2</v>
      </c>
      <c r="D1043" s="1">
        <v>11824.086210870799</v>
      </c>
      <c r="E1043" t="s">
        <v>149</v>
      </c>
    </row>
    <row r="1044" spans="1:6" ht="15" hidden="1" customHeight="1" x14ac:dyDescent="0.25">
      <c r="A1044" s="39" t="s">
        <v>86</v>
      </c>
      <c r="B1044" t="s">
        <v>1110</v>
      </c>
      <c r="C1044" t="str">
        <f t="shared" si="20"/>
        <v>MontenegroRTCG</v>
      </c>
      <c r="D1044" s="1">
        <v>467000</v>
      </c>
      <c r="E1044" t="s">
        <v>142</v>
      </c>
    </row>
    <row r="1045" spans="1:6" ht="15" hidden="1" customHeight="1" x14ac:dyDescent="0.25">
      <c r="A1045" s="201" t="s">
        <v>86</v>
      </c>
      <c r="B1045" s="175" t="s">
        <v>1111</v>
      </c>
      <c r="C1045" s="175" t="str">
        <f t="shared" si="20"/>
        <v>MontenegroRTCG 2</v>
      </c>
      <c r="D1045" s="176">
        <v>467000</v>
      </c>
      <c r="E1045" s="175" t="s">
        <v>142</v>
      </c>
      <c r="F1045" s="175"/>
    </row>
    <row r="1046" spans="1:6" ht="15" hidden="1" customHeight="1" x14ac:dyDescent="0.25">
      <c r="A1046" s="13" t="s">
        <v>86</v>
      </c>
      <c r="B1046" t="s">
        <v>1112</v>
      </c>
      <c r="C1046" t="str">
        <f t="shared" si="20"/>
        <v xml:space="preserve">MontenegroRTCG 2 </v>
      </c>
      <c r="D1046" s="1">
        <v>467000</v>
      </c>
      <c r="E1046" t="s">
        <v>142</v>
      </c>
    </row>
    <row r="1047" spans="1:6" ht="15" hidden="1" customHeight="1" x14ac:dyDescent="0.25">
      <c r="A1047" s="218" t="s">
        <v>86</v>
      </c>
      <c r="B1047" s="162" t="s">
        <v>1113</v>
      </c>
      <c r="C1047" s="162" t="str">
        <f t="shared" si="20"/>
        <v>MontenegroRTCG1</v>
      </c>
      <c r="D1047" s="1">
        <v>467000</v>
      </c>
      <c r="E1047" t="s">
        <v>142</v>
      </c>
      <c r="F1047" s="162"/>
    </row>
    <row r="1048" spans="1:6" ht="15" hidden="1" customHeight="1" x14ac:dyDescent="0.25">
      <c r="A1048" s="208" t="s">
        <v>86</v>
      </c>
      <c r="B1048" s="166" t="s">
        <v>1114</v>
      </c>
      <c r="C1048" s="162" t="str">
        <f t="shared" si="20"/>
        <v>MontenegroRTCG2</v>
      </c>
      <c r="D1048" s="1">
        <v>467000</v>
      </c>
      <c r="E1048" t="s">
        <v>142</v>
      </c>
      <c r="F1048" s="162"/>
    </row>
    <row r="1049" spans="1:6" ht="15" hidden="1" customHeight="1" x14ac:dyDescent="0.25">
      <c r="A1049" s="13" t="s">
        <v>86</v>
      </c>
      <c r="B1049" t="s">
        <v>396</v>
      </c>
      <c r="C1049" t="str">
        <f t="shared" si="20"/>
        <v>MontenegroSport Klub 1</v>
      </c>
      <c r="D1049" s="1">
        <v>20000</v>
      </c>
      <c r="E1049" t="s">
        <v>149</v>
      </c>
      <c r="F1049" t="s">
        <v>393</v>
      </c>
    </row>
    <row r="1050" spans="1:6" ht="15" hidden="1" customHeight="1" x14ac:dyDescent="0.25">
      <c r="A1050" s="202" t="s">
        <v>86</v>
      </c>
      <c r="B1050" s="175" t="s">
        <v>397</v>
      </c>
      <c r="C1050" s="175" t="str">
        <f t="shared" si="20"/>
        <v>MontenegroSport Klub 10</v>
      </c>
      <c r="D1050" s="176">
        <v>20000</v>
      </c>
      <c r="E1050" s="175" t="s">
        <v>149</v>
      </c>
      <c r="F1050" s="175"/>
    </row>
    <row r="1051" spans="1:6" ht="15" hidden="1" customHeight="1" x14ac:dyDescent="0.25">
      <c r="A1051" s="13" t="s">
        <v>86</v>
      </c>
      <c r="B1051" t="s">
        <v>398</v>
      </c>
      <c r="C1051" t="str">
        <f t="shared" si="20"/>
        <v>MontenegroSport Klub 2</v>
      </c>
      <c r="D1051" s="1">
        <v>20000</v>
      </c>
      <c r="E1051" t="s">
        <v>149</v>
      </c>
      <c r="F1051" t="s">
        <v>393</v>
      </c>
    </row>
    <row r="1052" spans="1:6" ht="15" hidden="1" customHeight="1" x14ac:dyDescent="0.25">
      <c r="A1052" s="13" t="s">
        <v>86</v>
      </c>
      <c r="B1052" t="s">
        <v>399</v>
      </c>
      <c r="C1052" t="str">
        <f t="shared" si="20"/>
        <v>MontenegroSport Klub 3</v>
      </c>
      <c r="D1052" s="1">
        <v>20000</v>
      </c>
      <c r="E1052" t="s">
        <v>149</v>
      </c>
      <c r="F1052" t="s">
        <v>393</v>
      </c>
    </row>
    <row r="1053" spans="1:6" ht="15" hidden="1" customHeight="1" x14ac:dyDescent="0.25">
      <c r="A1053" s="13" t="s">
        <v>86</v>
      </c>
      <c r="B1053" t="s">
        <v>400</v>
      </c>
      <c r="C1053" t="str">
        <f t="shared" si="20"/>
        <v>MontenegroSport Klub 4</v>
      </c>
      <c r="D1053" s="1">
        <v>20000</v>
      </c>
      <c r="E1053" t="s">
        <v>149</v>
      </c>
      <c r="F1053" t="s">
        <v>393</v>
      </c>
    </row>
    <row r="1054" spans="1:6" ht="15" hidden="1" customHeight="1" x14ac:dyDescent="0.25">
      <c r="A1054" s="13" t="s">
        <v>86</v>
      </c>
      <c r="B1054" t="s">
        <v>401</v>
      </c>
      <c r="C1054" t="str">
        <f t="shared" si="20"/>
        <v>MontenegroSport Klub 5</v>
      </c>
      <c r="D1054" s="1">
        <v>20000</v>
      </c>
      <c r="E1054" t="s">
        <v>149</v>
      </c>
      <c r="F1054" t="s">
        <v>393</v>
      </c>
    </row>
    <row r="1055" spans="1:6" ht="15" hidden="1" customHeight="1" x14ac:dyDescent="0.25">
      <c r="A1055" s="13" t="s">
        <v>86</v>
      </c>
      <c r="B1055" t="s">
        <v>402</v>
      </c>
      <c r="C1055" t="str">
        <f t="shared" si="20"/>
        <v>MontenegroSport Klub 6</v>
      </c>
      <c r="D1055" s="1">
        <v>20000</v>
      </c>
      <c r="E1055" t="s">
        <v>149</v>
      </c>
    </row>
    <row r="1056" spans="1:6" ht="15" hidden="1" customHeight="1" x14ac:dyDescent="0.25">
      <c r="A1056" s="209" t="s">
        <v>86</v>
      </c>
      <c r="B1056" s="155" t="s">
        <v>403</v>
      </c>
      <c r="C1056" s="155" t="str">
        <f t="shared" si="20"/>
        <v>MontenegroSport Klub 7</v>
      </c>
      <c r="D1056" s="156">
        <v>20000</v>
      </c>
      <c r="E1056" s="155" t="s">
        <v>149</v>
      </c>
      <c r="F1056" s="155"/>
    </row>
    <row r="1057" spans="1:6" ht="15" hidden="1" customHeight="1" x14ac:dyDescent="0.25">
      <c r="A1057" s="209" t="s">
        <v>86</v>
      </c>
      <c r="B1057" s="155" t="s">
        <v>404</v>
      </c>
      <c r="C1057" s="155" t="str">
        <f t="shared" si="20"/>
        <v>MontenegroSport Klub 8</v>
      </c>
      <c r="D1057" s="156">
        <v>20000</v>
      </c>
      <c r="E1057" s="155" t="s">
        <v>149</v>
      </c>
      <c r="F1057" s="155"/>
    </row>
    <row r="1058" spans="1:6" ht="15" hidden="1" customHeight="1" x14ac:dyDescent="0.25">
      <c r="A1058" s="209" t="s">
        <v>86</v>
      </c>
      <c r="B1058" s="155" t="s">
        <v>405</v>
      </c>
      <c r="C1058" s="155" t="str">
        <f t="shared" ref="C1058:C1121" si="21">CONCATENATE(A1058,B1058)</f>
        <v>MontenegroSport Klub 9</v>
      </c>
      <c r="D1058" s="156">
        <v>20000</v>
      </c>
      <c r="E1058" s="155" t="s">
        <v>149</v>
      </c>
      <c r="F1058" s="155"/>
    </row>
    <row r="1059" spans="1:6" ht="15" hidden="1" customHeight="1" x14ac:dyDescent="0.25">
      <c r="A1059" s="13" t="s">
        <v>86</v>
      </c>
      <c r="B1059" t="s">
        <v>406</v>
      </c>
      <c r="C1059" t="str">
        <f t="shared" si="21"/>
        <v>MontenegroSport Klub Golf</v>
      </c>
      <c r="D1059" s="1">
        <v>20000</v>
      </c>
      <c r="E1059" t="s">
        <v>149</v>
      </c>
      <c r="F1059" t="s">
        <v>393</v>
      </c>
    </row>
    <row r="1060" spans="1:6" ht="15" hidden="1" customHeight="1" x14ac:dyDescent="0.25">
      <c r="A1060" s="13" t="s">
        <v>86</v>
      </c>
      <c r="B1060" t="s">
        <v>407</v>
      </c>
      <c r="C1060" t="str">
        <f t="shared" si="21"/>
        <v>MontenegroSport Klub HD</v>
      </c>
      <c r="D1060" s="1">
        <v>20000</v>
      </c>
      <c r="E1060" t="s">
        <v>149</v>
      </c>
      <c r="F1060" t="s">
        <v>393</v>
      </c>
    </row>
    <row r="1061" spans="1:6" ht="15" hidden="1" customHeight="1" x14ac:dyDescent="0.25">
      <c r="A1061" t="s">
        <v>86</v>
      </c>
      <c r="B1061" t="s">
        <v>1115</v>
      </c>
      <c r="C1061" t="str">
        <f t="shared" si="21"/>
        <v>MontenegroTVCG1</v>
      </c>
      <c r="D1061" s="1">
        <v>467000</v>
      </c>
      <c r="E1061" t="s">
        <v>142</v>
      </c>
    </row>
    <row r="1062" spans="1:6" ht="15" hidden="1" customHeight="1" x14ac:dyDescent="0.25">
      <c r="A1062" t="s">
        <v>86</v>
      </c>
      <c r="B1062" t="s">
        <v>1116</v>
      </c>
      <c r="C1062" t="str">
        <f t="shared" si="21"/>
        <v>MontenegroTVCG2</v>
      </c>
      <c r="D1062" s="1">
        <v>467000</v>
      </c>
      <c r="E1062" t="s">
        <v>142</v>
      </c>
    </row>
    <row r="1063" spans="1:6" ht="15" hidden="1" customHeight="1" x14ac:dyDescent="0.25">
      <c r="A1063" s="13" t="s">
        <v>1117</v>
      </c>
      <c r="B1063" t="s">
        <v>1118</v>
      </c>
      <c r="C1063" t="str">
        <f t="shared" si="21"/>
        <v>MozambiqueSOICO</v>
      </c>
      <c r="D1063" s="1">
        <v>66450</v>
      </c>
      <c r="E1063" t="s">
        <v>142</v>
      </c>
      <c r="F1063" t="s">
        <v>986</v>
      </c>
    </row>
    <row r="1064" spans="1:6" ht="15" hidden="1" customHeight="1" x14ac:dyDescent="0.25">
      <c r="A1064" s="13" t="s">
        <v>88</v>
      </c>
      <c r="B1064" t="s">
        <v>1119</v>
      </c>
      <c r="C1064" t="str">
        <f t="shared" si="21"/>
        <v>MyanmarSkynet</v>
      </c>
      <c r="D1064" s="1">
        <v>4600</v>
      </c>
      <c r="E1064" t="s">
        <v>149</v>
      </c>
    </row>
    <row r="1065" spans="1:6" ht="15" hidden="1" customHeight="1" x14ac:dyDescent="0.25">
      <c r="A1065" s="13" t="s">
        <v>1120</v>
      </c>
      <c r="B1065" t="s">
        <v>1121</v>
      </c>
      <c r="C1065" t="str">
        <f t="shared" si="21"/>
        <v>NamibiaNBC</v>
      </c>
      <c r="D1065" s="1">
        <v>197400</v>
      </c>
      <c r="E1065" t="s">
        <v>142</v>
      </c>
      <c r="F1065" t="s">
        <v>986</v>
      </c>
    </row>
    <row r="1066" spans="1:6" ht="15" hidden="1" customHeight="1" x14ac:dyDescent="0.25">
      <c r="A1066" s="13" t="s">
        <v>1122</v>
      </c>
      <c r="B1066" t="s">
        <v>672</v>
      </c>
      <c r="C1066" t="str">
        <f t="shared" si="21"/>
        <v>NauruFiji TV</v>
      </c>
      <c r="D1066" s="1">
        <v>500</v>
      </c>
      <c r="E1066" t="s">
        <v>142</v>
      </c>
      <c r="F1066" t="s">
        <v>986</v>
      </c>
    </row>
    <row r="1067" spans="1:6" ht="15" hidden="1" customHeight="1" x14ac:dyDescent="0.25">
      <c r="A1067" s="13" t="s">
        <v>1123</v>
      </c>
      <c r="B1067" t="s">
        <v>270</v>
      </c>
      <c r="C1067" t="str">
        <f t="shared" si="21"/>
        <v>NepalNTV</v>
      </c>
      <c r="D1067" s="1">
        <v>1697995</v>
      </c>
      <c r="E1067" t="s">
        <v>142</v>
      </c>
      <c r="F1067" t="s">
        <v>986</v>
      </c>
    </row>
    <row r="1068" spans="1:6" ht="15" hidden="1" customHeight="1" x14ac:dyDescent="0.25">
      <c r="A1068" s="33" t="s">
        <v>89</v>
      </c>
      <c r="B1068" s="35" t="s">
        <v>334</v>
      </c>
      <c r="C1068" t="str">
        <f t="shared" si="21"/>
        <v>NetherlandsEEN</v>
      </c>
      <c r="D1068" s="1">
        <v>7590000</v>
      </c>
      <c r="E1068" t="s">
        <v>142</v>
      </c>
      <c r="F1068" t="s">
        <v>1124</v>
      </c>
    </row>
    <row r="1069" spans="1:6" ht="15" hidden="1" customHeight="1" x14ac:dyDescent="0.25">
      <c r="A1069" s="13" t="s">
        <v>89</v>
      </c>
      <c r="B1069" t="s">
        <v>221</v>
      </c>
      <c r="C1069" t="str">
        <f t="shared" si="21"/>
        <v>NetherlandsEurosport</v>
      </c>
      <c r="D1069" s="51">
        <v>7455000</v>
      </c>
      <c r="E1069" s="51" t="s">
        <v>149</v>
      </c>
    </row>
    <row r="1070" spans="1:6" ht="15" hidden="1" customHeight="1" x14ac:dyDescent="0.25">
      <c r="A1070" s="205" t="s">
        <v>89</v>
      </c>
      <c r="B1070" s="11" t="s">
        <v>268</v>
      </c>
      <c r="C1070" s="11" t="str">
        <f t="shared" si="21"/>
        <v>NetherlandsEurosport 1</v>
      </c>
      <c r="D1070" s="1">
        <v>7455000</v>
      </c>
      <c r="E1070" t="s">
        <v>149</v>
      </c>
      <c r="F1070" s="11"/>
    </row>
    <row r="1071" spans="1:6" ht="15" hidden="1" customHeight="1" x14ac:dyDescent="0.25">
      <c r="A1071" s="203" t="s">
        <v>89</v>
      </c>
      <c r="B1071" s="147" t="s">
        <v>269</v>
      </c>
      <c r="C1071" s="11" t="str">
        <f t="shared" si="21"/>
        <v>NetherlandsEurosport 2</v>
      </c>
      <c r="D1071" s="22">
        <v>1871000</v>
      </c>
      <c r="E1071" t="s">
        <v>149</v>
      </c>
      <c r="F1071" s="11"/>
    </row>
    <row r="1072" spans="1:6" ht="15" hidden="1" customHeight="1" x14ac:dyDescent="0.25">
      <c r="A1072" t="s">
        <v>89</v>
      </c>
      <c r="B1072" t="s">
        <v>468</v>
      </c>
      <c r="C1072" t="str">
        <f t="shared" si="21"/>
        <v>NetherlandsFox Sports 1</v>
      </c>
      <c r="D1072" s="1">
        <v>3780000</v>
      </c>
      <c r="E1072" t="s">
        <v>149</v>
      </c>
      <c r="F1072" t="s">
        <v>1125</v>
      </c>
    </row>
    <row r="1073" spans="1:6" ht="15" hidden="1" customHeight="1" x14ac:dyDescent="0.25">
      <c r="A1073" t="s">
        <v>89</v>
      </c>
      <c r="B1073" t="s">
        <v>1126</v>
      </c>
      <c r="C1073" t="str">
        <f t="shared" si="21"/>
        <v>NetherlandsFox Sports 1 Eredivisie</v>
      </c>
      <c r="D1073" s="1">
        <v>3780000</v>
      </c>
      <c r="E1073" t="s">
        <v>149</v>
      </c>
      <c r="F1073" t="s">
        <v>1125</v>
      </c>
    </row>
    <row r="1074" spans="1:6" ht="15" hidden="1" customHeight="1" x14ac:dyDescent="0.25">
      <c r="A1074" s="13" t="s">
        <v>89</v>
      </c>
      <c r="B1074" t="s">
        <v>225</v>
      </c>
      <c r="C1074" t="str">
        <f t="shared" si="21"/>
        <v>NetherlandsFOX Sports 2</v>
      </c>
      <c r="D1074" s="1">
        <v>3780000</v>
      </c>
      <c r="E1074" t="s">
        <v>149</v>
      </c>
      <c r="F1074" t="s">
        <v>1125</v>
      </c>
    </row>
    <row r="1075" spans="1:6" ht="15" hidden="1" customHeight="1" x14ac:dyDescent="0.25">
      <c r="A1075" s="34" t="s">
        <v>89</v>
      </c>
      <c r="B1075" s="34" t="s">
        <v>1127</v>
      </c>
      <c r="C1075" t="str">
        <f t="shared" si="21"/>
        <v>NetherlandsFox Sports 4</v>
      </c>
      <c r="D1075" s="1">
        <v>3780000</v>
      </c>
      <c r="E1075" t="s">
        <v>149</v>
      </c>
      <c r="F1075" t="s">
        <v>1125</v>
      </c>
    </row>
    <row r="1076" spans="1:6" ht="15" hidden="1" customHeight="1" x14ac:dyDescent="0.25">
      <c r="A1076" t="s">
        <v>89</v>
      </c>
      <c r="B1076" t="s">
        <v>1128</v>
      </c>
      <c r="C1076" t="str">
        <f t="shared" si="21"/>
        <v>NetherlandsFox Sports 5</v>
      </c>
      <c r="D1076" s="1">
        <v>3780000</v>
      </c>
      <c r="E1076" t="s">
        <v>149</v>
      </c>
      <c r="F1076" t="s">
        <v>1125</v>
      </c>
    </row>
    <row r="1077" spans="1:6" ht="15" hidden="1" customHeight="1" x14ac:dyDescent="0.25">
      <c r="A1077" s="13" t="s">
        <v>89</v>
      </c>
      <c r="B1077" t="s">
        <v>233</v>
      </c>
      <c r="C1077" t="str">
        <f t="shared" si="21"/>
        <v>NetherlandsFox Sports 6</v>
      </c>
      <c r="D1077" s="1">
        <v>3780000</v>
      </c>
      <c r="E1077" t="s">
        <v>149</v>
      </c>
      <c r="F1077" t="s">
        <v>1125</v>
      </c>
    </row>
    <row r="1078" spans="1:6" ht="15" hidden="1" customHeight="1" x14ac:dyDescent="0.25">
      <c r="A1078" s="13" t="s">
        <v>89</v>
      </c>
      <c r="B1078" t="s">
        <v>245</v>
      </c>
      <c r="C1078" t="str">
        <f t="shared" si="21"/>
        <v>NetherlandsHorse and Country</v>
      </c>
      <c r="D1078" s="51">
        <v>5000000</v>
      </c>
      <c r="E1078" s="51" t="s">
        <v>149</v>
      </c>
    </row>
    <row r="1079" spans="1:6" ht="15" hidden="1" customHeight="1" x14ac:dyDescent="0.25">
      <c r="A1079" s="103" t="s">
        <v>89</v>
      </c>
      <c r="B1079" s="104" t="s">
        <v>1129</v>
      </c>
      <c r="C1079" t="str">
        <f t="shared" si="21"/>
        <v>NetherlandsNPO1</v>
      </c>
      <c r="D1079" s="1">
        <v>7590000</v>
      </c>
      <c r="E1079" t="s">
        <v>142</v>
      </c>
      <c r="F1079" t="s">
        <v>1124</v>
      </c>
    </row>
    <row r="1080" spans="1:6" ht="15" hidden="1" customHeight="1" x14ac:dyDescent="0.25">
      <c r="A1080" s="103" t="s">
        <v>89</v>
      </c>
      <c r="B1080" s="104" t="s">
        <v>1130</v>
      </c>
      <c r="C1080" t="str">
        <f t="shared" si="21"/>
        <v>NetherlandsNPO2</v>
      </c>
      <c r="D1080" s="1">
        <v>7590000</v>
      </c>
      <c r="E1080" t="s">
        <v>142</v>
      </c>
      <c r="F1080" t="s">
        <v>1124</v>
      </c>
    </row>
    <row r="1081" spans="1:6" ht="15" hidden="1" customHeight="1" x14ac:dyDescent="0.25">
      <c r="A1081" s="222" t="s">
        <v>89</v>
      </c>
      <c r="B1081" s="177" t="s">
        <v>1131</v>
      </c>
      <c r="C1081" s="175" t="str">
        <f t="shared" si="21"/>
        <v>NetherlandsNPO3</v>
      </c>
      <c r="D1081" s="176">
        <v>7590000</v>
      </c>
      <c r="E1081" s="175" t="s">
        <v>142</v>
      </c>
      <c r="F1081" s="175"/>
    </row>
    <row r="1082" spans="1:6" ht="15" hidden="1" customHeight="1" x14ac:dyDescent="0.25">
      <c r="A1082" s="181" t="s">
        <v>89</v>
      </c>
      <c r="B1082" s="104" t="s">
        <v>1132</v>
      </c>
      <c r="C1082" t="str">
        <f t="shared" si="21"/>
        <v>NetherlandsRTL7</v>
      </c>
      <c r="D1082" s="1">
        <v>7590000</v>
      </c>
      <c r="E1082" t="s">
        <v>142</v>
      </c>
      <c r="F1082" t="s">
        <v>1124</v>
      </c>
    </row>
    <row r="1083" spans="1:6" ht="15" hidden="1" customHeight="1" x14ac:dyDescent="0.25">
      <c r="A1083" s="58" t="s">
        <v>89</v>
      </c>
      <c r="B1083" s="182" t="s">
        <v>1133</v>
      </c>
      <c r="C1083" t="str">
        <f t="shared" si="21"/>
        <v>NetherlandsZiggo Extra</v>
      </c>
      <c r="D1083" s="1">
        <v>6115000</v>
      </c>
      <c r="E1083" t="s">
        <v>149</v>
      </c>
    </row>
    <row r="1084" spans="1:6" ht="15" hidden="1" customHeight="1" x14ac:dyDescent="0.25">
      <c r="A1084" s="58" t="s">
        <v>89</v>
      </c>
      <c r="B1084" s="3" t="s">
        <v>1134</v>
      </c>
      <c r="C1084" t="str">
        <f t="shared" si="21"/>
        <v>NetherlandsZiggo Golf</v>
      </c>
      <c r="D1084" s="1">
        <v>6115000</v>
      </c>
      <c r="E1084" t="s">
        <v>149</v>
      </c>
      <c r="F1084" t="s">
        <v>1135</v>
      </c>
    </row>
    <row r="1085" spans="1:6" ht="15" hidden="1" customHeight="1" x14ac:dyDescent="0.25">
      <c r="A1085" s="103" t="s">
        <v>89</v>
      </c>
      <c r="B1085" s="104" t="s">
        <v>1136</v>
      </c>
      <c r="C1085" t="str">
        <f t="shared" si="21"/>
        <v>NetherlandsZiggo Select</v>
      </c>
      <c r="D1085" s="1">
        <v>6115000</v>
      </c>
      <c r="E1085" t="s">
        <v>149</v>
      </c>
      <c r="F1085" t="s">
        <v>1135</v>
      </c>
    </row>
    <row r="1086" spans="1:6" ht="15" hidden="1" customHeight="1" x14ac:dyDescent="0.25">
      <c r="A1086" s="13" t="s">
        <v>89</v>
      </c>
      <c r="B1086" t="s">
        <v>1137</v>
      </c>
      <c r="C1086" t="str">
        <f t="shared" si="21"/>
        <v>NetherlandsZiggo Sport</v>
      </c>
      <c r="D1086" s="1">
        <v>6115000</v>
      </c>
      <c r="E1086" t="s">
        <v>149</v>
      </c>
      <c r="F1086" t="s">
        <v>1135</v>
      </c>
    </row>
    <row r="1087" spans="1:6" ht="15" hidden="1" customHeight="1" x14ac:dyDescent="0.25">
      <c r="A1087" s="13" t="s">
        <v>89</v>
      </c>
      <c r="B1087" s="75" t="s">
        <v>1138</v>
      </c>
      <c r="C1087" t="str">
        <f t="shared" si="21"/>
        <v>NetherlandsZiggo Sport Docu</v>
      </c>
      <c r="D1087" s="1">
        <v>6115000</v>
      </c>
      <c r="E1087" t="s">
        <v>149</v>
      </c>
    </row>
    <row r="1088" spans="1:6" ht="15" hidden="1" customHeight="1" x14ac:dyDescent="0.25">
      <c r="A1088" s="13" t="s">
        <v>89</v>
      </c>
      <c r="B1088" t="s">
        <v>1139</v>
      </c>
      <c r="C1088" t="str">
        <f t="shared" si="21"/>
        <v>NetherlandsZiggo Sport Extra</v>
      </c>
      <c r="D1088" s="1">
        <v>6115000</v>
      </c>
      <c r="E1088" t="s">
        <v>149</v>
      </c>
    </row>
    <row r="1089" spans="1:6" ht="15" hidden="1" customHeight="1" x14ac:dyDescent="0.25">
      <c r="A1089" t="s">
        <v>89</v>
      </c>
      <c r="B1089" t="s">
        <v>1140</v>
      </c>
      <c r="C1089" t="str">
        <f t="shared" si="21"/>
        <v>NetherlandsZiggo Sport Extra 1</v>
      </c>
      <c r="D1089" s="1">
        <v>6115000</v>
      </c>
      <c r="E1089" t="s">
        <v>149</v>
      </c>
      <c r="F1089" t="s">
        <v>1135</v>
      </c>
    </row>
    <row r="1090" spans="1:6" ht="15" hidden="1" customHeight="1" x14ac:dyDescent="0.25">
      <c r="A1090" s="13" t="s">
        <v>89</v>
      </c>
      <c r="B1090" t="s">
        <v>1141</v>
      </c>
      <c r="C1090" t="str">
        <f t="shared" si="21"/>
        <v>NetherlandsZiggo Sport Extra 2</v>
      </c>
      <c r="D1090" s="1">
        <v>6115000</v>
      </c>
      <c r="E1090" t="s">
        <v>149</v>
      </c>
      <c r="F1090" t="s">
        <v>1135</v>
      </c>
    </row>
    <row r="1091" spans="1:6" ht="15" hidden="1" customHeight="1" x14ac:dyDescent="0.25">
      <c r="A1091" t="s">
        <v>89</v>
      </c>
      <c r="B1091" t="s">
        <v>1142</v>
      </c>
      <c r="C1091" t="str">
        <f t="shared" si="21"/>
        <v>NetherlandsZiggo Sport Extra1</v>
      </c>
      <c r="D1091" s="1">
        <v>6115000</v>
      </c>
      <c r="E1091" t="s">
        <v>149</v>
      </c>
      <c r="F1091" t="s">
        <v>1135</v>
      </c>
    </row>
    <row r="1092" spans="1:6" ht="15" hidden="1" customHeight="1" x14ac:dyDescent="0.25">
      <c r="A1092" t="s">
        <v>89</v>
      </c>
      <c r="B1092" t="s">
        <v>1143</v>
      </c>
      <c r="C1092" t="str">
        <f t="shared" si="21"/>
        <v>NetherlandsZiggo Sport Extra2</v>
      </c>
      <c r="D1092" s="1">
        <v>6115000</v>
      </c>
      <c r="E1092" t="s">
        <v>149</v>
      </c>
      <c r="F1092" t="s">
        <v>1135</v>
      </c>
    </row>
    <row r="1093" spans="1:6" ht="15" hidden="1" customHeight="1" x14ac:dyDescent="0.25">
      <c r="A1093" s="13" t="s">
        <v>89</v>
      </c>
      <c r="B1093" t="s">
        <v>1144</v>
      </c>
      <c r="C1093" t="str">
        <f t="shared" si="21"/>
        <v>NetherlandsZiggo Sport Golf</v>
      </c>
      <c r="D1093" s="1">
        <v>6115000</v>
      </c>
      <c r="E1093" t="s">
        <v>149</v>
      </c>
      <c r="F1093" t="s">
        <v>1135</v>
      </c>
    </row>
    <row r="1094" spans="1:6" ht="15" hidden="1" customHeight="1" x14ac:dyDescent="0.25">
      <c r="A1094" s="13" t="s">
        <v>89</v>
      </c>
      <c r="B1094" t="s">
        <v>1145</v>
      </c>
      <c r="C1094" t="str">
        <f t="shared" si="21"/>
        <v>NetherlandsZiggo Sport Racing</v>
      </c>
      <c r="D1094" s="1">
        <v>6115000</v>
      </c>
      <c r="E1094" t="s">
        <v>149</v>
      </c>
      <c r="F1094" t="s">
        <v>1135</v>
      </c>
    </row>
    <row r="1095" spans="1:6" ht="15" hidden="1" customHeight="1" x14ac:dyDescent="0.25">
      <c r="A1095" s="13" t="s">
        <v>89</v>
      </c>
      <c r="B1095" t="s">
        <v>1146</v>
      </c>
      <c r="C1095" t="str">
        <f t="shared" si="21"/>
        <v>NetherlandsZiggo Sport Select</v>
      </c>
      <c r="D1095" s="1">
        <v>6115000</v>
      </c>
      <c r="E1095" t="s">
        <v>149</v>
      </c>
      <c r="F1095" t="s">
        <v>1135</v>
      </c>
    </row>
    <row r="1096" spans="1:6" ht="15" hidden="1" customHeight="1" x14ac:dyDescent="0.25">
      <c r="A1096" s="209" t="s">
        <v>89</v>
      </c>
      <c r="B1096" s="155" t="s">
        <v>1147</v>
      </c>
      <c r="C1096" s="155" t="str">
        <f t="shared" si="21"/>
        <v>NetherlandsZiggo Sport Tennis</v>
      </c>
      <c r="D1096" s="1">
        <v>6115000</v>
      </c>
      <c r="E1096" t="s">
        <v>149</v>
      </c>
      <c r="F1096" s="155"/>
    </row>
    <row r="1097" spans="1:6" ht="15" hidden="1" customHeight="1" x14ac:dyDescent="0.25">
      <c r="A1097" s="13" t="s">
        <v>90</v>
      </c>
      <c r="B1097" t="s">
        <v>183</v>
      </c>
      <c r="C1097" t="str">
        <f t="shared" si="21"/>
        <v>New ZealandESPN</v>
      </c>
      <c r="D1097" s="1">
        <v>546755</v>
      </c>
      <c r="E1097" t="s">
        <v>149</v>
      </c>
    </row>
    <row r="1098" spans="1:6" ht="15" hidden="1" customHeight="1" x14ac:dyDescent="0.25">
      <c r="A1098" t="s">
        <v>90</v>
      </c>
      <c r="B1098" t="s">
        <v>185</v>
      </c>
      <c r="C1098" t="str">
        <f t="shared" si="21"/>
        <v>New ZealandESPN 2</v>
      </c>
      <c r="D1098" s="1">
        <v>546755</v>
      </c>
      <c r="E1098" t="s">
        <v>149</v>
      </c>
    </row>
    <row r="1099" spans="1:6" ht="15" hidden="1" customHeight="1" x14ac:dyDescent="0.25">
      <c r="A1099" s="13" t="s">
        <v>90</v>
      </c>
      <c r="B1099" t="s">
        <v>812</v>
      </c>
      <c r="C1099" t="str">
        <f t="shared" si="21"/>
        <v>New ZealandMTV</v>
      </c>
      <c r="D1099" s="1">
        <v>1254575</v>
      </c>
      <c r="E1099" t="s">
        <v>142</v>
      </c>
      <c r="F1099" t="s">
        <v>1148</v>
      </c>
    </row>
    <row r="1100" spans="1:6" ht="15" hidden="1" customHeight="1" x14ac:dyDescent="0.25">
      <c r="A1100" s="13" t="s">
        <v>90</v>
      </c>
      <c r="B1100" t="s">
        <v>1149</v>
      </c>
      <c r="C1100" t="str">
        <f t="shared" si="21"/>
        <v>New ZealandPRIME</v>
      </c>
      <c r="D1100" s="1">
        <v>1532625</v>
      </c>
      <c r="E1100" t="s">
        <v>142</v>
      </c>
      <c r="F1100" t="s">
        <v>1150</v>
      </c>
    </row>
    <row r="1101" spans="1:6" ht="15" hidden="1" customHeight="1" x14ac:dyDescent="0.25">
      <c r="A1101" s="13" t="s">
        <v>90</v>
      </c>
      <c r="B1101" t="s">
        <v>283</v>
      </c>
      <c r="C1101" t="str">
        <f t="shared" si="21"/>
        <v>New ZealandSky Sport 1</v>
      </c>
      <c r="D1101" s="1">
        <v>787000</v>
      </c>
      <c r="E1101" t="s">
        <v>149</v>
      </c>
      <c r="F1101" t="s">
        <v>198</v>
      </c>
    </row>
    <row r="1102" spans="1:6" ht="15" hidden="1" customHeight="1" x14ac:dyDescent="0.25">
      <c r="A1102" s="13" t="s">
        <v>90</v>
      </c>
      <c r="B1102" t="s">
        <v>287</v>
      </c>
      <c r="C1102" t="str">
        <f t="shared" si="21"/>
        <v>New ZealandSky Sport 2</v>
      </c>
      <c r="D1102" s="1">
        <v>787000</v>
      </c>
      <c r="E1102" t="s">
        <v>149</v>
      </c>
      <c r="F1102" t="s">
        <v>198</v>
      </c>
    </row>
    <row r="1103" spans="1:6" ht="15" hidden="1" customHeight="1" x14ac:dyDescent="0.25">
      <c r="A1103" s="13" t="s">
        <v>90</v>
      </c>
      <c r="B1103" t="s">
        <v>288</v>
      </c>
      <c r="C1103" t="str">
        <f t="shared" si="21"/>
        <v>New ZealandSky Sport 3</v>
      </c>
      <c r="D1103" s="1">
        <v>787000</v>
      </c>
      <c r="E1103" t="s">
        <v>149</v>
      </c>
      <c r="F1103" t="s">
        <v>198</v>
      </c>
    </row>
    <row r="1104" spans="1:6" ht="15" hidden="1" customHeight="1" x14ac:dyDescent="0.25">
      <c r="A1104" s="13" t="s">
        <v>90</v>
      </c>
      <c r="B1104" t="s">
        <v>1151</v>
      </c>
      <c r="C1104" t="str">
        <f t="shared" si="21"/>
        <v>New ZealandSKY Sport 4</v>
      </c>
      <c r="D1104" s="1">
        <v>787000</v>
      </c>
      <c r="E1104" t="s">
        <v>149</v>
      </c>
      <c r="F1104" t="s">
        <v>198</v>
      </c>
    </row>
    <row r="1105" spans="1:6" ht="15" hidden="1" customHeight="1" x14ac:dyDescent="0.25">
      <c r="A1105" s="13" t="s">
        <v>90</v>
      </c>
      <c r="B1105" t="s">
        <v>291</v>
      </c>
      <c r="C1105" t="str">
        <f t="shared" si="21"/>
        <v>New ZealandSky Sport 6</v>
      </c>
      <c r="D1105" s="1">
        <v>787000</v>
      </c>
      <c r="E1105" t="s">
        <v>149</v>
      </c>
    </row>
    <row r="1106" spans="1:6" ht="15" hidden="1" customHeight="1" x14ac:dyDescent="0.25">
      <c r="A1106" s="13" t="s">
        <v>90</v>
      </c>
      <c r="B1106" t="s">
        <v>293</v>
      </c>
      <c r="C1106" t="str">
        <f t="shared" si="21"/>
        <v>New ZealandSky Sport 8</v>
      </c>
      <c r="D1106" s="1">
        <v>787000</v>
      </c>
      <c r="E1106" t="s">
        <v>149</v>
      </c>
    </row>
    <row r="1107" spans="1:6" ht="15" hidden="1" customHeight="1" x14ac:dyDescent="0.25">
      <c r="A1107" s="13" t="s">
        <v>90</v>
      </c>
      <c r="B1107" t="s">
        <v>1152</v>
      </c>
      <c r="C1107" t="str">
        <f t="shared" si="21"/>
        <v>New ZealandSky Sport 9</v>
      </c>
      <c r="D1107" s="1">
        <v>787000</v>
      </c>
      <c r="E1107" t="s">
        <v>149</v>
      </c>
    </row>
    <row r="1108" spans="1:6" ht="15" hidden="1" customHeight="1" x14ac:dyDescent="0.25">
      <c r="A1108" s="13" t="s">
        <v>90</v>
      </c>
      <c r="B1108" t="s">
        <v>1153</v>
      </c>
      <c r="C1108" t="str">
        <f t="shared" si="21"/>
        <v>New ZealandSky Sports 7</v>
      </c>
      <c r="D1108" s="1">
        <v>787000</v>
      </c>
      <c r="E1108" t="s">
        <v>149</v>
      </c>
    </row>
    <row r="1109" spans="1:6" ht="15" hidden="1" customHeight="1" x14ac:dyDescent="0.25">
      <c r="A1109" s="33" t="s">
        <v>90</v>
      </c>
      <c r="B1109" s="53" t="s">
        <v>1154</v>
      </c>
      <c r="C1109" t="str">
        <f t="shared" si="21"/>
        <v>New ZealandThree</v>
      </c>
      <c r="D1109" s="1">
        <v>1584550</v>
      </c>
      <c r="E1109" t="s">
        <v>142</v>
      </c>
      <c r="F1109" t="s">
        <v>1155</v>
      </c>
    </row>
    <row r="1110" spans="1:6" ht="15" hidden="1" customHeight="1" x14ac:dyDescent="0.25">
      <c r="A1110" s="33" t="s">
        <v>90</v>
      </c>
      <c r="B1110" s="53" t="s">
        <v>1156</v>
      </c>
      <c r="C1110" t="str">
        <f t="shared" si="21"/>
        <v>New ZealandThreePlus1</v>
      </c>
      <c r="D1110" s="1">
        <v>1209350</v>
      </c>
      <c r="E1110" t="s">
        <v>142</v>
      </c>
      <c r="F1110" t="s">
        <v>1157</v>
      </c>
    </row>
    <row r="1111" spans="1:6" ht="15" hidden="1" customHeight="1" x14ac:dyDescent="0.25">
      <c r="A1111" s="13" t="s">
        <v>90</v>
      </c>
      <c r="B1111" t="s">
        <v>1158</v>
      </c>
      <c r="C1111" t="str">
        <f t="shared" si="21"/>
        <v>New ZealandTVNZ 1</v>
      </c>
      <c r="D1111" s="1">
        <v>1596275</v>
      </c>
      <c r="E1111" t="s">
        <v>142</v>
      </c>
      <c r="F1111" t="s">
        <v>1159</v>
      </c>
    </row>
    <row r="1112" spans="1:6" ht="15" hidden="1" customHeight="1" x14ac:dyDescent="0.25">
      <c r="A1112" s="13" t="s">
        <v>90</v>
      </c>
      <c r="B1112" t="s">
        <v>1160</v>
      </c>
      <c r="C1112" t="str">
        <f t="shared" si="21"/>
        <v>New ZealandTVNZ 1*</v>
      </c>
      <c r="D1112" s="1">
        <v>1217725</v>
      </c>
      <c r="E1112" t="s">
        <v>142</v>
      </c>
      <c r="F1112" t="s">
        <v>1161</v>
      </c>
    </row>
    <row r="1113" spans="1:6" ht="15" hidden="1" customHeight="1" x14ac:dyDescent="0.25">
      <c r="A1113" s="13" t="s">
        <v>90</v>
      </c>
      <c r="B1113" t="s">
        <v>1162</v>
      </c>
      <c r="C1113" t="str">
        <f t="shared" si="21"/>
        <v>New ZealandTVNZ DUKE</v>
      </c>
      <c r="D1113" s="1">
        <v>1112200</v>
      </c>
      <c r="E1113" t="s">
        <v>142</v>
      </c>
      <c r="F1113" t="s">
        <v>1163</v>
      </c>
    </row>
    <row r="1114" spans="1:6" ht="15" hidden="1" customHeight="1" x14ac:dyDescent="0.25">
      <c r="A1114" s="13" t="s">
        <v>1164</v>
      </c>
      <c r="B1114" t="s">
        <v>1165</v>
      </c>
      <c r="C1114" t="str">
        <f t="shared" si="21"/>
        <v>NicaraguaRatensa</v>
      </c>
      <c r="D1114" s="1">
        <v>521200</v>
      </c>
      <c r="E1114" t="s">
        <v>142</v>
      </c>
      <c r="F1114" t="s">
        <v>986</v>
      </c>
    </row>
    <row r="1115" spans="1:6" ht="15" hidden="1" customHeight="1" x14ac:dyDescent="0.25">
      <c r="A1115" s="13" t="s">
        <v>80</v>
      </c>
      <c r="B1115" t="s">
        <v>1064</v>
      </c>
      <c r="C1115" t="str">
        <f t="shared" si="21"/>
        <v>North Macedonia1TV</v>
      </c>
      <c r="E1115" t="s">
        <v>149</v>
      </c>
    </row>
    <row r="1116" spans="1:6" ht="15" hidden="1" customHeight="1" x14ac:dyDescent="0.25">
      <c r="A1116" s="205" t="s">
        <v>80</v>
      </c>
      <c r="B1116" s="11" t="s">
        <v>268</v>
      </c>
      <c r="C1116" s="11" t="str">
        <f t="shared" si="21"/>
        <v>North MacedoniaEurosport 1</v>
      </c>
      <c r="D1116" s="1">
        <v>322000</v>
      </c>
      <c r="E1116" t="s">
        <v>149</v>
      </c>
      <c r="F1116" s="11"/>
    </row>
    <row r="1117" spans="1:6" ht="15" hidden="1" customHeight="1" x14ac:dyDescent="0.25">
      <c r="A1117" s="13" t="s">
        <v>80</v>
      </c>
      <c r="B1117" t="s">
        <v>269</v>
      </c>
      <c r="C1117" t="str">
        <f t="shared" si="21"/>
        <v>North MacedoniaEurosport 2</v>
      </c>
      <c r="D1117" s="1">
        <v>316000</v>
      </c>
      <c r="E1117" t="s">
        <v>149</v>
      </c>
    </row>
    <row r="1118" spans="1:6" ht="15" hidden="1" customHeight="1" x14ac:dyDescent="0.25">
      <c r="A1118" s="13" t="s">
        <v>80</v>
      </c>
      <c r="B1118" t="s">
        <v>396</v>
      </c>
      <c r="C1118" t="str">
        <f t="shared" si="21"/>
        <v>North MacedoniaSport Klub 1</v>
      </c>
      <c r="D1118" s="1">
        <v>100000</v>
      </c>
      <c r="E1118" t="s">
        <v>149</v>
      </c>
    </row>
    <row r="1119" spans="1:6" ht="15" hidden="1" customHeight="1" x14ac:dyDescent="0.25">
      <c r="A1119" s="13" t="s">
        <v>80</v>
      </c>
      <c r="B1119" t="s">
        <v>397</v>
      </c>
      <c r="C1119" t="str">
        <f t="shared" si="21"/>
        <v>North MacedoniaSport Klub 10</v>
      </c>
      <c r="D1119" s="1">
        <v>100000</v>
      </c>
      <c r="E1119" t="s">
        <v>149</v>
      </c>
    </row>
    <row r="1120" spans="1:6" ht="15" hidden="1" customHeight="1" x14ac:dyDescent="0.25">
      <c r="A1120" s="13" t="s">
        <v>80</v>
      </c>
      <c r="B1120" t="s">
        <v>398</v>
      </c>
      <c r="C1120" t="str">
        <f t="shared" si="21"/>
        <v>North MacedoniaSport Klub 2</v>
      </c>
      <c r="D1120" s="1">
        <v>100000</v>
      </c>
      <c r="E1120" t="s">
        <v>149</v>
      </c>
    </row>
    <row r="1121" spans="1:6" ht="15" hidden="1" customHeight="1" x14ac:dyDescent="0.25">
      <c r="A1121" s="13" t="s">
        <v>80</v>
      </c>
      <c r="B1121" t="s">
        <v>399</v>
      </c>
      <c r="C1121" t="str">
        <f t="shared" si="21"/>
        <v>North MacedoniaSport Klub 3</v>
      </c>
      <c r="D1121" s="1">
        <v>100000</v>
      </c>
      <c r="E1121" t="s">
        <v>149</v>
      </c>
    </row>
    <row r="1122" spans="1:6" ht="15" hidden="1" customHeight="1" x14ac:dyDescent="0.25">
      <c r="A1122" s="13" t="s">
        <v>80</v>
      </c>
      <c r="B1122" t="s">
        <v>400</v>
      </c>
      <c r="C1122" t="str">
        <f t="shared" ref="C1122:C1185" si="22">CONCATENATE(A1122,B1122)</f>
        <v>North MacedoniaSport Klub 4</v>
      </c>
      <c r="D1122" s="1">
        <v>100000</v>
      </c>
      <c r="E1122" t="s">
        <v>149</v>
      </c>
    </row>
    <row r="1123" spans="1:6" ht="15" hidden="1" customHeight="1" x14ac:dyDescent="0.25">
      <c r="A1123" s="209" t="s">
        <v>80</v>
      </c>
      <c r="B1123" s="155" t="s">
        <v>401</v>
      </c>
      <c r="C1123" s="155" t="str">
        <f t="shared" si="22"/>
        <v>North MacedoniaSport Klub 5</v>
      </c>
      <c r="D1123" s="1">
        <v>100000</v>
      </c>
      <c r="E1123" t="s">
        <v>149</v>
      </c>
      <c r="F1123" s="155"/>
    </row>
    <row r="1124" spans="1:6" ht="15" hidden="1" customHeight="1" x14ac:dyDescent="0.25">
      <c r="A1124" s="209" t="s">
        <v>80</v>
      </c>
      <c r="B1124" s="155" t="s">
        <v>402</v>
      </c>
      <c r="C1124" s="155" t="str">
        <f t="shared" si="22"/>
        <v>North MacedoniaSport Klub 6</v>
      </c>
      <c r="D1124" s="1">
        <v>100000</v>
      </c>
      <c r="E1124" t="s">
        <v>149</v>
      </c>
      <c r="F1124" s="155"/>
    </row>
    <row r="1125" spans="1:6" ht="15" hidden="1" customHeight="1" x14ac:dyDescent="0.25">
      <c r="A1125" s="209" t="s">
        <v>80</v>
      </c>
      <c r="B1125" s="155" t="s">
        <v>403</v>
      </c>
      <c r="C1125" s="155" t="str">
        <f t="shared" si="22"/>
        <v>North MacedoniaSport Klub 7</v>
      </c>
      <c r="D1125" s="1">
        <v>100000</v>
      </c>
      <c r="E1125" t="s">
        <v>149</v>
      </c>
      <c r="F1125" s="155"/>
    </row>
    <row r="1126" spans="1:6" ht="15" hidden="1" customHeight="1" x14ac:dyDescent="0.25">
      <c r="A1126" s="209" t="s">
        <v>80</v>
      </c>
      <c r="B1126" s="155" t="s">
        <v>404</v>
      </c>
      <c r="C1126" s="155" t="str">
        <f t="shared" si="22"/>
        <v>North MacedoniaSport Klub 8</v>
      </c>
      <c r="D1126" s="1">
        <v>100000</v>
      </c>
      <c r="E1126" t="s">
        <v>149</v>
      </c>
      <c r="F1126" s="155"/>
    </row>
    <row r="1127" spans="1:6" ht="15" hidden="1" customHeight="1" x14ac:dyDescent="0.25">
      <c r="A1127" s="209" t="s">
        <v>80</v>
      </c>
      <c r="B1127" s="155" t="s">
        <v>405</v>
      </c>
      <c r="C1127" s="155" t="str">
        <f t="shared" si="22"/>
        <v>North MacedoniaSport Klub 9</v>
      </c>
      <c r="D1127" s="1">
        <v>100000</v>
      </c>
      <c r="E1127" t="s">
        <v>149</v>
      </c>
      <c r="F1127" s="155"/>
    </row>
    <row r="1128" spans="1:6" ht="15" hidden="1" customHeight="1" x14ac:dyDescent="0.25">
      <c r="A1128" s="13" t="s">
        <v>80</v>
      </c>
      <c r="B1128" t="s">
        <v>406</v>
      </c>
      <c r="C1128" t="str">
        <f t="shared" si="22"/>
        <v>North MacedoniaSport Klub Golf</v>
      </c>
      <c r="D1128" s="1">
        <v>100000</v>
      </c>
      <c r="E1128" t="s">
        <v>149</v>
      </c>
    </row>
    <row r="1129" spans="1:6" ht="15" hidden="1" customHeight="1" x14ac:dyDescent="0.25">
      <c r="A1129" s="13" t="s">
        <v>80</v>
      </c>
      <c r="B1129" t="s">
        <v>407</v>
      </c>
      <c r="C1129" t="str">
        <f t="shared" si="22"/>
        <v>North MacedoniaSport Klub HD</v>
      </c>
      <c r="D1129" s="1">
        <v>100000</v>
      </c>
      <c r="E1129" t="s">
        <v>149</v>
      </c>
    </row>
    <row r="1130" spans="1:6" ht="15" hidden="1" customHeight="1" x14ac:dyDescent="0.25">
      <c r="A1130" s="13" t="s">
        <v>91</v>
      </c>
      <c r="B1130" t="s">
        <v>628</v>
      </c>
      <c r="C1130" t="str">
        <f t="shared" si="22"/>
        <v>NorwayC More Golf HD</v>
      </c>
      <c r="D1130" s="1">
        <v>1489000</v>
      </c>
      <c r="E1130" t="s">
        <v>149</v>
      </c>
    </row>
    <row r="1131" spans="1:6" ht="15" hidden="1" customHeight="1" x14ac:dyDescent="0.25">
      <c r="A1131" s="13" t="s">
        <v>91</v>
      </c>
      <c r="B1131" t="s">
        <v>673</v>
      </c>
      <c r="C1131" t="str">
        <f t="shared" si="22"/>
        <v>NorwayC More Live</v>
      </c>
      <c r="D1131" s="1">
        <v>1489000</v>
      </c>
      <c r="E1131" t="s">
        <v>149</v>
      </c>
      <c r="F1131" t="s">
        <v>1166</v>
      </c>
    </row>
    <row r="1132" spans="1:6" ht="15" hidden="1" customHeight="1" x14ac:dyDescent="0.25">
      <c r="A1132" s="13" t="s">
        <v>91</v>
      </c>
      <c r="B1132" t="s">
        <v>630</v>
      </c>
      <c r="C1132" t="str">
        <f t="shared" si="22"/>
        <v>NorwayC More Sport</v>
      </c>
      <c r="D1132" s="1">
        <v>1489000</v>
      </c>
      <c r="E1132" t="s">
        <v>149</v>
      </c>
      <c r="F1132" t="s">
        <v>1166</v>
      </c>
    </row>
    <row r="1133" spans="1:6" ht="15" hidden="1" customHeight="1" x14ac:dyDescent="0.25">
      <c r="A1133" s="13" t="s">
        <v>91</v>
      </c>
      <c r="B1133" t="s">
        <v>634</v>
      </c>
      <c r="C1133" t="str">
        <f t="shared" si="22"/>
        <v>NorwayC More Tennis</v>
      </c>
      <c r="D1133" s="1">
        <v>1489000</v>
      </c>
      <c r="E1133" t="s">
        <v>149</v>
      </c>
      <c r="F1133" t="s">
        <v>1166</v>
      </c>
    </row>
    <row r="1134" spans="1:6" ht="15" hidden="1" customHeight="1" x14ac:dyDescent="0.25">
      <c r="A1134" s="13" t="s">
        <v>91</v>
      </c>
      <c r="B1134" t="s">
        <v>1167</v>
      </c>
      <c r="C1134" t="str">
        <f t="shared" si="22"/>
        <v>NorwayEUROSPORT</v>
      </c>
      <c r="D1134" s="19">
        <v>1152090</v>
      </c>
      <c r="E1134" s="19" t="s">
        <v>149</v>
      </c>
      <c r="F1134" s="19"/>
    </row>
    <row r="1135" spans="1:6" ht="15" hidden="1" customHeight="1" x14ac:dyDescent="0.25">
      <c r="A1135" s="13" t="s">
        <v>91</v>
      </c>
      <c r="B1135" t="s">
        <v>268</v>
      </c>
      <c r="C1135" t="str">
        <f t="shared" si="22"/>
        <v>NorwayEurosport 1</v>
      </c>
      <c r="D1135" s="19">
        <v>1152090</v>
      </c>
      <c r="E1135" s="19" t="s">
        <v>149</v>
      </c>
    </row>
    <row r="1136" spans="1:6" ht="15" hidden="1" customHeight="1" x14ac:dyDescent="0.25">
      <c r="A1136" s="13" t="s">
        <v>91</v>
      </c>
      <c r="B1136" t="s">
        <v>1168</v>
      </c>
      <c r="C1136" t="str">
        <f t="shared" si="22"/>
        <v>NorwayEurosport Norge</v>
      </c>
      <c r="D1136" s="19">
        <v>1152090</v>
      </c>
      <c r="E1136" s="19" t="s">
        <v>149</v>
      </c>
    </row>
    <row r="1137" spans="1:6" ht="15" hidden="1" customHeight="1" x14ac:dyDescent="0.25">
      <c r="A1137" s="13" t="s">
        <v>91</v>
      </c>
      <c r="B1137" t="s">
        <v>1169</v>
      </c>
      <c r="C1137" t="str">
        <f t="shared" si="22"/>
        <v>NorwayNRK 2</v>
      </c>
      <c r="D1137" s="1">
        <v>2236410</v>
      </c>
      <c r="E1137" t="s">
        <v>142</v>
      </c>
      <c r="F1137" t="s">
        <v>1170</v>
      </c>
    </row>
    <row r="1138" spans="1:6" ht="15" hidden="1" customHeight="1" x14ac:dyDescent="0.25">
      <c r="A1138" s="13" t="s">
        <v>91</v>
      </c>
      <c r="B1138" s="35" t="s">
        <v>1171</v>
      </c>
      <c r="C1138" t="str">
        <f t="shared" si="22"/>
        <v>NorwayNRK2</v>
      </c>
      <c r="D1138" s="1">
        <v>2236410</v>
      </c>
      <c r="E1138" t="s">
        <v>142</v>
      </c>
      <c r="F1138" t="s">
        <v>1170</v>
      </c>
    </row>
    <row r="1139" spans="1:6" ht="15" hidden="1" customHeight="1" x14ac:dyDescent="0.25">
      <c r="A1139" s="13" t="s">
        <v>91</v>
      </c>
      <c r="B1139" t="s">
        <v>1172</v>
      </c>
      <c r="C1139" t="str">
        <f t="shared" si="22"/>
        <v>NorwayTV Norge</v>
      </c>
      <c r="D1139" s="1">
        <v>2178328</v>
      </c>
      <c r="E1139" t="s">
        <v>142</v>
      </c>
      <c r="F1139" t="s">
        <v>1173</v>
      </c>
    </row>
    <row r="1140" spans="1:6" ht="15" hidden="1" customHeight="1" x14ac:dyDescent="0.25">
      <c r="A1140" s="212" t="s">
        <v>91</v>
      </c>
      <c r="B1140" s="152" t="s">
        <v>652</v>
      </c>
      <c r="C1140" s="150" t="str">
        <f t="shared" si="22"/>
        <v>NorwayV Sport Golf</v>
      </c>
      <c r="D1140" s="1">
        <v>531000</v>
      </c>
      <c r="E1140" t="s">
        <v>149</v>
      </c>
      <c r="F1140" s="150"/>
    </row>
    <row r="1141" spans="1:6" ht="15" hidden="1" customHeight="1" x14ac:dyDescent="0.25">
      <c r="A1141" s="13" t="s">
        <v>91</v>
      </c>
      <c r="B1141" t="s">
        <v>653</v>
      </c>
      <c r="C1141" t="str">
        <f t="shared" si="22"/>
        <v>NorwayViaplay</v>
      </c>
      <c r="D1141" s="1">
        <v>531000</v>
      </c>
      <c r="E1141" t="s">
        <v>149</v>
      </c>
    </row>
    <row r="1142" spans="1:6" ht="15" hidden="1" customHeight="1" x14ac:dyDescent="0.25">
      <c r="A1142" s="13" t="s">
        <v>91</v>
      </c>
      <c r="B1142" t="s">
        <v>1174</v>
      </c>
      <c r="C1142" t="str">
        <f t="shared" si="22"/>
        <v>NorwayViasat 4</v>
      </c>
      <c r="D1142" s="1">
        <v>2150500</v>
      </c>
      <c r="E1142" t="s">
        <v>142</v>
      </c>
      <c r="F1142" t="s">
        <v>1175</v>
      </c>
    </row>
    <row r="1143" spans="1:6" ht="15" hidden="1" customHeight="1" x14ac:dyDescent="0.25">
      <c r="A1143" s="13" t="s">
        <v>91</v>
      </c>
      <c r="B1143" t="s">
        <v>654</v>
      </c>
      <c r="C1143" t="str">
        <f t="shared" si="22"/>
        <v>NorwayViasat Golf</v>
      </c>
      <c r="D1143" s="1">
        <v>531000</v>
      </c>
      <c r="E1143" t="s">
        <v>149</v>
      </c>
      <c r="F1143" t="s">
        <v>1176</v>
      </c>
    </row>
    <row r="1144" spans="1:6" ht="15" hidden="1" customHeight="1" x14ac:dyDescent="0.25">
      <c r="A1144" s="13" t="s">
        <v>91</v>
      </c>
      <c r="B1144" t="s">
        <v>656</v>
      </c>
      <c r="C1144" t="str">
        <f t="shared" si="22"/>
        <v>NorwayViasat Motor</v>
      </c>
      <c r="D1144" s="1">
        <v>531000</v>
      </c>
      <c r="E1144" t="s">
        <v>149</v>
      </c>
      <c r="F1144" t="s">
        <v>1176</v>
      </c>
    </row>
    <row r="1145" spans="1:6" ht="15" hidden="1" customHeight="1" x14ac:dyDescent="0.25">
      <c r="A1145" t="s">
        <v>91</v>
      </c>
      <c r="B1145" t="s">
        <v>657</v>
      </c>
      <c r="C1145" t="str">
        <f t="shared" si="22"/>
        <v>NorwayViasat Sport</v>
      </c>
      <c r="D1145" s="1">
        <v>531000</v>
      </c>
      <c r="E1145" t="s">
        <v>149</v>
      </c>
      <c r="F1145" t="s">
        <v>1176</v>
      </c>
    </row>
    <row r="1146" spans="1:6" ht="15" hidden="1" customHeight="1" x14ac:dyDescent="0.25">
      <c r="A1146" s="13" t="s">
        <v>91</v>
      </c>
      <c r="B1146" t="s">
        <v>1177</v>
      </c>
      <c r="C1146" t="str">
        <f t="shared" si="22"/>
        <v>NorwayViasport +</v>
      </c>
      <c r="D1146" s="1">
        <v>531000</v>
      </c>
      <c r="E1146" t="s">
        <v>149</v>
      </c>
    </row>
    <row r="1147" spans="1:6" ht="15" hidden="1" customHeight="1" x14ac:dyDescent="0.25">
      <c r="A1147" s="13" t="s">
        <v>92</v>
      </c>
      <c r="B1147" t="s">
        <v>1178</v>
      </c>
      <c r="C1147" t="str">
        <f t="shared" si="22"/>
        <v>PakistanPTV Sports</v>
      </c>
      <c r="D1147" s="1">
        <v>9498920</v>
      </c>
      <c r="E1147" t="s">
        <v>149</v>
      </c>
      <c r="F1147" t="s">
        <v>326</v>
      </c>
    </row>
    <row r="1148" spans="1:6" ht="15" hidden="1" customHeight="1" x14ac:dyDescent="0.25">
      <c r="A1148" s="39" t="s">
        <v>92</v>
      </c>
      <c r="B1148" t="s">
        <v>1179</v>
      </c>
      <c r="C1148" t="str">
        <f t="shared" si="22"/>
        <v>PakistanTen Sports</v>
      </c>
      <c r="D1148" s="1">
        <v>5475360</v>
      </c>
      <c r="E1148" t="s">
        <v>149</v>
      </c>
      <c r="F1148" t="s">
        <v>326</v>
      </c>
    </row>
    <row r="1149" spans="1:6" ht="15" hidden="1" customHeight="1" x14ac:dyDescent="0.25">
      <c r="A1149" s="39" t="s">
        <v>1180</v>
      </c>
      <c r="B1149" t="s">
        <v>1092</v>
      </c>
      <c r="C1149" t="str">
        <f t="shared" si="22"/>
        <v>PalauOTV</v>
      </c>
      <c r="D1149" s="1">
        <v>1412.1</v>
      </c>
      <c r="E1149" t="s">
        <v>142</v>
      </c>
      <c r="F1149" t="s">
        <v>322</v>
      </c>
    </row>
    <row r="1150" spans="1:6" ht="15" hidden="1" customHeight="1" x14ac:dyDescent="0.25">
      <c r="A1150" s="113" t="s">
        <v>93</v>
      </c>
      <c r="B1150" t="s">
        <v>1181</v>
      </c>
      <c r="C1150" t="str">
        <f t="shared" si="22"/>
        <v>Pan Africa (French Speaking)Canal+ Sport 4</v>
      </c>
      <c r="D1150" s="1">
        <v>2073000</v>
      </c>
      <c r="E1150" t="s">
        <v>149</v>
      </c>
      <c r="F1150" t="s">
        <v>1182</v>
      </c>
    </row>
    <row r="1151" spans="1:6" ht="15" hidden="1" customHeight="1" x14ac:dyDescent="0.25">
      <c r="A1151" s="39" t="s">
        <v>15</v>
      </c>
      <c r="B1151" t="s">
        <v>712</v>
      </c>
      <c r="C1151" t="str">
        <f t="shared" si="22"/>
        <v>Pan Africa (Sub Sahara)Canal + Sport</v>
      </c>
      <c r="D1151" s="1">
        <v>2073000</v>
      </c>
      <c r="E1151" t="s">
        <v>149</v>
      </c>
    </row>
    <row r="1152" spans="1:6" ht="15" hidden="1" customHeight="1" x14ac:dyDescent="0.25">
      <c r="A1152" s="39" t="s">
        <v>15</v>
      </c>
      <c r="B1152" t="s">
        <v>1183</v>
      </c>
      <c r="C1152" t="str">
        <f t="shared" si="22"/>
        <v>Pan Africa (Sub Sahara)Canal + Sport 2</v>
      </c>
      <c r="D1152" s="1">
        <v>2073000</v>
      </c>
      <c r="E1152" t="s">
        <v>149</v>
      </c>
      <c r="F1152" t="s">
        <v>1182</v>
      </c>
    </row>
    <row r="1153" spans="1:6" ht="15" hidden="1" customHeight="1" x14ac:dyDescent="0.25">
      <c r="A1153" t="s">
        <v>15</v>
      </c>
      <c r="B1153" t="s">
        <v>1184</v>
      </c>
      <c r="C1153" t="str">
        <f t="shared" si="22"/>
        <v>Pan Africa (Sub Sahara)Canal + Sport 3</v>
      </c>
      <c r="D1153" s="1">
        <v>2073000</v>
      </c>
      <c r="E1153" t="s">
        <v>149</v>
      </c>
      <c r="F1153" t="s">
        <v>1182</v>
      </c>
    </row>
    <row r="1154" spans="1:6" ht="15" hidden="1" customHeight="1" x14ac:dyDescent="0.25">
      <c r="A1154" s="13" t="s">
        <v>15</v>
      </c>
      <c r="B1154" t="s">
        <v>1185</v>
      </c>
      <c r="C1154" t="str">
        <f t="shared" si="22"/>
        <v>Pan Africa (Sub Sahara)Canal + Sport 4</v>
      </c>
      <c r="D1154" s="1">
        <v>2073000</v>
      </c>
      <c r="E1154" t="s">
        <v>149</v>
      </c>
      <c r="F1154" t="s">
        <v>1182</v>
      </c>
    </row>
    <row r="1155" spans="1:6" ht="15" hidden="1" customHeight="1" x14ac:dyDescent="0.25">
      <c r="A1155" s="13" t="s">
        <v>15</v>
      </c>
      <c r="B1155" t="s">
        <v>716</v>
      </c>
      <c r="C1155" t="str">
        <f t="shared" si="22"/>
        <v>Pan Africa (Sub Sahara)Canal+ Sport</v>
      </c>
      <c r="D1155" s="1">
        <v>2073000</v>
      </c>
      <c r="E1155" t="s">
        <v>149</v>
      </c>
    </row>
    <row r="1156" spans="1:6" ht="15" hidden="1" customHeight="1" x14ac:dyDescent="0.25">
      <c r="A1156" s="13" t="s">
        <v>15</v>
      </c>
      <c r="B1156" t="s">
        <v>1186</v>
      </c>
      <c r="C1156" t="str">
        <f t="shared" si="22"/>
        <v>Pan Africa (Sub Sahara)Canal+ Sport 1</v>
      </c>
      <c r="D1156">
        <v>2073000</v>
      </c>
      <c r="E1156" t="s">
        <v>149</v>
      </c>
      <c r="F1156" t="s">
        <v>1182</v>
      </c>
    </row>
    <row r="1157" spans="1:6" ht="15" hidden="1" customHeight="1" x14ac:dyDescent="0.25">
      <c r="A1157" t="s">
        <v>15</v>
      </c>
      <c r="B1157" t="s">
        <v>1187</v>
      </c>
      <c r="C1157" t="str">
        <f t="shared" si="22"/>
        <v>Pan Africa (Sub Sahara)Canal+ Sport 3</v>
      </c>
      <c r="D1157" s="1">
        <v>2073000</v>
      </c>
      <c r="E1157" t="s">
        <v>149</v>
      </c>
      <c r="F1157" t="s">
        <v>1182</v>
      </c>
    </row>
    <row r="1158" spans="1:6" ht="15" hidden="1" customHeight="1" x14ac:dyDescent="0.25">
      <c r="A1158" t="s">
        <v>15</v>
      </c>
      <c r="B1158" t="s">
        <v>1181</v>
      </c>
      <c r="C1158" t="str">
        <f t="shared" si="22"/>
        <v>Pan Africa (Sub Sahara)Canal+ Sport 4</v>
      </c>
      <c r="D1158" s="1">
        <v>2073000</v>
      </c>
      <c r="E1158" t="s">
        <v>149</v>
      </c>
      <c r="F1158" t="s">
        <v>1182</v>
      </c>
    </row>
    <row r="1159" spans="1:6" ht="15" hidden="1" customHeight="1" x14ac:dyDescent="0.25">
      <c r="A1159" s="205" t="s">
        <v>15</v>
      </c>
      <c r="B1159" s="11" t="s">
        <v>268</v>
      </c>
      <c r="C1159" s="11" t="str">
        <f t="shared" si="22"/>
        <v>Pan Africa (Sub Sahara)Eurosport 1</v>
      </c>
      <c r="E1159" t="s">
        <v>149</v>
      </c>
      <c r="F1159" s="11"/>
    </row>
    <row r="1160" spans="1:6" ht="15" hidden="1" customHeight="1" x14ac:dyDescent="0.25">
      <c r="A1160" s="203" t="s">
        <v>15</v>
      </c>
      <c r="B1160" s="147" t="s">
        <v>269</v>
      </c>
      <c r="C1160" s="11" t="str">
        <f t="shared" si="22"/>
        <v>Pan Africa (Sub Sahara)Eurosport 2</v>
      </c>
      <c r="D1160" s="142"/>
      <c r="E1160" t="s">
        <v>149</v>
      </c>
      <c r="F1160" s="11"/>
    </row>
    <row r="1161" spans="1:6" ht="15" hidden="1" customHeight="1" x14ac:dyDescent="0.25">
      <c r="A1161" t="s">
        <v>15</v>
      </c>
      <c r="B1161" t="s">
        <v>1188</v>
      </c>
      <c r="C1161" t="str">
        <f t="shared" si="22"/>
        <v>Pan Africa (Sub Sahara)KWESE ESPN</v>
      </c>
      <c r="D1161" s="1">
        <v>4000000</v>
      </c>
      <c r="E1161" t="s">
        <v>149</v>
      </c>
      <c r="F1161" t="s">
        <v>1189</v>
      </c>
    </row>
    <row r="1162" spans="1:6" ht="15" hidden="1" customHeight="1" x14ac:dyDescent="0.25">
      <c r="A1162" s="13" t="s">
        <v>15</v>
      </c>
      <c r="B1162" s="41" t="s">
        <v>1190</v>
      </c>
      <c r="C1162" t="str">
        <f t="shared" si="22"/>
        <v>Pan Africa (Sub Sahara)Kwese Free Sports</v>
      </c>
      <c r="D1162" s="1">
        <v>34486177.053969055</v>
      </c>
      <c r="E1162" t="s">
        <v>142</v>
      </c>
      <c r="F1162" t="s">
        <v>1191</v>
      </c>
    </row>
    <row r="1163" spans="1:6" ht="15" hidden="1" customHeight="1" x14ac:dyDescent="0.25">
      <c r="A1163" t="s">
        <v>15</v>
      </c>
      <c r="B1163" t="s">
        <v>1192</v>
      </c>
      <c r="C1163" t="str">
        <f t="shared" si="22"/>
        <v>Pan Africa (Sub Sahara)KWESE Sports 1</v>
      </c>
      <c r="D1163" s="1">
        <v>4000000</v>
      </c>
      <c r="E1163" t="s">
        <v>149</v>
      </c>
      <c r="F1163" t="s">
        <v>1189</v>
      </c>
    </row>
    <row r="1164" spans="1:6" ht="15" hidden="1" customHeight="1" x14ac:dyDescent="0.25">
      <c r="A1164" s="104" t="s">
        <v>15</v>
      </c>
      <c r="B1164" s="104" t="s">
        <v>1193</v>
      </c>
      <c r="C1164" t="str">
        <f t="shared" si="22"/>
        <v>Pan Africa (Sub Sahara)Kwese Sports 2</v>
      </c>
      <c r="D1164" s="1">
        <v>4000000</v>
      </c>
      <c r="E1164" t="s">
        <v>149</v>
      </c>
      <c r="F1164" t="s">
        <v>1189</v>
      </c>
    </row>
    <row r="1165" spans="1:6" ht="15" hidden="1" customHeight="1" x14ac:dyDescent="0.25">
      <c r="A1165" s="13" t="s">
        <v>15</v>
      </c>
      <c r="B1165" t="s">
        <v>343</v>
      </c>
      <c r="C1165" t="str">
        <f t="shared" si="22"/>
        <v>Pan Africa (Sub Sahara)Ma Chaine Sport</v>
      </c>
      <c r="D1165" s="1">
        <v>2073000</v>
      </c>
      <c r="E1165" t="s">
        <v>149</v>
      </c>
      <c r="F1165" t="s">
        <v>1182</v>
      </c>
    </row>
    <row r="1166" spans="1:6" ht="15" hidden="1" customHeight="1" x14ac:dyDescent="0.25">
      <c r="A1166" s="13" t="s">
        <v>15</v>
      </c>
      <c r="B1166" t="s">
        <v>344</v>
      </c>
      <c r="C1166" t="str">
        <f t="shared" si="22"/>
        <v>Pan Africa (Sub Sahara)Ma Chaine Sport Tennis</v>
      </c>
      <c r="D1166" s="1">
        <v>2073000</v>
      </c>
      <c r="E1166" t="s">
        <v>149</v>
      </c>
      <c r="F1166" t="s">
        <v>1182</v>
      </c>
    </row>
    <row r="1167" spans="1:6" ht="15" hidden="1" customHeight="1" x14ac:dyDescent="0.25">
      <c r="A1167" s="39" t="s">
        <v>15</v>
      </c>
      <c r="B1167" t="s">
        <v>1194</v>
      </c>
      <c r="C1167" t="str">
        <f t="shared" si="22"/>
        <v>Pan Africa (Sub Sahara)SSFootball</v>
      </c>
      <c r="D1167" s="1">
        <v>3100000</v>
      </c>
      <c r="E1167" t="s">
        <v>149</v>
      </c>
    </row>
    <row r="1168" spans="1:6" ht="15" hidden="1" customHeight="1" x14ac:dyDescent="0.25">
      <c r="A1168" s="39" t="s">
        <v>15</v>
      </c>
      <c r="B1168" t="s">
        <v>1195</v>
      </c>
      <c r="C1168" t="str">
        <f t="shared" si="22"/>
        <v>Pan Africa (Sub Sahara)SSGolf</v>
      </c>
      <c r="D1168" s="1">
        <v>3100000</v>
      </c>
      <c r="E1168" t="s">
        <v>149</v>
      </c>
    </row>
    <row r="1169" spans="1:6" ht="15" hidden="1" customHeight="1" x14ac:dyDescent="0.25">
      <c r="A1169" s="39" t="s">
        <v>15</v>
      </c>
      <c r="B1169" t="s">
        <v>1196</v>
      </c>
      <c r="C1169" t="str">
        <f t="shared" si="22"/>
        <v>Pan Africa (Sub Sahara)SSGrandstand</v>
      </c>
      <c r="D1169" s="1">
        <v>3100000</v>
      </c>
      <c r="E1169" t="s">
        <v>149</v>
      </c>
    </row>
    <row r="1170" spans="1:6" ht="15" hidden="1" customHeight="1" x14ac:dyDescent="0.25">
      <c r="A1170" s="204" t="s">
        <v>15</v>
      </c>
      <c r="B1170" s="184" t="s">
        <v>1197</v>
      </c>
      <c r="C1170" t="str">
        <f t="shared" si="22"/>
        <v>Pan Africa (Sub Sahara)SSMotorsport</v>
      </c>
      <c r="D1170" s="1">
        <v>3100000</v>
      </c>
      <c r="E1170" t="s">
        <v>149</v>
      </c>
    </row>
    <row r="1171" spans="1:6" ht="15" hidden="1" customHeight="1" x14ac:dyDescent="0.25">
      <c r="A1171" s="203" t="s">
        <v>15</v>
      </c>
      <c r="B1171" s="147" t="s">
        <v>1198</v>
      </c>
      <c r="C1171" s="11" t="str">
        <f t="shared" si="22"/>
        <v>Pan Africa (Sub Sahara)SSTennis</v>
      </c>
      <c r="D1171" s="1">
        <v>3100000</v>
      </c>
      <c r="E1171" t="s">
        <v>149</v>
      </c>
      <c r="F1171" s="11"/>
    </row>
    <row r="1172" spans="1:6" ht="15" hidden="1" customHeight="1" x14ac:dyDescent="0.25">
      <c r="A1172" s="205" t="s">
        <v>15</v>
      </c>
      <c r="B1172" s="11" t="s">
        <v>1199</v>
      </c>
      <c r="C1172" s="11" t="str">
        <f t="shared" si="22"/>
        <v>Pan Africa (Sub Sahara)SSVariety1</v>
      </c>
      <c r="D1172" s="1">
        <v>3100000</v>
      </c>
      <c r="E1172" t="s">
        <v>149</v>
      </c>
      <c r="F1172" s="11"/>
    </row>
    <row r="1173" spans="1:6" ht="15" hidden="1" customHeight="1" x14ac:dyDescent="0.25">
      <c r="A1173" s="212" t="s">
        <v>15</v>
      </c>
      <c r="B1173" s="152" t="s">
        <v>1200</v>
      </c>
      <c r="C1173" s="150" t="str">
        <f t="shared" si="22"/>
        <v>Pan Africa (Sub Sahara)SSVariety2</v>
      </c>
      <c r="D1173" s="1">
        <v>3100000</v>
      </c>
      <c r="E1173" t="s">
        <v>149</v>
      </c>
      <c r="F1173" s="150"/>
    </row>
    <row r="1174" spans="1:6" ht="15" hidden="1" customHeight="1" x14ac:dyDescent="0.25">
      <c r="A1174" s="205" t="s">
        <v>15</v>
      </c>
      <c r="B1174" s="11" t="s">
        <v>1201</v>
      </c>
      <c r="C1174" s="11" t="str">
        <f t="shared" si="22"/>
        <v>Pan Africa (Sub Sahara)SSVariety4</v>
      </c>
      <c r="D1174" s="1">
        <v>3100000</v>
      </c>
      <c r="E1174" t="s">
        <v>149</v>
      </c>
      <c r="F1174" s="11"/>
    </row>
    <row r="1175" spans="1:6" ht="15" hidden="1" customHeight="1" x14ac:dyDescent="0.25">
      <c r="A1175" s="13" t="s">
        <v>15</v>
      </c>
      <c r="B1175" s="52" t="s">
        <v>1202</v>
      </c>
      <c r="C1175" t="str">
        <f t="shared" si="22"/>
        <v>Pan Africa (Sub Sahara)Super Sport Select</v>
      </c>
      <c r="D1175" s="1">
        <v>3100000</v>
      </c>
      <c r="E1175" t="s">
        <v>149</v>
      </c>
    </row>
    <row r="1176" spans="1:6" ht="15" hidden="1" customHeight="1" x14ac:dyDescent="0.25">
      <c r="A1176" s="13" t="s">
        <v>15</v>
      </c>
      <c r="B1176" t="s">
        <v>150</v>
      </c>
      <c r="C1176" t="str">
        <f t="shared" si="22"/>
        <v>Pan Africa (Sub Sahara)SuperSport 1</v>
      </c>
      <c r="D1176" s="1">
        <v>3100000</v>
      </c>
      <c r="E1176" t="s">
        <v>149</v>
      </c>
    </row>
    <row r="1177" spans="1:6" ht="15" hidden="1" customHeight="1" x14ac:dyDescent="0.25">
      <c r="A1177" t="s">
        <v>15</v>
      </c>
      <c r="B1177" t="s">
        <v>1203</v>
      </c>
      <c r="C1177" t="str">
        <f t="shared" si="22"/>
        <v>Pan Africa (Sub Sahara)SuperSport 10</v>
      </c>
      <c r="D1177" s="1">
        <v>3100000</v>
      </c>
      <c r="E1177" t="s">
        <v>149</v>
      </c>
    </row>
    <row r="1178" spans="1:6" ht="15" hidden="1" customHeight="1" x14ac:dyDescent="0.25">
      <c r="A1178" s="13" t="s">
        <v>15</v>
      </c>
      <c r="B1178" t="s">
        <v>1204</v>
      </c>
      <c r="C1178" t="str">
        <f t="shared" si="22"/>
        <v>Pan Africa (Sub Sahara)SuperSport 12</v>
      </c>
      <c r="D1178" s="1">
        <v>3100000</v>
      </c>
      <c r="E1178" t="s">
        <v>149</v>
      </c>
    </row>
    <row r="1179" spans="1:6" ht="15" hidden="1" customHeight="1" x14ac:dyDescent="0.25">
      <c r="A1179" s="13" t="s">
        <v>15</v>
      </c>
      <c r="B1179" t="s">
        <v>151</v>
      </c>
      <c r="C1179" t="str">
        <f t="shared" si="22"/>
        <v>Pan Africa (Sub Sahara)SuperSport 2</v>
      </c>
      <c r="D1179" s="1">
        <v>3100000</v>
      </c>
      <c r="E1179" t="s">
        <v>149</v>
      </c>
    </row>
    <row r="1180" spans="1:6" ht="15" hidden="1" customHeight="1" x14ac:dyDescent="0.25">
      <c r="A1180" s="202" t="s">
        <v>15</v>
      </c>
      <c r="B1180" s="175" t="s">
        <v>152</v>
      </c>
      <c r="C1180" s="175" t="str">
        <f t="shared" si="22"/>
        <v>Pan Africa (Sub Sahara)SuperSport 3</v>
      </c>
      <c r="D1180" s="176">
        <v>3100000</v>
      </c>
      <c r="E1180" s="175" t="s">
        <v>149</v>
      </c>
      <c r="F1180" s="175"/>
    </row>
    <row r="1181" spans="1:6" ht="15" hidden="1" customHeight="1" x14ac:dyDescent="0.25">
      <c r="A1181" s="13" t="s">
        <v>15</v>
      </c>
      <c r="B1181" t="s">
        <v>153</v>
      </c>
      <c r="C1181" t="str">
        <f t="shared" si="22"/>
        <v>Pan Africa (Sub Sahara)SuperSport 5</v>
      </c>
      <c r="D1181" s="1">
        <v>3100000</v>
      </c>
      <c r="E1181" t="s">
        <v>149</v>
      </c>
    </row>
    <row r="1182" spans="1:6" ht="15" hidden="1" customHeight="1" x14ac:dyDescent="0.25">
      <c r="A1182" s="13" t="s">
        <v>15</v>
      </c>
      <c r="B1182" t="s">
        <v>154</v>
      </c>
      <c r="C1182" t="str">
        <f t="shared" si="22"/>
        <v>Pan Africa (Sub Sahara)SuperSport 6</v>
      </c>
      <c r="D1182" s="1">
        <v>3100000</v>
      </c>
      <c r="E1182" t="s">
        <v>149</v>
      </c>
    </row>
    <row r="1183" spans="1:6" ht="15" hidden="1" customHeight="1" x14ac:dyDescent="0.25">
      <c r="A1183" s="13" t="s">
        <v>15</v>
      </c>
      <c r="B1183" t="s">
        <v>155</v>
      </c>
      <c r="C1183" t="str">
        <f t="shared" si="22"/>
        <v>Pan Africa (Sub Sahara)SuperSport 7</v>
      </c>
      <c r="D1183" s="1">
        <v>3100000</v>
      </c>
      <c r="E1183" t="s">
        <v>149</v>
      </c>
    </row>
    <row r="1184" spans="1:6" ht="15" hidden="1" customHeight="1" x14ac:dyDescent="0.25">
      <c r="A1184" s="13" t="s">
        <v>15</v>
      </c>
      <c r="B1184" t="s">
        <v>156</v>
      </c>
      <c r="C1184" t="str">
        <f t="shared" si="22"/>
        <v>Pan Africa (Sub Sahara)SuperSport 8</v>
      </c>
      <c r="D1184" s="1">
        <v>3100000</v>
      </c>
      <c r="E1184" t="s">
        <v>149</v>
      </c>
    </row>
    <row r="1185" spans="1:6" ht="15" hidden="1" customHeight="1" x14ac:dyDescent="0.25">
      <c r="A1185" s="202" t="s">
        <v>15</v>
      </c>
      <c r="B1185" s="175" t="s">
        <v>1205</v>
      </c>
      <c r="C1185" s="175" t="str">
        <f t="shared" si="22"/>
        <v>Pan Africa (Sub Sahara)SuperSport 9</v>
      </c>
      <c r="D1185" s="176">
        <v>3100000</v>
      </c>
      <c r="E1185" s="175" t="s">
        <v>149</v>
      </c>
      <c r="F1185" s="175"/>
    </row>
    <row r="1186" spans="1:6" ht="15" hidden="1" customHeight="1" x14ac:dyDescent="0.25">
      <c r="A1186" s="13" t="s">
        <v>15</v>
      </c>
      <c r="B1186" t="s">
        <v>1206</v>
      </c>
      <c r="C1186" t="str">
        <f t="shared" ref="C1186:C1249" si="23">CONCATENATE(A1186,B1186)</f>
        <v>Pan Africa (Sub Sahara)SuperSport Grandstand</v>
      </c>
      <c r="D1186" s="1">
        <v>3100000</v>
      </c>
      <c r="E1186" t="s">
        <v>149</v>
      </c>
    </row>
    <row r="1187" spans="1:6" ht="15" hidden="1" customHeight="1" x14ac:dyDescent="0.25">
      <c r="A1187" s="13" t="s">
        <v>15</v>
      </c>
      <c r="B1187" t="s">
        <v>1207</v>
      </c>
      <c r="C1187" t="str">
        <f t="shared" si="23"/>
        <v>Pan Africa (Sub Sahara)SuperSport Tennis</v>
      </c>
      <c r="D1187" s="1">
        <v>3100000</v>
      </c>
      <c r="E1187" t="s">
        <v>149</v>
      </c>
    </row>
    <row r="1188" spans="1:6" ht="15" hidden="1" customHeight="1" x14ac:dyDescent="0.25">
      <c r="A1188" s="13" t="s">
        <v>15</v>
      </c>
      <c r="B1188" t="s">
        <v>1208</v>
      </c>
      <c r="C1188" t="str">
        <f t="shared" si="23"/>
        <v>Pan Africa (Sub Sahara)SuperSport Variety 2</v>
      </c>
      <c r="D1188" s="1">
        <v>3100000</v>
      </c>
      <c r="E1188" t="s">
        <v>149</v>
      </c>
    </row>
    <row r="1189" spans="1:6" ht="15" hidden="1" customHeight="1" x14ac:dyDescent="0.25">
      <c r="A1189" s="13" t="s">
        <v>15</v>
      </c>
      <c r="B1189" t="s">
        <v>1209</v>
      </c>
      <c r="C1189" t="str">
        <f t="shared" si="23"/>
        <v>Pan Africa (Sub Sahara)SuperSport Variety 4</v>
      </c>
      <c r="D1189" s="1">
        <v>3100000</v>
      </c>
      <c r="E1189" t="s">
        <v>149</v>
      </c>
    </row>
    <row r="1190" spans="1:6" ht="15" hidden="1" customHeight="1" x14ac:dyDescent="0.25">
      <c r="A1190" s="209" t="s">
        <v>19</v>
      </c>
      <c r="B1190" s="155" t="s">
        <v>833</v>
      </c>
      <c r="C1190" s="155" t="str">
        <f t="shared" si="23"/>
        <v>Pan Asia (Indian Subcontinent)DD Sports</v>
      </c>
      <c r="D1190" s="156">
        <v>30800000</v>
      </c>
      <c r="E1190" s="155" t="s">
        <v>149</v>
      </c>
      <c r="F1190" s="155"/>
    </row>
    <row r="1191" spans="1:6" ht="15" hidden="1" customHeight="1" x14ac:dyDescent="0.25">
      <c r="A1191" s="13" t="s">
        <v>19</v>
      </c>
      <c r="B1191" t="s">
        <v>834</v>
      </c>
      <c r="C1191" t="str">
        <f t="shared" si="23"/>
        <v>Pan Asia (Indian Subcontinent)Dsports</v>
      </c>
      <c r="D1191" s="1">
        <v>30800000</v>
      </c>
      <c r="E1191" t="s">
        <v>149</v>
      </c>
      <c r="F1191" t="s">
        <v>1210</v>
      </c>
    </row>
    <row r="1192" spans="1:6" ht="15" hidden="1" customHeight="1" x14ac:dyDescent="0.25">
      <c r="A1192" s="13" t="s">
        <v>19</v>
      </c>
      <c r="B1192" t="s">
        <v>221</v>
      </c>
      <c r="C1192" t="str">
        <f t="shared" si="23"/>
        <v>Pan Asia (Indian Subcontinent)Eurosport</v>
      </c>
      <c r="D1192" s="1">
        <v>30800000</v>
      </c>
      <c r="E1192" t="s">
        <v>149</v>
      </c>
    </row>
    <row r="1193" spans="1:6" ht="15" hidden="1" customHeight="1" x14ac:dyDescent="0.25">
      <c r="A1193" s="13" t="s">
        <v>19</v>
      </c>
      <c r="B1193" t="s">
        <v>837</v>
      </c>
      <c r="C1193" t="str">
        <f t="shared" si="23"/>
        <v>Pan Asia (Indian Subcontinent)Eurosport HD</v>
      </c>
      <c r="D1193" s="1">
        <v>30800000</v>
      </c>
      <c r="E1193" t="s">
        <v>149</v>
      </c>
    </row>
    <row r="1194" spans="1:6" ht="15" hidden="1" customHeight="1" x14ac:dyDescent="0.25">
      <c r="A1194" s="13" t="s">
        <v>19</v>
      </c>
      <c r="B1194" s="41" t="s">
        <v>840</v>
      </c>
      <c r="C1194" t="str">
        <f t="shared" si="23"/>
        <v>Pan Asia (Indian Subcontinent)Neo Sports</v>
      </c>
      <c r="D1194" s="1">
        <v>87118000</v>
      </c>
      <c r="E1194" t="s">
        <v>149</v>
      </c>
      <c r="F1194" t="s">
        <v>841</v>
      </c>
    </row>
    <row r="1195" spans="1:6" ht="15" hidden="1" customHeight="1" x14ac:dyDescent="0.25">
      <c r="A1195" s="13" t="s">
        <v>19</v>
      </c>
      <c r="B1195" t="s">
        <v>842</v>
      </c>
      <c r="C1195" t="str">
        <f t="shared" si="23"/>
        <v>Pan Asia (Indian Subcontinent)Sony ESPN</v>
      </c>
      <c r="D1195" s="1">
        <v>87118000</v>
      </c>
      <c r="E1195" t="s">
        <v>149</v>
      </c>
    </row>
    <row r="1196" spans="1:6" ht="15" hidden="1" customHeight="1" x14ac:dyDescent="0.25">
      <c r="A1196" s="13" t="s">
        <v>19</v>
      </c>
      <c r="B1196" t="s">
        <v>844</v>
      </c>
      <c r="C1196" t="str">
        <f t="shared" si="23"/>
        <v>Pan Asia (Indian Subcontinent)Sony ESPN HD</v>
      </c>
      <c r="D1196" s="1">
        <v>87118000</v>
      </c>
      <c r="E1196" t="s">
        <v>149</v>
      </c>
    </row>
    <row r="1197" spans="1:6" ht="15" hidden="1" customHeight="1" x14ac:dyDescent="0.25">
      <c r="A1197" s="13" t="s">
        <v>19</v>
      </c>
      <c r="B1197" s="40" t="s">
        <v>846</v>
      </c>
      <c r="C1197" t="str">
        <f t="shared" si="23"/>
        <v>Pan Asia (Indian Subcontinent)Sony ESPN(v)</v>
      </c>
      <c r="D1197" s="1">
        <v>87118000</v>
      </c>
      <c r="E1197" t="s">
        <v>149</v>
      </c>
    </row>
    <row r="1198" spans="1:6" ht="15" hidden="1" customHeight="1" x14ac:dyDescent="0.25">
      <c r="A1198" s="203" t="s">
        <v>19</v>
      </c>
      <c r="B1198" s="147" t="s">
        <v>847</v>
      </c>
      <c r="C1198" s="11" t="str">
        <f t="shared" si="23"/>
        <v>Pan Asia (Indian Subcontinent)Sony Six</v>
      </c>
      <c r="D1198" s="1">
        <v>87118000</v>
      </c>
      <c r="E1198" t="s">
        <v>149</v>
      </c>
      <c r="F1198" s="11"/>
    </row>
    <row r="1199" spans="1:6" ht="15" hidden="1" customHeight="1" x14ac:dyDescent="0.25">
      <c r="A1199" s="13" t="s">
        <v>19</v>
      </c>
      <c r="B1199" s="40" t="s">
        <v>848</v>
      </c>
      <c r="C1199" t="str">
        <f t="shared" si="23"/>
        <v>Pan Asia (Indian Subcontinent)Sony SIX HD</v>
      </c>
      <c r="D1199" s="1">
        <v>87118000</v>
      </c>
      <c r="E1199" t="s">
        <v>149</v>
      </c>
    </row>
    <row r="1200" spans="1:6" ht="15" hidden="1" customHeight="1" x14ac:dyDescent="0.25">
      <c r="A1200" s="13" t="s">
        <v>19</v>
      </c>
      <c r="B1200" s="40" t="s">
        <v>849</v>
      </c>
      <c r="C1200" t="str">
        <f t="shared" si="23"/>
        <v>Pan Asia (Indian Subcontinent)Sony SIX(v)</v>
      </c>
      <c r="D1200" s="1">
        <v>87118000</v>
      </c>
      <c r="E1200" t="s">
        <v>149</v>
      </c>
    </row>
    <row r="1201" spans="1:6" ht="15" hidden="1" customHeight="1" x14ac:dyDescent="0.25">
      <c r="A1201" t="s">
        <v>19</v>
      </c>
      <c r="B1201" t="s">
        <v>850</v>
      </c>
      <c r="C1201" t="str">
        <f t="shared" si="23"/>
        <v>Pan Asia (Indian Subcontinent)Sony Ten 1</v>
      </c>
      <c r="D1201" s="1">
        <v>87118000</v>
      </c>
      <c r="E1201" t="s">
        <v>149</v>
      </c>
      <c r="F1201" t="s">
        <v>841</v>
      </c>
    </row>
    <row r="1202" spans="1:6" ht="15" hidden="1" customHeight="1" x14ac:dyDescent="0.25">
      <c r="A1202" t="s">
        <v>19</v>
      </c>
      <c r="B1202" t="s">
        <v>851</v>
      </c>
      <c r="C1202" t="str">
        <f t="shared" si="23"/>
        <v>Pan Asia (Indian Subcontinent)Sony Ten 1 HD</v>
      </c>
      <c r="D1202" s="1">
        <v>87118000</v>
      </c>
      <c r="E1202" t="s">
        <v>149</v>
      </c>
      <c r="F1202" t="s">
        <v>841</v>
      </c>
    </row>
    <row r="1203" spans="1:6" ht="15" hidden="1" customHeight="1" x14ac:dyDescent="0.25">
      <c r="A1203" s="205" t="s">
        <v>19</v>
      </c>
      <c r="B1203" s="11" t="s">
        <v>852</v>
      </c>
      <c r="C1203" s="11" t="str">
        <f t="shared" si="23"/>
        <v>Pan Asia (Indian Subcontinent)Sony Ten 2</v>
      </c>
      <c r="D1203" s="1">
        <v>87118000</v>
      </c>
      <c r="E1203" t="s">
        <v>149</v>
      </c>
      <c r="F1203" s="11"/>
    </row>
    <row r="1204" spans="1:6" ht="15" hidden="1" customHeight="1" x14ac:dyDescent="0.25">
      <c r="A1204" s="205" t="s">
        <v>19</v>
      </c>
      <c r="B1204" s="11" t="s">
        <v>853</v>
      </c>
      <c r="C1204" s="11" t="str">
        <f t="shared" si="23"/>
        <v>Pan Asia (Indian Subcontinent)Sony Ten 2 HD</v>
      </c>
      <c r="D1204" s="1">
        <v>87118000</v>
      </c>
      <c r="E1204" t="s">
        <v>149</v>
      </c>
      <c r="F1204" s="11"/>
    </row>
    <row r="1205" spans="1:6" ht="15" hidden="1" customHeight="1" x14ac:dyDescent="0.25">
      <c r="A1205" s="205" t="s">
        <v>19</v>
      </c>
      <c r="B1205" s="11" t="s">
        <v>854</v>
      </c>
      <c r="C1205" s="11" t="str">
        <f t="shared" si="23"/>
        <v>Pan Asia (Indian Subcontinent)Sony Ten 3</v>
      </c>
      <c r="D1205" s="1">
        <v>87118000</v>
      </c>
      <c r="E1205" t="s">
        <v>149</v>
      </c>
      <c r="F1205" s="11"/>
    </row>
    <row r="1206" spans="1:6" ht="15" hidden="1" customHeight="1" x14ac:dyDescent="0.25">
      <c r="A1206" s="205" t="s">
        <v>19</v>
      </c>
      <c r="B1206" s="11" t="s">
        <v>855</v>
      </c>
      <c r="C1206" s="11" t="str">
        <f t="shared" si="23"/>
        <v>Pan Asia (Indian Subcontinent)Sony Ten 3 HD</v>
      </c>
      <c r="D1206" s="1">
        <v>87118000</v>
      </c>
      <c r="E1206" t="s">
        <v>149</v>
      </c>
      <c r="F1206" s="11"/>
    </row>
    <row r="1207" spans="1:6" ht="15" hidden="1" customHeight="1" x14ac:dyDescent="0.25">
      <c r="A1207" s="13" t="s">
        <v>19</v>
      </c>
      <c r="B1207" t="s">
        <v>856</v>
      </c>
      <c r="C1207" t="str">
        <f t="shared" si="23"/>
        <v>Pan Asia (Indian Subcontinent)Sony Ten Golf HD</v>
      </c>
      <c r="D1207" s="1">
        <v>87118000</v>
      </c>
      <c r="E1207" t="s">
        <v>149</v>
      </c>
    </row>
    <row r="1208" spans="1:6" ht="15" hidden="1" customHeight="1" x14ac:dyDescent="0.25">
      <c r="A1208" s="205" t="s">
        <v>19</v>
      </c>
      <c r="B1208" s="11" t="s">
        <v>1211</v>
      </c>
      <c r="C1208" s="11" t="str">
        <f t="shared" si="23"/>
        <v>Pan Asia (Indian Subcontinent)SonySIX(v)</v>
      </c>
      <c r="D1208" s="1">
        <v>87118000</v>
      </c>
      <c r="E1208" t="s">
        <v>149</v>
      </c>
      <c r="F1208" s="11"/>
    </row>
    <row r="1209" spans="1:6" ht="15" hidden="1" customHeight="1" x14ac:dyDescent="0.25">
      <c r="A1209" s="211" t="s">
        <v>19</v>
      </c>
      <c r="B1209" s="166" t="s">
        <v>548</v>
      </c>
      <c r="C1209" s="162" t="str">
        <f t="shared" si="23"/>
        <v>Pan Asia (Indian Subcontinent)Star Sports 1</v>
      </c>
      <c r="D1209" s="1">
        <v>87118000</v>
      </c>
      <c r="E1209" t="s">
        <v>149</v>
      </c>
      <c r="F1209" s="162"/>
    </row>
    <row r="1210" spans="1:6" ht="15" hidden="1" customHeight="1" x14ac:dyDescent="0.25">
      <c r="A1210" s="211" t="s">
        <v>19</v>
      </c>
      <c r="B1210" s="166" t="s">
        <v>857</v>
      </c>
      <c r="C1210" s="162" t="str">
        <f t="shared" si="23"/>
        <v>Pan Asia (Indian Subcontinent)Star Sports 1 HD</v>
      </c>
      <c r="D1210" s="1">
        <v>87118000</v>
      </c>
      <c r="E1210" t="s">
        <v>149</v>
      </c>
      <c r="F1210" s="162"/>
    </row>
    <row r="1211" spans="1:6" ht="15" hidden="1" customHeight="1" x14ac:dyDescent="0.25">
      <c r="A1211" s="13" t="s">
        <v>19</v>
      </c>
      <c r="B1211" t="s">
        <v>858</v>
      </c>
      <c r="C1211" t="str">
        <f t="shared" si="23"/>
        <v>Pan Asia (Indian Subcontinent)STAR Sports 2</v>
      </c>
      <c r="D1211" s="1">
        <v>87118000</v>
      </c>
      <c r="E1211" t="s">
        <v>149</v>
      </c>
      <c r="F1211" t="s">
        <v>841</v>
      </c>
    </row>
    <row r="1212" spans="1:6" ht="15" hidden="1" customHeight="1" x14ac:dyDescent="0.25">
      <c r="A1212" s="13" t="s">
        <v>19</v>
      </c>
      <c r="B1212" t="s">
        <v>859</v>
      </c>
      <c r="C1212" t="str">
        <f t="shared" si="23"/>
        <v>Pan Asia (Indian Subcontinent)STAR Sports 2 HD</v>
      </c>
      <c r="D1212" s="1">
        <v>87118000</v>
      </c>
      <c r="E1212" t="s">
        <v>149</v>
      </c>
    </row>
    <row r="1213" spans="1:6" ht="15" hidden="1" customHeight="1" x14ac:dyDescent="0.25">
      <c r="A1213" s="209" t="s">
        <v>19</v>
      </c>
      <c r="B1213" s="155" t="s">
        <v>860</v>
      </c>
      <c r="C1213" s="155" t="str">
        <f t="shared" si="23"/>
        <v>Pan Asia (Indian Subcontinent)STAR Sports 2(v)</v>
      </c>
      <c r="D1213" s="156">
        <v>87118000</v>
      </c>
      <c r="E1213" s="155" t="s">
        <v>149</v>
      </c>
      <c r="F1213" s="155"/>
    </row>
    <row r="1214" spans="1:6" ht="15" hidden="1" customHeight="1" x14ac:dyDescent="0.25">
      <c r="A1214" s="211" t="s">
        <v>19</v>
      </c>
      <c r="B1214" s="166" t="s">
        <v>861</v>
      </c>
      <c r="C1214" s="162" t="str">
        <f t="shared" si="23"/>
        <v>Pan Asia (Indian Subcontinent)Star Sports 3</v>
      </c>
      <c r="D1214" s="1">
        <v>87118000</v>
      </c>
      <c r="E1214" t="s">
        <v>149</v>
      </c>
      <c r="F1214" s="162"/>
    </row>
    <row r="1215" spans="1:6" ht="15" hidden="1" customHeight="1" x14ac:dyDescent="0.25">
      <c r="A1215" s="209" t="s">
        <v>19</v>
      </c>
      <c r="B1215" s="155" t="s">
        <v>862</v>
      </c>
      <c r="C1215" s="155" t="str">
        <f t="shared" si="23"/>
        <v>Pan Asia (Indian Subcontinent)STAR Sports 3(v)</v>
      </c>
      <c r="D1215" s="156">
        <v>87118000</v>
      </c>
      <c r="E1215" s="155" t="s">
        <v>149</v>
      </c>
      <c r="F1215" s="155"/>
    </row>
    <row r="1216" spans="1:6" ht="15" hidden="1" customHeight="1" x14ac:dyDescent="0.25">
      <c r="A1216" t="s">
        <v>19</v>
      </c>
      <c r="B1216" t="s">
        <v>863</v>
      </c>
      <c r="C1216" t="str">
        <f t="shared" si="23"/>
        <v>Pan Asia (Indian Subcontinent)STAR Sports 4</v>
      </c>
      <c r="D1216" s="1">
        <v>87118000</v>
      </c>
      <c r="E1216" t="s">
        <v>149</v>
      </c>
      <c r="F1216" t="s">
        <v>841</v>
      </c>
    </row>
    <row r="1217" spans="1:6" ht="15" hidden="1" customHeight="1" x14ac:dyDescent="0.25">
      <c r="A1217" s="13" t="s">
        <v>19</v>
      </c>
      <c r="B1217" t="s">
        <v>865</v>
      </c>
      <c r="C1217" t="str">
        <f t="shared" si="23"/>
        <v>Pan Asia (Indian Subcontinent)STAR Sports Select 1</v>
      </c>
      <c r="D1217" s="1">
        <v>35200000</v>
      </c>
      <c r="E1217" t="s">
        <v>149</v>
      </c>
      <c r="F1217" t="s">
        <v>1212</v>
      </c>
    </row>
    <row r="1218" spans="1:6" ht="15" hidden="1" customHeight="1" x14ac:dyDescent="0.25">
      <c r="A1218" t="s">
        <v>19</v>
      </c>
      <c r="B1218" t="s">
        <v>867</v>
      </c>
      <c r="C1218" t="str">
        <f t="shared" si="23"/>
        <v>Pan Asia (Indian Subcontinent)STAR Sports Select 1 HD</v>
      </c>
      <c r="D1218" s="1">
        <v>4400000</v>
      </c>
      <c r="E1218" t="s">
        <v>149</v>
      </c>
      <c r="F1218" t="s">
        <v>1212</v>
      </c>
    </row>
    <row r="1219" spans="1:6" ht="15" hidden="1" customHeight="1" x14ac:dyDescent="0.25">
      <c r="A1219" t="s">
        <v>19</v>
      </c>
      <c r="B1219" t="s">
        <v>868</v>
      </c>
      <c r="C1219" t="str">
        <f t="shared" si="23"/>
        <v>Pan Asia (Indian Subcontinent)STAR Sports Select 1 SD</v>
      </c>
      <c r="D1219" s="1">
        <v>35200000</v>
      </c>
      <c r="E1219" t="s">
        <v>149</v>
      </c>
      <c r="F1219" t="s">
        <v>1212</v>
      </c>
    </row>
    <row r="1220" spans="1:6" ht="15" hidden="1" customHeight="1" x14ac:dyDescent="0.25">
      <c r="A1220" s="13" t="s">
        <v>19</v>
      </c>
      <c r="B1220" t="s">
        <v>869</v>
      </c>
      <c r="C1220" t="str">
        <f t="shared" si="23"/>
        <v>Pan Asia (Indian Subcontinent)STAR Sports Select 2</v>
      </c>
      <c r="D1220">
        <v>87118000</v>
      </c>
      <c r="E1220" t="s">
        <v>149</v>
      </c>
    </row>
    <row r="1221" spans="1:6" ht="15" hidden="1" customHeight="1" x14ac:dyDescent="0.25">
      <c r="A1221" t="s">
        <v>19</v>
      </c>
      <c r="B1221" t="s">
        <v>870</v>
      </c>
      <c r="C1221" t="str">
        <f t="shared" si="23"/>
        <v>Pan Asia (Indian Subcontinent)STAR Sports Select 2 HD</v>
      </c>
      <c r="D1221" s="1">
        <v>4400000</v>
      </c>
      <c r="E1221" t="s">
        <v>149</v>
      </c>
      <c r="F1221" t="s">
        <v>1212</v>
      </c>
    </row>
    <row r="1222" spans="1:6" ht="15" hidden="1" customHeight="1" x14ac:dyDescent="0.25">
      <c r="A1222" t="s">
        <v>19</v>
      </c>
      <c r="B1222" t="s">
        <v>871</v>
      </c>
      <c r="C1222" t="str">
        <f t="shared" si="23"/>
        <v>Pan Asia (Indian Subcontinent)STAR Sports Select 2 SD</v>
      </c>
      <c r="D1222" s="1">
        <v>25520000</v>
      </c>
      <c r="E1222" t="s">
        <v>149</v>
      </c>
      <c r="F1222" t="s">
        <v>1212</v>
      </c>
    </row>
    <row r="1223" spans="1:6" ht="15" hidden="1" customHeight="1" x14ac:dyDescent="0.25">
      <c r="A1223" s="13" t="s">
        <v>19</v>
      </c>
      <c r="B1223" t="s">
        <v>872</v>
      </c>
      <c r="C1223" t="str">
        <f t="shared" si="23"/>
        <v>Pan Asia (Indian Subcontinent)Star Sports Select HD1</v>
      </c>
      <c r="D1223" s="1">
        <v>87118000</v>
      </c>
      <c r="E1223" t="s">
        <v>149</v>
      </c>
      <c r="F1223" t="s">
        <v>841</v>
      </c>
    </row>
    <row r="1224" spans="1:6" ht="15" hidden="1" customHeight="1" x14ac:dyDescent="0.25">
      <c r="A1224" s="13" t="s">
        <v>19</v>
      </c>
      <c r="B1224" t="s">
        <v>873</v>
      </c>
      <c r="C1224" t="str">
        <f t="shared" si="23"/>
        <v>Pan Asia (Indian Subcontinent)Star Sports Select HD2</v>
      </c>
      <c r="D1224" s="1">
        <v>87118000</v>
      </c>
      <c r="E1224" t="s">
        <v>149</v>
      </c>
      <c r="F1224" t="s">
        <v>841</v>
      </c>
    </row>
    <row r="1225" spans="1:6" ht="15" hidden="1" customHeight="1" x14ac:dyDescent="0.25">
      <c r="A1225" s="13" t="s">
        <v>19</v>
      </c>
      <c r="B1225" t="s">
        <v>874</v>
      </c>
      <c r="C1225" t="str">
        <f t="shared" si="23"/>
        <v>Pan Asia (Indian Subcontinent)Ten 1</v>
      </c>
      <c r="D1225" s="1">
        <v>87118000</v>
      </c>
      <c r="E1225" t="s">
        <v>149</v>
      </c>
    </row>
    <row r="1226" spans="1:6" ht="15" hidden="1" customHeight="1" x14ac:dyDescent="0.25">
      <c r="A1226" s="13" t="s">
        <v>19</v>
      </c>
      <c r="B1226" t="s">
        <v>875</v>
      </c>
      <c r="C1226" t="str">
        <f t="shared" si="23"/>
        <v>Pan Asia (Indian Subcontinent)Ten 1 HD</v>
      </c>
      <c r="D1226" s="1">
        <v>87118000</v>
      </c>
      <c r="E1226" t="s">
        <v>149</v>
      </c>
    </row>
    <row r="1227" spans="1:6" ht="15" hidden="1" customHeight="1" x14ac:dyDescent="0.25">
      <c r="A1227" s="13" t="s">
        <v>19</v>
      </c>
      <c r="B1227" t="s">
        <v>876</v>
      </c>
      <c r="C1227" t="str">
        <f t="shared" si="23"/>
        <v>Pan Asia (Indian Subcontinent)Ten 2</v>
      </c>
      <c r="D1227" s="1">
        <v>87118000</v>
      </c>
      <c r="E1227" t="s">
        <v>149</v>
      </c>
    </row>
    <row r="1228" spans="1:6" ht="15" hidden="1" customHeight="1" x14ac:dyDescent="0.25">
      <c r="A1228" s="13" t="s">
        <v>19</v>
      </c>
      <c r="B1228" t="s">
        <v>877</v>
      </c>
      <c r="C1228" t="str">
        <f t="shared" si="23"/>
        <v>Pan Asia (Indian Subcontinent)Ten 3</v>
      </c>
      <c r="D1228" s="120">
        <v>87118000</v>
      </c>
      <c r="E1228" t="s">
        <v>149</v>
      </c>
    </row>
    <row r="1229" spans="1:6" ht="15" hidden="1" customHeight="1" x14ac:dyDescent="0.25">
      <c r="A1229" s="13" t="s">
        <v>19</v>
      </c>
      <c r="B1229" t="s">
        <v>839</v>
      </c>
      <c r="C1229" t="str">
        <f t="shared" si="23"/>
        <v>Pan Asia (Indian Subcontinent)Ten Golf HD</v>
      </c>
      <c r="D1229" s="1">
        <v>87118000</v>
      </c>
      <c r="E1229" t="s">
        <v>149</v>
      </c>
    </row>
    <row r="1230" spans="1:6" ht="15" hidden="1" customHeight="1" x14ac:dyDescent="0.25">
      <c r="A1230" s="13" t="s">
        <v>8</v>
      </c>
      <c r="B1230" t="s">
        <v>1213</v>
      </c>
      <c r="C1230" t="str">
        <f t="shared" si="23"/>
        <v>Pan AsiaCNBC</v>
      </c>
      <c r="D1230" s="1">
        <v>75842044</v>
      </c>
      <c r="E1230" t="s">
        <v>149</v>
      </c>
      <c r="F1230" t="s">
        <v>1214</v>
      </c>
    </row>
    <row r="1231" spans="1:6" ht="15" hidden="1" customHeight="1" x14ac:dyDescent="0.25">
      <c r="A1231" s="13" t="s">
        <v>8</v>
      </c>
      <c r="B1231" t="s">
        <v>221</v>
      </c>
      <c r="C1231" t="str">
        <f t="shared" si="23"/>
        <v>Pan AsiaEurosport</v>
      </c>
      <c r="D1231" s="1">
        <v>10700000</v>
      </c>
      <c r="E1231" t="s">
        <v>149</v>
      </c>
      <c r="F1231" t="s">
        <v>1215</v>
      </c>
    </row>
    <row r="1232" spans="1:6" ht="15" hidden="1" customHeight="1" x14ac:dyDescent="0.25">
      <c r="A1232" s="13" t="s">
        <v>8</v>
      </c>
      <c r="B1232" t="s">
        <v>793</v>
      </c>
      <c r="C1232" s="104" t="str">
        <f t="shared" si="23"/>
        <v>Pan AsiaFOX SPORTS</v>
      </c>
      <c r="D1232" s="1">
        <v>41686315</v>
      </c>
      <c r="E1232" t="s">
        <v>149</v>
      </c>
      <c r="F1232" t="s">
        <v>1216</v>
      </c>
    </row>
    <row r="1233" spans="1:6" ht="15" hidden="1" customHeight="1" x14ac:dyDescent="0.25">
      <c r="A1233" s="13" t="s">
        <v>8</v>
      </c>
      <c r="B1233" t="s">
        <v>195</v>
      </c>
      <c r="C1233" s="104" t="str">
        <f t="shared" si="23"/>
        <v>Pan AsiaFox Sports 2</v>
      </c>
      <c r="D1233" s="1">
        <v>41686315</v>
      </c>
      <c r="E1233" s="19" t="s">
        <v>149</v>
      </c>
    </row>
    <row r="1234" spans="1:6" ht="15" hidden="1" customHeight="1" x14ac:dyDescent="0.25">
      <c r="A1234" s="13" t="s">
        <v>8</v>
      </c>
      <c r="B1234" t="s">
        <v>882</v>
      </c>
      <c r="C1234" t="str">
        <f t="shared" si="23"/>
        <v>Pan AsiaFox Sports 2 HD</v>
      </c>
      <c r="D1234" s="1">
        <v>41686315</v>
      </c>
      <c r="E1234" s="19" t="s">
        <v>149</v>
      </c>
    </row>
    <row r="1235" spans="1:6" ht="15" hidden="1" customHeight="1" x14ac:dyDescent="0.25">
      <c r="A1235" t="s">
        <v>8</v>
      </c>
      <c r="B1235" t="s">
        <v>197</v>
      </c>
      <c r="C1235" t="str">
        <f t="shared" si="23"/>
        <v>Pan AsiaFox Sports 3</v>
      </c>
      <c r="D1235" s="1">
        <v>41686315</v>
      </c>
      <c r="E1235" s="19" t="s">
        <v>149</v>
      </c>
    </row>
    <row r="1236" spans="1:6" ht="15" hidden="1" customHeight="1" x14ac:dyDescent="0.25">
      <c r="A1236" s="203" t="s">
        <v>8</v>
      </c>
      <c r="B1236" s="147" t="s">
        <v>1076</v>
      </c>
      <c r="C1236" s="11" t="str">
        <f t="shared" si="23"/>
        <v>Pan AsiaFox Sports 3 HD</v>
      </c>
      <c r="D1236" s="1">
        <v>41686315</v>
      </c>
      <c r="E1236" s="19" t="s">
        <v>149</v>
      </c>
      <c r="F1236" s="11"/>
    </row>
    <row r="1237" spans="1:6" ht="15" hidden="1" customHeight="1" x14ac:dyDescent="0.25">
      <c r="A1237" s="13" t="s">
        <v>8</v>
      </c>
      <c r="B1237" t="s">
        <v>199</v>
      </c>
      <c r="C1237" t="str">
        <f t="shared" si="23"/>
        <v>Pan AsiaFox Sports HD</v>
      </c>
      <c r="D1237" s="1">
        <v>41686315</v>
      </c>
      <c r="E1237" t="s">
        <v>149</v>
      </c>
      <c r="F1237" t="s">
        <v>1216</v>
      </c>
    </row>
    <row r="1238" spans="1:6" ht="15" hidden="1" customHeight="1" x14ac:dyDescent="0.25">
      <c r="A1238" s="13" t="s">
        <v>8</v>
      </c>
      <c r="B1238" t="s">
        <v>431</v>
      </c>
      <c r="C1238" t="str">
        <f t="shared" si="23"/>
        <v>Pan AsiaGOLF HD</v>
      </c>
      <c r="D1238" s="1">
        <v>34028668.157290474</v>
      </c>
      <c r="E1238" t="s">
        <v>149</v>
      </c>
      <c r="F1238" t="s">
        <v>1217</v>
      </c>
    </row>
    <row r="1239" spans="1:6" ht="15" hidden="1" customHeight="1" x14ac:dyDescent="0.25">
      <c r="A1239" s="13" t="s">
        <v>8</v>
      </c>
      <c r="B1239" s="55" t="s">
        <v>1218</v>
      </c>
      <c r="C1239" t="str">
        <f t="shared" si="23"/>
        <v>Pan AsiaStar Sports</v>
      </c>
      <c r="D1239" s="1">
        <v>5177000</v>
      </c>
      <c r="E1239" t="s">
        <v>149</v>
      </c>
    </row>
    <row r="1240" spans="1:6" ht="15" hidden="1" customHeight="1" x14ac:dyDescent="0.25">
      <c r="A1240" s="13" t="s">
        <v>8</v>
      </c>
      <c r="B1240" s="55" t="s">
        <v>549</v>
      </c>
      <c r="C1240" t="str">
        <f t="shared" si="23"/>
        <v>Pan AsiaStar Sports 2</v>
      </c>
      <c r="D1240" s="1">
        <v>5177000</v>
      </c>
      <c r="E1240" t="s">
        <v>149</v>
      </c>
    </row>
    <row r="1241" spans="1:6" ht="15" hidden="1" customHeight="1" x14ac:dyDescent="0.25">
      <c r="A1241" s="13" t="s">
        <v>95</v>
      </c>
      <c r="B1241" t="s">
        <v>1219</v>
      </c>
      <c r="C1241" t="str">
        <f t="shared" si="23"/>
        <v>Pan C&amp;S America (Caribbean)Canal F1</v>
      </c>
      <c r="D1241" s="114" t="s">
        <v>658</v>
      </c>
      <c r="E1241" t="s">
        <v>149</v>
      </c>
    </row>
    <row r="1242" spans="1:6" ht="15" hidden="1" customHeight="1" x14ac:dyDescent="0.25">
      <c r="A1242" s="13" t="s">
        <v>95</v>
      </c>
      <c r="B1242" t="s">
        <v>1220</v>
      </c>
      <c r="C1242" t="str">
        <f t="shared" si="23"/>
        <v>Pan C&amp;S America (Caribbean)DirecTV Sports</v>
      </c>
      <c r="D1242" s="1">
        <v>3200000</v>
      </c>
      <c r="E1242" t="s">
        <v>149</v>
      </c>
    </row>
    <row r="1243" spans="1:6" ht="15" hidden="1" customHeight="1" x14ac:dyDescent="0.25">
      <c r="A1243" s="13" t="s">
        <v>95</v>
      </c>
      <c r="B1243" t="s">
        <v>183</v>
      </c>
      <c r="C1243" t="str">
        <f t="shared" si="23"/>
        <v>Pan C&amp;S America (Caribbean)ESPN</v>
      </c>
      <c r="D1243" s="1">
        <v>954000</v>
      </c>
      <c r="E1243" t="s">
        <v>149</v>
      </c>
      <c r="F1243" t="s">
        <v>1221</v>
      </c>
    </row>
    <row r="1244" spans="1:6" ht="15" hidden="1" customHeight="1" x14ac:dyDescent="0.25">
      <c r="A1244" s="205" t="s">
        <v>95</v>
      </c>
      <c r="B1244" s="11" t="s">
        <v>184</v>
      </c>
      <c r="C1244" s="11" t="str">
        <f t="shared" si="23"/>
        <v>Pan C&amp;S America (Caribbean)ESPN +</v>
      </c>
      <c r="D1244" s="1">
        <v>954000</v>
      </c>
      <c r="E1244" t="s">
        <v>149</v>
      </c>
      <c r="F1244" s="11"/>
    </row>
    <row r="1245" spans="1:6" ht="15" hidden="1" customHeight="1" x14ac:dyDescent="0.25">
      <c r="A1245" s="13" t="s">
        <v>95</v>
      </c>
      <c r="B1245" t="s">
        <v>185</v>
      </c>
      <c r="C1245" t="str">
        <f t="shared" si="23"/>
        <v>Pan C&amp;S America (Caribbean)ESPN 2</v>
      </c>
      <c r="D1245" s="1">
        <v>954000</v>
      </c>
      <c r="E1245" t="s">
        <v>149</v>
      </c>
      <c r="F1245" t="s">
        <v>1221</v>
      </c>
    </row>
    <row r="1246" spans="1:6" ht="15" hidden="1" customHeight="1" x14ac:dyDescent="0.25">
      <c r="A1246" s="209" t="s">
        <v>95</v>
      </c>
      <c r="B1246" s="155" t="s">
        <v>1222</v>
      </c>
      <c r="C1246" s="155" t="str">
        <f t="shared" si="23"/>
        <v>Pan C&amp;S America (Caribbean)ESPN 2 Caribbean</v>
      </c>
      <c r="D1246" s="156">
        <v>954000</v>
      </c>
      <c r="E1246" s="155" t="s">
        <v>149</v>
      </c>
      <c r="F1246" s="155"/>
    </row>
    <row r="1247" spans="1:6" ht="15" hidden="1" customHeight="1" x14ac:dyDescent="0.25">
      <c r="A1247" s="13" t="s">
        <v>95</v>
      </c>
      <c r="B1247" t="s">
        <v>186</v>
      </c>
      <c r="C1247" t="str">
        <f t="shared" si="23"/>
        <v>Pan C&amp;S America (Caribbean)ESPN 3</v>
      </c>
      <c r="D1247" s="1">
        <v>954000</v>
      </c>
      <c r="E1247" t="s">
        <v>149</v>
      </c>
      <c r="F1247" t="s">
        <v>1221</v>
      </c>
    </row>
    <row r="1248" spans="1:6" ht="15" hidden="1" customHeight="1" x14ac:dyDescent="0.25">
      <c r="A1248" s="50" t="s">
        <v>95</v>
      </c>
      <c r="B1248" s="34" t="s">
        <v>1223</v>
      </c>
      <c r="C1248" t="str">
        <f t="shared" si="23"/>
        <v>Pan C&amp;S America (Caribbean)ESPN Caribbean</v>
      </c>
      <c r="D1248" s="1">
        <v>954000</v>
      </c>
      <c r="E1248" t="s">
        <v>149</v>
      </c>
      <c r="F1248" t="s">
        <v>1221</v>
      </c>
    </row>
    <row r="1249" spans="1:6" ht="15" hidden="1" customHeight="1" x14ac:dyDescent="0.25">
      <c r="A1249" s="13" t="s">
        <v>95</v>
      </c>
      <c r="B1249" t="s">
        <v>189</v>
      </c>
      <c r="C1249" t="str">
        <f t="shared" si="23"/>
        <v>Pan C&amp;S America (Caribbean)ESPN HD</v>
      </c>
      <c r="D1249" s="1">
        <v>954000</v>
      </c>
      <c r="E1249" t="s">
        <v>149</v>
      </c>
      <c r="F1249" t="s">
        <v>1221</v>
      </c>
    </row>
    <row r="1250" spans="1:6" ht="15" hidden="1" customHeight="1" x14ac:dyDescent="0.25">
      <c r="A1250" s="13" t="s">
        <v>95</v>
      </c>
      <c r="B1250" t="s">
        <v>190</v>
      </c>
      <c r="C1250" t="str">
        <f t="shared" ref="C1250:C1313" si="24">CONCATENATE(A1250,B1250)</f>
        <v>Pan C&amp;S America (Caribbean)ESPN Internacional</v>
      </c>
      <c r="D1250" s="1">
        <v>954000</v>
      </c>
      <c r="E1250" t="s">
        <v>149</v>
      </c>
      <c r="F1250" t="s">
        <v>1221</v>
      </c>
    </row>
    <row r="1251" spans="1:6" ht="15" hidden="1" customHeight="1" x14ac:dyDescent="0.25">
      <c r="A1251" s="50" t="s">
        <v>95</v>
      </c>
      <c r="B1251" s="34" t="s">
        <v>192</v>
      </c>
      <c r="C1251" t="str">
        <f t="shared" si="24"/>
        <v>Pan C&amp;S America (Caribbean)ESPN+</v>
      </c>
      <c r="D1251" s="1">
        <v>954000</v>
      </c>
      <c r="E1251" t="s">
        <v>149</v>
      </c>
      <c r="F1251" t="s">
        <v>1221</v>
      </c>
    </row>
    <row r="1252" spans="1:6" ht="15" hidden="1" customHeight="1" x14ac:dyDescent="0.25">
      <c r="A1252" t="s">
        <v>95</v>
      </c>
      <c r="B1252" t="s">
        <v>1224</v>
      </c>
      <c r="C1252" t="str">
        <f t="shared" si="24"/>
        <v>Pan C&amp;S America (Caribbean)ESPN2 Caribbean</v>
      </c>
      <c r="D1252" s="1">
        <v>954000</v>
      </c>
      <c r="E1252" t="s">
        <v>149</v>
      </c>
      <c r="F1252" t="s">
        <v>1221</v>
      </c>
    </row>
    <row r="1253" spans="1:6" ht="15" hidden="1" customHeight="1" x14ac:dyDescent="0.25">
      <c r="A1253" s="13" t="s">
        <v>95</v>
      </c>
      <c r="B1253" t="s">
        <v>225</v>
      </c>
      <c r="C1253" t="str">
        <f t="shared" si="24"/>
        <v>Pan C&amp;S America (Caribbean)FOX Sports 2</v>
      </c>
      <c r="D1253" s="1">
        <v>300000</v>
      </c>
      <c r="E1253" t="s">
        <v>149</v>
      </c>
    </row>
    <row r="1254" spans="1:6" ht="15" hidden="1" customHeight="1" x14ac:dyDescent="0.25">
      <c r="A1254" s="13" t="s">
        <v>95</v>
      </c>
      <c r="B1254" s="7" t="s">
        <v>197</v>
      </c>
      <c r="C1254" t="str">
        <f t="shared" si="24"/>
        <v>Pan C&amp;S America (Caribbean)Fox Sports 3</v>
      </c>
      <c r="D1254" s="1">
        <v>300000</v>
      </c>
      <c r="E1254" t="s">
        <v>149</v>
      </c>
    </row>
    <row r="1255" spans="1:6" ht="15" hidden="1" customHeight="1" x14ac:dyDescent="0.25">
      <c r="A1255" s="13" t="s">
        <v>95</v>
      </c>
      <c r="B1255" t="s">
        <v>1225</v>
      </c>
      <c r="C1255" t="str">
        <f t="shared" si="24"/>
        <v>Pan C&amp;S America (Caribbean)SportMax</v>
      </c>
      <c r="D1255" s="1">
        <v>3200000</v>
      </c>
      <c r="E1255" t="s">
        <v>149</v>
      </c>
      <c r="F1255" t="s">
        <v>1226</v>
      </c>
    </row>
    <row r="1256" spans="1:6" ht="15" hidden="1" customHeight="1" x14ac:dyDescent="0.25">
      <c r="A1256" s="13" t="s">
        <v>95</v>
      </c>
      <c r="B1256" t="s">
        <v>1227</v>
      </c>
      <c r="C1256" t="str">
        <f t="shared" si="24"/>
        <v>Pan C&amp;S America (Caribbean)SportsMax</v>
      </c>
      <c r="D1256" s="1">
        <v>3200000</v>
      </c>
      <c r="E1256" t="s">
        <v>149</v>
      </c>
      <c r="F1256" t="s">
        <v>1226</v>
      </c>
    </row>
    <row r="1257" spans="1:6" ht="15" hidden="1" customHeight="1" x14ac:dyDescent="0.25">
      <c r="A1257" t="s">
        <v>95</v>
      </c>
      <c r="B1257" t="s">
        <v>1228</v>
      </c>
      <c r="C1257" t="str">
        <f t="shared" si="24"/>
        <v>Pan C&amp;S America (Caribbean)SportsMax 1</v>
      </c>
      <c r="D1257" s="1">
        <v>3200000</v>
      </c>
      <c r="E1257" t="s">
        <v>149</v>
      </c>
      <c r="F1257" t="s">
        <v>1226</v>
      </c>
    </row>
    <row r="1258" spans="1:6" ht="15" hidden="1" customHeight="1" x14ac:dyDescent="0.25">
      <c r="A1258" t="s">
        <v>95</v>
      </c>
      <c r="B1258" t="s">
        <v>1229</v>
      </c>
      <c r="C1258" t="str">
        <f t="shared" si="24"/>
        <v>Pan C&amp;S America (Caribbean)SportsMax 2</v>
      </c>
      <c r="D1258" s="1">
        <v>3200000</v>
      </c>
      <c r="E1258" t="s">
        <v>149</v>
      </c>
      <c r="F1258" t="s">
        <v>1226</v>
      </c>
    </row>
    <row r="1259" spans="1:6" ht="15" hidden="1" customHeight="1" x14ac:dyDescent="0.25">
      <c r="A1259" s="13" t="s">
        <v>95</v>
      </c>
      <c r="B1259" t="s">
        <v>1100</v>
      </c>
      <c r="C1259" t="str">
        <f t="shared" si="24"/>
        <v>Pan C&amp;S America (Caribbean)TDN</v>
      </c>
      <c r="D1259">
        <v>200000</v>
      </c>
      <c r="E1259" t="s">
        <v>149</v>
      </c>
      <c r="F1259" t="s">
        <v>1101</v>
      </c>
    </row>
    <row r="1260" spans="1:6" ht="15" hidden="1" customHeight="1" x14ac:dyDescent="0.25">
      <c r="A1260" s="13" t="s">
        <v>11</v>
      </c>
      <c r="B1260" t="s">
        <v>1219</v>
      </c>
      <c r="C1260" t="str">
        <f t="shared" si="24"/>
        <v>Pan C&amp;S America (Latin America)Canal F1</v>
      </c>
      <c r="D1260" s="114" t="s">
        <v>658</v>
      </c>
      <c r="E1260" t="s">
        <v>149</v>
      </c>
    </row>
    <row r="1261" spans="1:6" ht="15" hidden="1" customHeight="1" x14ac:dyDescent="0.25">
      <c r="A1261" t="s">
        <v>11</v>
      </c>
      <c r="B1261" t="s">
        <v>1230</v>
      </c>
      <c r="C1261" t="str">
        <f t="shared" si="24"/>
        <v>Pan C&amp;S America (Latin America)Canal Sony Central</v>
      </c>
      <c r="D1261" s="1">
        <v>28503000</v>
      </c>
      <c r="E1261" t="s">
        <v>149</v>
      </c>
      <c r="F1261" t="s">
        <v>1231</v>
      </c>
    </row>
    <row r="1262" spans="1:6" ht="15" hidden="1" customHeight="1" x14ac:dyDescent="0.25">
      <c r="A1262" s="13" t="s">
        <v>11</v>
      </c>
      <c r="B1262" s="41" t="s">
        <v>554</v>
      </c>
      <c r="C1262" t="str">
        <f t="shared" si="24"/>
        <v>Pan C&amp;S America (Latin America)Claro Sports</v>
      </c>
      <c r="D1262" s="114">
        <v>15017000</v>
      </c>
      <c r="E1262" t="s">
        <v>149</v>
      </c>
      <c r="F1262" t="s">
        <v>758</v>
      </c>
    </row>
    <row r="1263" spans="1:6" ht="15" hidden="1" customHeight="1" x14ac:dyDescent="0.25">
      <c r="A1263" s="13" t="s">
        <v>11</v>
      </c>
      <c r="B1263" t="s">
        <v>1220</v>
      </c>
      <c r="C1263" t="str">
        <f t="shared" si="24"/>
        <v>Pan C&amp;S America (Latin America)DirecTV Sports</v>
      </c>
      <c r="D1263" s="1">
        <v>20252000</v>
      </c>
      <c r="E1263" t="s">
        <v>149</v>
      </c>
      <c r="F1263" t="s">
        <v>1232</v>
      </c>
    </row>
    <row r="1264" spans="1:6" ht="15" hidden="1" customHeight="1" x14ac:dyDescent="0.25">
      <c r="A1264" s="13" t="s">
        <v>11</v>
      </c>
      <c r="B1264" t="s">
        <v>183</v>
      </c>
      <c r="C1264" t="str">
        <f t="shared" si="24"/>
        <v>Pan C&amp;S America (Latin America)ESPN</v>
      </c>
      <c r="D1264" s="1">
        <v>47600000</v>
      </c>
      <c r="E1264" t="s">
        <v>149</v>
      </c>
      <c r="F1264" t="s">
        <v>1221</v>
      </c>
    </row>
    <row r="1265" spans="1:6" ht="15" hidden="1" customHeight="1" x14ac:dyDescent="0.25">
      <c r="A1265" s="13" t="s">
        <v>11</v>
      </c>
      <c r="B1265" t="s">
        <v>184</v>
      </c>
      <c r="C1265" t="str">
        <f t="shared" si="24"/>
        <v>Pan C&amp;S America (Latin America)ESPN +</v>
      </c>
      <c r="D1265" s="1">
        <v>47600000</v>
      </c>
      <c r="E1265" t="s">
        <v>149</v>
      </c>
    </row>
    <row r="1266" spans="1:6" ht="15" hidden="1" customHeight="1" x14ac:dyDescent="0.25">
      <c r="A1266" s="13" t="s">
        <v>11</v>
      </c>
      <c r="B1266" t="s">
        <v>185</v>
      </c>
      <c r="C1266" t="str">
        <f t="shared" si="24"/>
        <v>Pan C&amp;S America (Latin America)ESPN 2</v>
      </c>
      <c r="D1266" s="1">
        <v>47600000</v>
      </c>
      <c r="E1266" t="s">
        <v>149</v>
      </c>
      <c r="F1266" t="s">
        <v>1233</v>
      </c>
    </row>
    <row r="1267" spans="1:6" ht="15" hidden="1" customHeight="1" x14ac:dyDescent="0.25">
      <c r="A1267" s="13" t="s">
        <v>11</v>
      </c>
      <c r="B1267" t="s">
        <v>186</v>
      </c>
      <c r="C1267" t="str">
        <f t="shared" si="24"/>
        <v>Pan C&amp;S America (Latin America)ESPN 3</v>
      </c>
      <c r="D1267" s="1">
        <v>47600000</v>
      </c>
      <c r="E1267" t="s">
        <v>149</v>
      </c>
      <c r="F1267" t="s">
        <v>1233</v>
      </c>
    </row>
    <row r="1268" spans="1:6" ht="15" hidden="1" customHeight="1" x14ac:dyDescent="0.25">
      <c r="A1268" s="13" t="s">
        <v>11</v>
      </c>
      <c r="B1268" s="54" t="s">
        <v>187</v>
      </c>
      <c r="C1268" t="str">
        <f t="shared" si="24"/>
        <v>Pan C&amp;S America (Latin America)ESPN Deportes</v>
      </c>
      <c r="D1268" s="1">
        <v>47600000</v>
      </c>
      <c r="E1268" t="s">
        <v>149</v>
      </c>
      <c r="F1268" t="s">
        <v>1233</v>
      </c>
    </row>
    <row r="1269" spans="1:6" ht="15" hidden="1" customHeight="1" x14ac:dyDescent="0.25">
      <c r="A1269" s="13" t="s">
        <v>11</v>
      </c>
      <c r="B1269" s="40" t="s">
        <v>188</v>
      </c>
      <c r="C1269" t="str">
        <f t="shared" si="24"/>
        <v>Pan C&amp;S America (Latin America)ESPN Dos</v>
      </c>
      <c r="D1269" s="1">
        <v>47600000</v>
      </c>
      <c r="E1269" t="s">
        <v>149</v>
      </c>
      <c r="F1269" t="s">
        <v>1233</v>
      </c>
    </row>
    <row r="1270" spans="1:6" ht="15" hidden="1" customHeight="1" x14ac:dyDescent="0.25">
      <c r="A1270" s="13" t="s">
        <v>11</v>
      </c>
      <c r="B1270" t="s">
        <v>412</v>
      </c>
      <c r="C1270" t="str">
        <f t="shared" si="24"/>
        <v>Pan C&amp;S America (Latin America)ESPN Extra</v>
      </c>
      <c r="D1270" s="1">
        <v>47600000</v>
      </c>
      <c r="E1270" t="s">
        <v>149</v>
      </c>
    </row>
    <row r="1271" spans="1:6" ht="15" hidden="1" customHeight="1" x14ac:dyDescent="0.25">
      <c r="A1271" s="13" t="s">
        <v>11</v>
      </c>
      <c r="B1271" s="40" t="s">
        <v>189</v>
      </c>
      <c r="C1271" t="str">
        <f t="shared" si="24"/>
        <v>Pan C&amp;S America (Latin America)ESPN HD</v>
      </c>
      <c r="D1271" s="1">
        <v>47600000</v>
      </c>
      <c r="E1271" t="s">
        <v>149</v>
      </c>
      <c r="F1271" t="s">
        <v>1233</v>
      </c>
    </row>
    <row r="1272" spans="1:6" ht="15" hidden="1" customHeight="1" x14ac:dyDescent="0.25">
      <c r="A1272" s="13" t="s">
        <v>11</v>
      </c>
      <c r="B1272" t="s">
        <v>190</v>
      </c>
      <c r="C1272" t="str">
        <f t="shared" si="24"/>
        <v>Pan C&amp;S America (Latin America)ESPN Internacional</v>
      </c>
      <c r="D1272" s="1">
        <v>47600000</v>
      </c>
      <c r="E1272" t="s">
        <v>149</v>
      </c>
      <c r="F1272" t="s">
        <v>1233</v>
      </c>
    </row>
    <row r="1273" spans="1:6" ht="15" hidden="1" customHeight="1" x14ac:dyDescent="0.25">
      <c r="A1273" s="210" t="s">
        <v>11</v>
      </c>
      <c r="B1273" s="162" t="s">
        <v>191</v>
      </c>
      <c r="C1273" s="162" t="str">
        <f t="shared" si="24"/>
        <v>Pan C&amp;S America (Latin America)ESPN Latin</v>
      </c>
      <c r="D1273" s="1">
        <v>47600000</v>
      </c>
      <c r="E1273" t="s">
        <v>149</v>
      </c>
      <c r="F1273" s="162"/>
    </row>
    <row r="1274" spans="1:6" ht="15" hidden="1" customHeight="1" x14ac:dyDescent="0.25">
      <c r="A1274" s="33" t="s">
        <v>11</v>
      </c>
      <c r="B1274" s="34" t="s">
        <v>1234</v>
      </c>
      <c r="C1274" t="str">
        <f t="shared" si="24"/>
        <v>Pan C&amp;S America (Latin America)ESPN Latin North</v>
      </c>
      <c r="D1274" s="1">
        <v>47600000</v>
      </c>
      <c r="E1274" t="s">
        <v>149</v>
      </c>
      <c r="F1274" t="s">
        <v>1233</v>
      </c>
    </row>
    <row r="1275" spans="1:6" ht="15" hidden="1" customHeight="1" x14ac:dyDescent="0.25">
      <c r="A1275" s="33" t="s">
        <v>11</v>
      </c>
      <c r="B1275" s="34" t="s">
        <v>1235</v>
      </c>
      <c r="C1275" t="str">
        <f t="shared" si="24"/>
        <v>Pan C&amp;S America (Latin America)ESPN Latin South</v>
      </c>
      <c r="D1275" s="1">
        <v>47600000</v>
      </c>
      <c r="E1275" t="s">
        <v>149</v>
      </c>
      <c r="F1275" t="s">
        <v>1233</v>
      </c>
    </row>
    <row r="1276" spans="1:6" ht="15" hidden="1" customHeight="1" x14ac:dyDescent="0.25">
      <c r="A1276" s="33" t="s">
        <v>11</v>
      </c>
      <c r="B1276" s="34" t="s">
        <v>192</v>
      </c>
      <c r="C1276" t="str">
        <f t="shared" si="24"/>
        <v>Pan C&amp;S America (Latin America)ESPN+</v>
      </c>
      <c r="D1276" s="1">
        <v>47600000</v>
      </c>
      <c r="E1276" t="s">
        <v>149</v>
      </c>
      <c r="F1276" t="s">
        <v>1233</v>
      </c>
    </row>
    <row r="1277" spans="1:6" ht="15" hidden="1" customHeight="1" x14ac:dyDescent="0.25">
      <c r="A1277" s="13" t="s">
        <v>11</v>
      </c>
      <c r="B1277" t="s">
        <v>194</v>
      </c>
      <c r="C1277" t="str">
        <f t="shared" si="24"/>
        <v>Pan C&amp;S America (Latin America)Fox Sports</v>
      </c>
      <c r="D1277">
        <v>47600000</v>
      </c>
      <c r="E1277" t="s">
        <v>149</v>
      </c>
    </row>
    <row r="1278" spans="1:6" ht="15" hidden="1" customHeight="1" x14ac:dyDescent="0.25">
      <c r="A1278" s="13" t="s">
        <v>11</v>
      </c>
      <c r="B1278" t="s">
        <v>225</v>
      </c>
      <c r="C1278" t="str">
        <f t="shared" si="24"/>
        <v>Pan C&amp;S America (Latin America)FOX Sports 2</v>
      </c>
      <c r="D1278" s="1">
        <v>41477782</v>
      </c>
      <c r="E1278" t="s">
        <v>149</v>
      </c>
      <c r="F1278" t="s">
        <v>1236</v>
      </c>
    </row>
    <row r="1279" spans="1:6" ht="15" hidden="1" customHeight="1" x14ac:dyDescent="0.25">
      <c r="A1279" s="13" t="s">
        <v>11</v>
      </c>
      <c r="B1279" t="s">
        <v>197</v>
      </c>
      <c r="C1279" t="str">
        <f t="shared" si="24"/>
        <v>Pan C&amp;S America (Latin America)Fox Sports 3</v>
      </c>
      <c r="D1279" s="1">
        <v>7512927</v>
      </c>
      <c r="E1279" t="s">
        <v>149</v>
      </c>
      <c r="F1279" t="s">
        <v>198</v>
      </c>
    </row>
    <row r="1280" spans="1:6" ht="15" hidden="1" customHeight="1" x14ac:dyDescent="0.25">
      <c r="A1280" s="13" t="s">
        <v>11</v>
      </c>
      <c r="B1280" t="s">
        <v>199</v>
      </c>
      <c r="C1280" t="str">
        <f t="shared" si="24"/>
        <v>Pan C&amp;S America (Latin America)Fox Sports HD</v>
      </c>
      <c r="D1280" s="1">
        <v>7769010</v>
      </c>
      <c r="E1280" t="s">
        <v>149</v>
      </c>
      <c r="F1280" t="s">
        <v>1237</v>
      </c>
    </row>
    <row r="1281" spans="1:6" ht="15" hidden="1" customHeight="1" x14ac:dyDescent="0.25">
      <c r="A1281" s="13" t="s">
        <v>11</v>
      </c>
      <c r="B1281" t="s">
        <v>477</v>
      </c>
      <c r="C1281" t="str">
        <f t="shared" si="24"/>
        <v>Pan C&amp;S America (Latin America)Golf Channel</v>
      </c>
      <c r="D1281" s="1">
        <v>5872737</v>
      </c>
      <c r="E1281" t="s">
        <v>149</v>
      </c>
      <c r="F1281" t="s">
        <v>1238</v>
      </c>
    </row>
    <row r="1282" spans="1:6" ht="15" hidden="1" customHeight="1" x14ac:dyDescent="0.25">
      <c r="A1282" s="13" t="s">
        <v>11</v>
      </c>
      <c r="B1282" s="42" t="s">
        <v>923</v>
      </c>
      <c r="C1282" t="str">
        <f t="shared" si="24"/>
        <v>Pan C&amp;S America (Latin America)Sky Sports 1</v>
      </c>
      <c r="D1282" s="1">
        <v>13033000</v>
      </c>
      <c r="E1282" t="s">
        <v>149</v>
      </c>
      <c r="F1282" t="s">
        <v>1239</v>
      </c>
    </row>
    <row r="1283" spans="1:6" ht="15" hidden="1" customHeight="1" x14ac:dyDescent="0.25">
      <c r="A1283" t="s">
        <v>11</v>
      </c>
      <c r="B1283" t="s">
        <v>1240</v>
      </c>
      <c r="C1283" t="str">
        <f t="shared" si="24"/>
        <v>Pan C&amp;S America (Latin America)Sony Centro</v>
      </c>
      <c r="D1283" s="1">
        <v>28503000</v>
      </c>
      <c r="E1283" t="s">
        <v>149</v>
      </c>
      <c r="F1283" t="s">
        <v>1231</v>
      </c>
    </row>
    <row r="1284" spans="1:6" ht="15" hidden="1" customHeight="1" x14ac:dyDescent="0.25">
      <c r="A1284" t="s">
        <v>11</v>
      </c>
      <c r="B1284" t="s">
        <v>1241</v>
      </c>
      <c r="C1284" t="str">
        <f t="shared" si="24"/>
        <v>Pan C&amp;S America (Latin America)Sony Entertainment</v>
      </c>
      <c r="D1284" s="1">
        <v>28503000</v>
      </c>
      <c r="E1284" t="s">
        <v>149</v>
      </c>
      <c r="F1284" t="s">
        <v>1231</v>
      </c>
    </row>
    <row r="1285" spans="1:6" ht="15" hidden="1" customHeight="1" x14ac:dyDescent="0.25">
      <c r="A1285" t="s">
        <v>11</v>
      </c>
      <c r="B1285" t="s">
        <v>1242</v>
      </c>
      <c r="C1285" t="str">
        <f t="shared" si="24"/>
        <v>Pan C&amp;S America (Latin America)Sony Entertainment HD</v>
      </c>
      <c r="D1285" s="1">
        <v>28503000</v>
      </c>
      <c r="E1285" t="s">
        <v>149</v>
      </c>
      <c r="F1285" t="s">
        <v>1231</v>
      </c>
    </row>
    <row r="1286" spans="1:6" ht="15" hidden="1" customHeight="1" x14ac:dyDescent="0.25">
      <c r="A1286" s="13" t="s">
        <v>11</v>
      </c>
      <c r="B1286" t="s">
        <v>1100</v>
      </c>
      <c r="C1286" t="str">
        <f t="shared" si="24"/>
        <v>Pan C&amp;S America (Latin America)TDN</v>
      </c>
      <c r="D1286">
        <v>2200000</v>
      </c>
      <c r="E1286" t="s">
        <v>149</v>
      </c>
      <c r="F1286" t="s">
        <v>1101</v>
      </c>
    </row>
    <row r="1287" spans="1:6" ht="15" hidden="1" customHeight="1" x14ac:dyDescent="0.25">
      <c r="A1287" s="13" t="s">
        <v>11</v>
      </c>
      <c r="B1287" s="41" t="s">
        <v>201</v>
      </c>
      <c r="C1287" t="str">
        <f t="shared" si="24"/>
        <v>Pan C&amp;S America (Latin America)TYC Sports</v>
      </c>
      <c r="D1287" s="1">
        <v>6519000</v>
      </c>
      <c r="E1287" t="s">
        <v>149</v>
      </c>
    </row>
    <row r="1288" spans="1:6" ht="15" hidden="1" customHeight="1" x14ac:dyDescent="0.25">
      <c r="A1288" s="13" t="s">
        <v>11</v>
      </c>
      <c r="B1288" s="41" t="s">
        <v>203</v>
      </c>
      <c r="C1288" t="str">
        <f t="shared" si="24"/>
        <v>Pan C&amp;S America (Latin America)TyC Sports HD</v>
      </c>
      <c r="D1288" s="1">
        <v>6519000</v>
      </c>
      <c r="E1288" t="s">
        <v>149</v>
      </c>
    </row>
    <row r="1289" spans="1:6" ht="15" hidden="1" customHeight="1" x14ac:dyDescent="0.25">
      <c r="A1289" s="13" t="s">
        <v>11</v>
      </c>
      <c r="B1289" s="41" t="s">
        <v>204</v>
      </c>
      <c r="C1289" t="str">
        <f t="shared" si="24"/>
        <v>Pan C&amp;S America (Latin America)TyC Sports Interior</v>
      </c>
      <c r="D1289" s="1">
        <v>6519000</v>
      </c>
      <c r="E1289" t="s">
        <v>149</v>
      </c>
    </row>
    <row r="1290" spans="1:6" ht="15" hidden="1" customHeight="1" x14ac:dyDescent="0.25">
      <c r="A1290" s="13" t="s">
        <v>11</v>
      </c>
      <c r="B1290" s="41" t="s">
        <v>205</v>
      </c>
      <c r="C1290" t="str">
        <f t="shared" si="24"/>
        <v>Pan C&amp;S America (Latin America)TyC Sports Internacional</v>
      </c>
      <c r="D1290" s="1">
        <v>6519000</v>
      </c>
      <c r="E1290" t="s">
        <v>149</v>
      </c>
    </row>
    <row r="1291" spans="1:6" ht="15" hidden="1" customHeight="1" x14ac:dyDescent="0.25">
      <c r="A1291" s="13" t="s">
        <v>96</v>
      </c>
      <c r="B1291" t="s">
        <v>1243</v>
      </c>
      <c r="C1291" t="str">
        <f t="shared" si="24"/>
        <v>Pan EurAsiaMatch Game</v>
      </c>
      <c r="D1291" s="1">
        <v>2000000</v>
      </c>
      <c r="E1291" t="s">
        <v>149</v>
      </c>
    </row>
    <row r="1292" spans="1:6" ht="15" hidden="1" customHeight="1" x14ac:dyDescent="0.25">
      <c r="A1292" s="13" t="s">
        <v>96</v>
      </c>
      <c r="B1292" t="s">
        <v>1244</v>
      </c>
      <c r="C1292" t="str">
        <f t="shared" si="24"/>
        <v>Pan EurAsiaMatch TV</v>
      </c>
      <c r="D1292" s="1">
        <v>2000000</v>
      </c>
      <c r="E1292" t="s">
        <v>149</v>
      </c>
    </row>
    <row r="1293" spans="1:6" ht="15" hidden="1" customHeight="1" x14ac:dyDescent="0.25">
      <c r="A1293" s="13" t="s">
        <v>27</v>
      </c>
      <c r="B1293" s="41" t="s">
        <v>1245</v>
      </c>
      <c r="C1293" t="str">
        <f t="shared" si="24"/>
        <v>Pan EurasiaMatch! A Game</v>
      </c>
      <c r="D1293" s="1">
        <v>2000000</v>
      </c>
      <c r="E1293" t="s">
        <v>149</v>
      </c>
    </row>
    <row r="1294" spans="1:6" ht="15" hidden="1" customHeight="1" x14ac:dyDescent="0.25">
      <c r="A1294" s="13" t="s">
        <v>27</v>
      </c>
      <c r="B1294" s="41" t="s">
        <v>1246</v>
      </c>
      <c r="C1294" t="str">
        <f t="shared" si="24"/>
        <v>Pan EurasiaMATCH! IGRA</v>
      </c>
      <c r="D1294" s="1">
        <v>2000000</v>
      </c>
      <c r="E1294" t="s">
        <v>149</v>
      </c>
    </row>
    <row r="1295" spans="1:6" ht="15" hidden="1" customHeight="1" x14ac:dyDescent="0.25">
      <c r="A1295" s="13" t="s">
        <v>96</v>
      </c>
      <c r="B1295" t="s">
        <v>1247</v>
      </c>
      <c r="C1295" t="str">
        <f t="shared" si="24"/>
        <v>Pan EurAsiaMatch! Planet</v>
      </c>
      <c r="D1295" s="1">
        <v>2000000</v>
      </c>
      <c r="E1295" t="s">
        <v>149</v>
      </c>
    </row>
    <row r="1296" spans="1:6" ht="15" hidden="1" customHeight="1" x14ac:dyDescent="0.25">
      <c r="A1296" s="13" t="s">
        <v>96</v>
      </c>
      <c r="B1296" t="s">
        <v>919</v>
      </c>
      <c r="C1296" t="str">
        <f t="shared" si="24"/>
        <v>Pan EurAsiaSETANTA</v>
      </c>
      <c r="D1296" s="1">
        <v>2000000</v>
      </c>
      <c r="E1296" t="s">
        <v>149</v>
      </c>
      <c r="F1296" t="s">
        <v>792</v>
      </c>
    </row>
    <row r="1297" spans="1:6" ht="15" hidden="1" customHeight="1" x14ac:dyDescent="0.25">
      <c r="A1297" s="13" t="s">
        <v>96</v>
      </c>
      <c r="B1297" t="s">
        <v>1248</v>
      </c>
      <c r="C1297" t="str">
        <f t="shared" si="24"/>
        <v>Pan EurAsiaSetanta Sports +</v>
      </c>
      <c r="D1297" s="57">
        <v>2000000</v>
      </c>
      <c r="E1297" s="57" t="s">
        <v>149</v>
      </c>
    </row>
    <row r="1298" spans="1:6" ht="15" hidden="1" customHeight="1" x14ac:dyDescent="0.25">
      <c r="A1298" s="13" t="s">
        <v>24</v>
      </c>
      <c r="B1298" t="s">
        <v>221</v>
      </c>
      <c r="C1298" t="str">
        <f t="shared" si="24"/>
        <v>Pan EuropeEurosport</v>
      </c>
      <c r="D1298" s="57">
        <v>69759000</v>
      </c>
      <c r="E1298" s="57" t="s">
        <v>149</v>
      </c>
    </row>
    <row r="1299" spans="1:6" ht="15" hidden="1" customHeight="1" x14ac:dyDescent="0.25">
      <c r="A1299" s="220" t="s">
        <v>24</v>
      </c>
      <c r="B1299" s="145" t="s">
        <v>268</v>
      </c>
      <c r="C1299" s="11" t="str">
        <f t="shared" si="24"/>
        <v>Pan EuropeEurosport 1</v>
      </c>
      <c r="D1299" s="1">
        <v>75200000</v>
      </c>
      <c r="E1299" t="s">
        <v>149</v>
      </c>
      <c r="F1299" s="11"/>
    </row>
    <row r="1300" spans="1:6" ht="15" hidden="1" customHeight="1" x14ac:dyDescent="0.25">
      <c r="A1300" s="58" t="s">
        <v>24</v>
      </c>
      <c r="B1300" s="171" t="s">
        <v>269</v>
      </c>
      <c r="C1300" t="str">
        <f t="shared" si="24"/>
        <v>Pan EuropeEurosport 2</v>
      </c>
      <c r="D1300" s="121">
        <v>75200000</v>
      </c>
      <c r="E1300" t="s">
        <v>149</v>
      </c>
    </row>
    <row r="1301" spans="1:6" ht="15" hidden="1" customHeight="1" x14ac:dyDescent="0.25">
      <c r="A1301" s="58" t="s">
        <v>24</v>
      </c>
      <c r="B1301" s="3" t="s">
        <v>728</v>
      </c>
      <c r="C1301" t="str">
        <f t="shared" si="24"/>
        <v>Pan EuropeMotors TV</v>
      </c>
      <c r="D1301" s="57">
        <v>20000000</v>
      </c>
      <c r="E1301" s="57" t="s">
        <v>149</v>
      </c>
      <c r="F1301" s="122" t="s">
        <v>1249</v>
      </c>
    </row>
    <row r="1302" spans="1:6" ht="15" hidden="1" customHeight="1" x14ac:dyDescent="0.25">
      <c r="A1302" s="3" t="s">
        <v>21</v>
      </c>
      <c r="B1302" s="3" t="s">
        <v>1250</v>
      </c>
      <c r="C1302" t="str">
        <f t="shared" si="24"/>
        <v>Pan Middle EastAD Sport 06 HD</v>
      </c>
      <c r="D1302" s="121">
        <v>1031000</v>
      </c>
      <c r="E1302" s="3" t="s">
        <v>149</v>
      </c>
      <c r="F1302" s="122" t="s">
        <v>1251</v>
      </c>
    </row>
    <row r="1303" spans="1:6" ht="15" hidden="1" customHeight="1" x14ac:dyDescent="0.25">
      <c r="A1303" s="3" t="s">
        <v>21</v>
      </c>
      <c r="B1303" s="3" t="s">
        <v>1252</v>
      </c>
      <c r="C1303" t="str">
        <f t="shared" si="24"/>
        <v>Pan Middle EastBeIn Sport 1 HD</v>
      </c>
      <c r="D1303" s="121">
        <v>2185000</v>
      </c>
      <c r="E1303" s="3" t="s">
        <v>149</v>
      </c>
      <c r="F1303" s="122" t="s">
        <v>792</v>
      </c>
    </row>
    <row r="1304" spans="1:6" ht="15" hidden="1" customHeight="1" x14ac:dyDescent="0.25">
      <c r="A1304" s="58" t="s">
        <v>21</v>
      </c>
      <c r="B1304" s="3" t="s">
        <v>1253</v>
      </c>
      <c r="C1304" t="str">
        <f t="shared" si="24"/>
        <v>Pan Middle EastBeIn Sport 10 HD</v>
      </c>
      <c r="D1304" s="1">
        <v>2185000</v>
      </c>
      <c r="E1304" t="s">
        <v>149</v>
      </c>
      <c r="F1304" s="122"/>
    </row>
    <row r="1305" spans="1:6" ht="15" hidden="1" customHeight="1" x14ac:dyDescent="0.25">
      <c r="A1305" s="58" t="s">
        <v>21</v>
      </c>
      <c r="B1305" s="124" t="s">
        <v>1254</v>
      </c>
      <c r="C1305" t="str">
        <f t="shared" si="24"/>
        <v>Pan Middle EastBeIn Sport 11 HD</v>
      </c>
      <c r="D1305" s="121">
        <v>2185000</v>
      </c>
      <c r="E1305" s="3" t="s">
        <v>149</v>
      </c>
      <c r="F1305" s="122" t="s">
        <v>792</v>
      </c>
    </row>
    <row r="1306" spans="1:6" ht="15" hidden="1" customHeight="1" x14ac:dyDescent="0.25">
      <c r="A1306" s="58" t="s">
        <v>21</v>
      </c>
      <c r="B1306" s="124" t="s">
        <v>1255</v>
      </c>
      <c r="C1306" t="str">
        <f t="shared" si="24"/>
        <v>Pan Middle EastBeIn Sport 12 HD</v>
      </c>
      <c r="D1306" s="121">
        <v>2185000</v>
      </c>
      <c r="E1306" s="3" t="s">
        <v>149</v>
      </c>
      <c r="F1306" s="122" t="s">
        <v>792</v>
      </c>
    </row>
    <row r="1307" spans="1:6" ht="15" hidden="1" customHeight="1" x14ac:dyDescent="0.25">
      <c r="A1307" s="58" t="s">
        <v>21</v>
      </c>
      <c r="B1307" s="3" t="s">
        <v>1256</v>
      </c>
      <c r="C1307" t="str">
        <f t="shared" si="24"/>
        <v>Pan Middle EastBeIn Sport 13 HD</v>
      </c>
      <c r="D1307" s="121">
        <v>2185000</v>
      </c>
      <c r="E1307" s="3" t="s">
        <v>149</v>
      </c>
      <c r="F1307" s="122"/>
    </row>
    <row r="1308" spans="1:6" ht="15" hidden="1" customHeight="1" x14ac:dyDescent="0.25">
      <c r="A1308" s="3" t="s">
        <v>21</v>
      </c>
      <c r="B1308" s="3" t="s">
        <v>1257</v>
      </c>
      <c r="C1308" t="str">
        <f t="shared" si="24"/>
        <v>Pan Middle EastBeIn Sport 13HD</v>
      </c>
      <c r="D1308" s="1">
        <v>2185000</v>
      </c>
      <c r="E1308" s="3" t="s">
        <v>149</v>
      </c>
      <c r="F1308" t="s">
        <v>792</v>
      </c>
    </row>
    <row r="1309" spans="1:6" ht="15" hidden="1" customHeight="1" x14ac:dyDescent="0.25">
      <c r="A1309" s="58" t="s">
        <v>21</v>
      </c>
      <c r="B1309" s="124" t="s">
        <v>1258</v>
      </c>
      <c r="C1309" t="str">
        <f t="shared" si="24"/>
        <v>Pan Middle EastBeIn Sport 14 HD</v>
      </c>
      <c r="D1309" s="121">
        <v>2185000</v>
      </c>
      <c r="E1309" s="3" t="s">
        <v>149</v>
      </c>
      <c r="F1309" t="s">
        <v>792</v>
      </c>
    </row>
    <row r="1310" spans="1:6" ht="15" hidden="1" customHeight="1" x14ac:dyDescent="0.25">
      <c r="A1310" s="58" t="s">
        <v>21</v>
      </c>
      <c r="B1310" s="3" t="s">
        <v>1259</v>
      </c>
      <c r="C1310" t="str">
        <f t="shared" si="24"/>
        <v>Pan Middle EastBeIn Sport 15 HD</v>
      </c>
      <c r="D1310" s="1">
        <v>2185000</v>
      </c>
      <c r="E1310" t="s">
        <v>149</v>
      </c>
    </row>
    <row r="1311" spans="1:6" ht="15" hidden="1" customHeight="1" x14ac:dyDescent="0.25">
      <c r="A1311" s="58" t="s">
        <v>21</v>
      </c>
      <c r="B1311" s="3" t="s">
        <v>1260</v>
      </c>
      <c r="C1311" t="str">
        <f t="shared" si="24"/>
        <v>Pan Middle EastBeIn Sport 16 HD</v>
      </c>
      <c r="D1311" s="121">
        <v>2185000</v>
      </c>
      <c r="E1311" s="3" t="s">
        <v>149</v>
      </c>
      <c r="F1311" s="122"/>
    </row>
    <row r="1312" spans="1:6" ht="15" hidden="1" customHeight="1" x14ac:dyDescent="0.25">
      <c r="A1312" s="58" t="s">
        <v>21</v>
      </c>
      <c r="B1312" s="3" t="s">
        <v>1261</v>
      </c>
      <c r="C1312" t="str">
        <f t="shared" si="24"/>
        <v>Pan Middle EastbeIN Sport 17HD</v>
      </c>
      <c r="D1312" s="121">
        <v>2185000</v>
      </c>
      <c r="E1312" s="3" t="s">
        <v>149</v>
      </c>
      <c r="F1312" s="3"/>
    </row>
    <row r="1313" spans="1:6" ht="15" hidden="1" customHeight="1" x14ac:dyDescent="0.25">
      <c r="A1313" s="58" t="s">
        <v>21</v>
      </c>
      <c r="B1313" s="130" t="s">
        <v>1262</v>
      </c>
      <c r="C1313" t="str">
        <f t="shared" si="24"/>
        <v>Pan Middle EastBeIn Sport 3 HD</v>
      </c>
      <c r="D1313" s="121">
        <v>2185000</v>
      </c>
      <c r="E1313" s="3" t="s">
        <v>149</v>
      </c>
      <c r="F1313" s="3" t="s">
        <v>792</v>
      </c>
    </row>
    <row r="1314" spans="1:6" ht="15" hidden="1" customHeight="1" x14ac:dyDescent="0.25">
      <c r="A1314" s="3" t="s">
        <v>21</v>
      </c>
      <c r="B1314" s="3" t="s">
        <v>1263</v>
      </c>
      <c r="C1314" t="str">
        <f t="shared" ref="C1314:C1377" si="25">CONCATENATE(A1314,B1314)</f>
        <v>Pan Middle EastBeIn Sport 7HD</v>
      </c>
      <c r="D1314" s="121">
        <v>2185000</v>
      </c>
      <c r="E1314" s="3" t="s">
        <v>149</v>
      </c>
      <c r="F1314" s="3" t="s">
        <v>792</v>
      </c>
    </row>
    <row r="1315" spans="1:6" ht="15" hidden="1" customHeight="1" x14ac:dyDescent="0.25">
      <c r="A1315" s="58" t="s">
        <v>21</v>
      </c>
      <c r="B1315" s="3" t="s">
        <v>1264</v>
      </c>
      <c r="C1315" t="str">
        <f t="shared" si="25"/>
        <v>Pan Middle EastBeIN Sports 1 HD</v>
      </c>
      <c r="D1315" s="121">
        <v>2185000</v>
      </c>
      <c r="E1315" s="3" t="s">
        <v>149</v>
      </c>
      <c r="F1315" s="3" t="s">
        <v>792</v>
      </c>
    </row>
    <row r="1316" spans="1:6" ht="15" hidden="1" customHeight="1" x14ac:dyDescent="0.25">
      <c r="A1316" s="223" t="s">
        <v>21</v>
      </c>
      <c r="B1316" s="144" t="s">
        <v>694</v>
      </c>
      <c r="C1316" s="11" t="str">
        <f t="shared" si="25"/>
        <v>Pan Middle EastBeIN Sports 10</v>
      </c>
      <c r="D1316" s="121">
        <v>2185000</v>
      </c>
      <c r="E1316" s="3" t="s">
        <v>149</v>
      </c>
      <c r="F1316" s="145"/>
    </row>
    <row r="1317" spans="1:6" ht="15" hidden="1" customHeight="1" x14ac:dyDescent="0.25">
      <c r="A1317" s="58" t="s">
        <v>21</v>
      </c>
      <c r="B1317" s="3" t="s">
        <v>1265</v>
      </c>
      <c r="C1317" t="str">
        <f t="shared" si="25"/>
        <v>Pan Middle EastBeIN Sports 10 HD</v>
      </c>
      <c r="D1317" s="1">
        <v>2185000</v>
      </c>
      <c r="E1317" s="3" t="s">
        <v>149</v>
      </c>
      <c r="F1317" t="s">
        <v>792</v>
      </c>
    </row>
    <row r="1318" spans="1:6" ht="15" hidden="1" customHeight="1" x14ac:dyDescent="0.25">
      <c r="A1318" s="58" t="s">
        <v>21</v>
      </c>
      <c r="B1318" s="3" t="s">
        <v>1266</v>
      </c>
      <c r="C1318" t="str">
        <f t="shared" si="25"/>
        <v>Pan Middle EastBeIN Sports 11 HD</v>
      </c>
      <c r="D1318">
        <v>2185000</v>
      </c>
      <c r="E1318" s="3" t="s">
        <v>149</v>
      </c>
    </row>
    <row r="1319" spans="1:6" ht="15" hidden="1" customHeight="1" x14ac:dyDescent="0.25">
      <c r="A1319" s="220" t="s">
        <v>21</v>
      </c>
      <c r="B1319" s="145" t="s">
        <v>1267</v>
      </c>
      <c r="C1319" s="11" t="str">
        <f t="shared" si="25"/>
        <v>Pan Middle EastbeIN Sports 12</v>
      </c>
      <c r="D1319" s="1">
        <v>2185000</v>
      </c>
      <c r="E1319" s="3" t="s">
        <v>149</v>
      </c>
      <c r="F1319" s="11"/>
    </row>
    <row r="1320" spans="1:6" ht="15" hidden="1" customHeight="1" x14ac:dyDescent="0.25">
      <c r="A1320" s="103" t="s">
        <v>21</v>
      </c>
      <c r="B1320" s="104" t="s">
        <v>1268</v>
      </c>
      <c r="C1320" t="str">
        <f t="shared" si="25"/>
        <v>Pan Middle EastBeIN Sports 12 HD</v>
      </c>
      <c r="D1320" s="120">
        <v>2185000</v>
      </c>
      <c r="E1320" s="104" t="s">
        <v>149</v>
      </c>
      <c r="F1320" t="s">
        <v>792</v>
      </c>
    </row>
    <row r="1321" spans="1:6" hidden="1" x14ac:dyDescent="0.25">
      <c r="A1321" s="13" t="s">
        <v>21</v>
      </c>
      <c r="B1321" t="s">
        <v>1269</v>
      </c>
      <c r="C1321" t="str">
        <f t="shared" si="25"/>
        <v>Pan Middle EastBeIN Sports 12HD</v>
      </c>
      <c r="D1321" s="1">
        <v>2185000</v>
      </c>
      <c r="E1321" t="s">
        <v>149</v>
      </c>
      <c r="F1321" t="s">
        <v>792</v>
      </c>
    </row>
    <row r="1322" spans="1:6" ht="14.45" hidden="1" customHeight="1" x14ac:dyDescent="0.25">
      <c r="A1322" s="203" t="s">
        <v>21</v>
      </c>
      <c r="B1322" s="147" t="s">
        <v>1270</v>
      </c>
      <c r="C1322" s="11" t="str">
        <f t="shared" si="25"/>
        <v>Pan Middle EastBeIN Sports 13</v>
      </c>
      <c r="D1322" s="1">
        <v>2185000</v>
      </c>
      <c r="E1322" t="s">
        <v>149</v>
      </c>
      <c r="F1322" s="11"/>
    </row>
    <row r="1323" spans="1:6" ht="15" hidden="1" customHeight="1" x14ac:dyDescent="0.25">
      <c r="A1323" s="13" t="s">
        <v>21</v>
      </c>
      <c r="B1323" t="s">
        <v>1271</v>
      </c>
      <c r="C1323" t="str">
        <f t="shared" si="25"/>
        <v>Pan Middle EastBeIN Sports 13 HD</v>
      </c>
      <c r="D1323" s="1">
        <v>2185000</v>
      </c>
      <c r="E1323" t="s">
        <v>149</v>
      </c>
      <c r="F1323" t="s">
        <v>792</v>
      </c>
    </row>
    <row r="1324" spans="1:6" ht="15" hidden="1" customHeight="1" x14ac:dyDescent="0.25">
      <c r="A1324" s="13" t="s">
        <v>21</v>
      </c>
      <c r="B1324" t="s">
        <v>1272</v>
      </c>
      <c r="C1324" t="str">
        <f t="shared" si="25"/>
        <v>Pan Middle EastBeIN Sports 13HD</v>
      </c>
      <c r="D1324" s="1">
        <v>2185000</v>
      </c>
      <c r="E1324" t="s">
        <v>149</v>
      </c>
    </row>
    <row r="1325" spans="1:6" ht="15" hidden="1" customHeight="1" x14ac:dyDescent="0.25">
      <c r="A1325" s="113" t="s">
        <v>21</v>
      </c>
      <c r="B1325" t="s">
        <v>1273</v>
      </c>
      <c r="C1325" t="str">
        <f t="shared" si="25"/>
        <v>Pan Middle EastBeIN Sports 14 HD</v>
      </c>
      <c r="D1325" s="1">
        <v>2185000</v>
      </c>
      <c r="E1325" t="s">
        <v>149</v>
      </c>
      <c r="F1325" t="s">
        <v>792</v>
      </c>
    </row>
    <row r="1326" spans="1:6" ht="15" hidden="1" customHeight="1" x14ac:dyDescent="0.25">
      <c r="A1326" s="50" t="s">
        <v>21</v>
      </c>
      <c r="B1326" s="34" t="s">
        <v>1274</v>
      </c>
      <c r="C1326" t="str">
        <f t="shared" si="25"/>
        <v>Pan Middle EastBeIn Sports 15 HD</v>
      </c>
      <c r="D1326" s="1">
        <v>2185000</v>
      </c>
      <c r="E1326" t="s">
        <v>149</v>
      </c>
      <c r="F1326" t="s">
        <v>792</v>
      </c>
    </row>
    <row r="1327" spans="1:6" ht="15" hidden="1" customHeight="1" x14ac:dyDescent="0.25">
      <c r="A1327" t="s">
        <v>21</v>
      </c>
      <c r="B1327" t="s">
        <v>1275</v>
      </c>
      <c r="C1327" t="str">
        <f t="shared" si="25"/>
        <v>Pan Middle EastBeIN Sports 16 HD</v>
      </c>
      <c r="D1327" s="1">
        <v>2185000</v>
      </c>
      <c r="E1327" t="s">
        <v>149</v>
      </c>
      <c r="F1327" t="s">
        <v>792</v>
      </c>
    </row>
    <row r="1328" spans="1:6" ht="15" hidden="1" customHeight="1" x14ac:dyDescent="0.25">
      <c r="A1328" s="13" t="s">
        <v>21</v>
      </c>
      <c r="B1328" t="s">
        <v>1276</v>
      </c>
      <c r="C1328" t="str">
        <f t="shared" si="25"/>
        <v>Pan Middle EastBeIN Sports 1HD</v>
      </c>
      <c r="D1328" s="1">
        <v>2185000</v>
      </c>
      <c r="E1328" t="s">
        <v>149</v>
      </c>
    </row>
    <row r="1329" spans="1:6" ht="15" hidden="1" customHeight="1" x14ac:dyDescent="0.25">
      <c r="A1329" s="13" t="s">
        <v>21</v>
      </c>
      <c r="B1329" s="186" t="s">
        <v>1277</v>
      </c>
      <c r="C1329" s="184" t="str">
        <f t="shared" si="25"/>
        <v>Pan Middle EastbeIN Sports 2 HD</v>
      </c>
      <c r="D1329" s="121">
        <v>2185000</v>
      </c>
      <c r="E1329" s="3" t="s">
        <v>149</v>
      </c>
    </row>
    <row r="1330" spans="1:6" ht="15" hidden="1" customHeight="1" x14ac:dyDescent="0.25">
      <c r="A1330" s="13" t="s">
        <v>21</v>
      </c>
      <c r="B1330" s="186" t="s">
        <v>1278</v>
      </c>
      <c r="C1330" s="184" t="str">
        <f t="shared" si="25"/>
        <v>Pan Middle EastbeIN Sports 4 HD</v>
      </c>
      <c r="D1330" s="121">
        <v>2185000</v>
      </c>
      <c r="E1330" s="3" t="s">
        <v>149</v>
      </c>
    </row>
    <row r="1331" spans="1:6" ht="15" hidden="1" customHeight="1" x14ac:dyDescent="0.25">
      <c r="A1331" s="13" t="s">
        <v>21</v>
      </c>
      <c r="B1331" t="s">
        <v>1279</v>
      </c>
      <c r="C1331" t="str">
        <f t="shared" si="25"/>
        <v>Pan Middle EastBeIN Sports 4K</v>
      </c>
      <c r="D1331" s="1">
        <v>2185000</v>
      </c>
      <c r="E1331" t="s">
        <v>149</v>
      </c>
    </row>
    <row r="1332" spans="1:6" ht="15" hidden="1" customHeight="1" x14ac:dyDescent="0.25">
      <c r="A1332" s="205" t="s">
        <v>21</v>
      </c>
      <c r="B1332" s="11" t="s">
        <v>697</v>
      </c>
      <c r="C1332" s="11" t="str">
        <f t="shared" si="25"/>
        <v>Pan Middle EastBeIN Sports 5</v>
      </c>
      <c r="D1332" s="1">
        <v>2185000</v>
      </c>
      <c r="E1332" t="s">
        <v>149</v>
      </c>
      <c r="F1332" s="11"/>
    </row>
    <row r="1333" spans="1:6" ht="15" hidden="1" customHeight="1" x14ac:dyDescent="0.25">
      <c r="A1333" s="210" t="s">
        <v>21</v>
      </c>
      <c r="B1333" s="162" t="s">
        <v>1280</v>
      </c>
      <c r="C1333" s="162" t="str">
        <f t="shared" si="25"/>
        <v>Pan Middle EastbeIN Sports 5 HD</v>
      </c>
      <c r="D1333" s="1">
        <v>2185000</v>
      </c>
      <c r="E1333" t="s">
        <v>149</v>
      </c>
      <c r="F1333" s="162"/>
    </row>
    <row r="1334" spans="1:6" ht="15" hidden="1" customHeight="1" x14ac:dyDescent="0.25">
      <c r="A1334" s="13" t="s">
        <v>21</v>
      </c>
      <c r="B1334" t="s">
        <v>1281</v>
      </c>
      <c r="C1334" t="str">
        <f t="shared" si="25"/>
        <v>Pan Middle EastBeIN Sports 5HD</v>
      </c>
      <c r="D1334" s="1">
        <v>2185000</v>
      </c>
      <c r="E1334" t="s">
        <v>149</v>
      </c>
    </row>
    <row r="1335" spans="1:6" ht="15" hidden="1" customHeight="1" x14ac:dyDescent="0.25">
      <c r="A1335" s="13" t="s">
        <v>21</v>
      </c>
      <c r="B1335" t="s">
        <v>1282</v>
      </c>
      <c r="C1335" t="str">
        <f t="shared" si="25"/>
        <v>Pan Middle EastBeIN Sports 6 HD</v>
      </c>
      <c r="D1335" s="1">
        <v>2185000</v>
      </c>
      <c r="E1335" t="s">
        <v>149</v>
      </c>
      <c r="F1335" t="s">
        <v>792</v>
      </c>
    </row>
    <row r="1336" spans="1:6" ht="15" hidden="1" customHeight="1" x14ac:dyDescent="0.25">
      <c r="A1336" s="203" t="s">
        <v>21</v>
      </c>
      <c r="B1336" s="147" t="s">
        <v>701</v>
      </c>
      <c r="C1336" s="11" t="str">
        <f t="shared" si="25"/>
        <v>Pan Middle EastBeIN Sports 7</v>
      </c>
      <c r="D1336" s="1">
        <v>2185000</v>
      </c>
      <c r="E1336" t="s">
        <v>149</v>
      </c>
      <c r="F1336" s="11"/>
    </row>
    <row r="1337" spans="1:6" ht="15" hidden="1" customHeight="1" x14ac:dyDescent="0.25">
      <c r="A1337" s="13" t="s">
        <v>21</v>
      </c>
      <c r="B1337" t="s">
        <v>1283</v>
      </c>
      <c r="C1337" t="str">
        <f t="shared" si="25"/>
        <v>Pan Middle EastBeIN Sports 7 HD</v>
      </c>
      <c r="D1337" s="1">
        <v>2185000</v>
      </c>
      <c r="E1337" t="s">
        <v>149</v>
      </c>
      <c r="F1337" t="s">
        <v>792</v>
      </c>
    </row>
    <row r="1338" spans="1:6" ht="15" hidden="1" customHeight="1" x14ac:dyDescent="0.25">
      <c r="A1338" s="13" t="s">
        <v>21</v>
      </c>
      <c r="B1338" t="s">
        <v>1284</v>
      </c>
      <c r="C1338" t="str">
        <f t="shared" si="25"/>
        <v>Pan Middle EastBeIN Sports 7HD</v>
      </c>
      <c r="D1338" s="1">
        <v>2185000</v>
      </c>
      <c r="E1338" t="s">
        <v>149</v>
      </c>
    </row>
    <row r="1339" spans="1:6" ht="15" hidden="1" customHeight="1" x14ac:dyDescent="0.25">
      <c r="A1339" s="13" t="s">
        <v>21</v>
      </c>
      <c r="B1339" t="s">
        <v>1285</v>
      </c>
      <c r="C1339" t="str">
        <f t="shared" si="25"/>
        <v xml:space="preserve">Pan Middle EastBeIN Sports 7HD </v>
      </c>
      <c r="D1339" s="1">
        <v>2185000</v>
      </c>
      <c r="E1339" t="s">
        <v>149</v>
      </c>
    </row>
    <row r="1340" spans="1:6" ht="15" hidden="1" customHeight="1" x14ac:dyDescent="0.25">
      <c r="A1340" s="203" t="s">
        <v>21</v>
      </c>
      <c r="B1340" s="147" t="s">
        <v>703</v>
      </c>
      <c r="C1340" s="11" t="str">
        <f t="shared" si="25"/>
        <v>Pan Middle EastBeIN Sports 8</v>
      </c>
      <c r="D1340" s="1">
        <v>2185000</v>
      </c>
      <c r="E1340" t="s">
        <v>149</v>
      </c>
      <c r="F1340" s="11"/>
    </row>
    <row r="1341" spans="1:6" ht="15" hidden="1" customHeight="1" x14ac:dyDescent="0.25">
      <c r="A1341" t="s">
        <v>21</v>
      </c>
      <c r="B1341" t="s">
        <v>1286</v>
      </c>
      <c r="C1341" t="str">
        <f t="shared" si="25"/>
        <v>Pan Middle EastBeIN Sports 8 HD</v>
      </c>
      <c r="D1341" s="1">
        <v>2185000</v>
      </c>
      <c r="E1341" t="s">
        <v>149</v>
      </c>
      <c r="F1341" t="s">
        <v>792</v>
      </c>
    </row>
    <row r="1342" spans="1:6" ht="15" hidden="1" customHeight="1" x14ac:dyDescent="0.25">
      <c r="A1342" s="13" t="s">
        <v>21</v>
      </c>
      <c r="B1342" t="s">
        <v>1287</v>
      </c>
      <c r="C1342" t="str">
        <f t="shared" si="25"/>
        <v>Pan Middle EastBeIN Sports 8HD</v>
      </c>
      <c r="D1342" s="1">
        <v>2185000</v>
      </c>
      <c r="E1342" t="s">
        <v>149</v>
      </c>
    </row>
    <row r="1343" spans="1:6" ht="15" hidden="1" customHeight="1" x14ac:dyDescent="0.25">
      <c r="A1343" s="205" t="s">
        <v>21</v>
      </c>
      <c r="B1343" s="11" t="s">
        <v>704</v>
      </c>
      <c r="C1343" s="11" t="str">
        <f t="shared" si="25"/>
        <v>Pan Middle EastBeIN Sports 9</v>
      </c>
      <c r="D1343" s="1">
        <v>2185000</v>
      </c>
      <c r="E1343" t="s">
        <v>149</v>
      </c>
      <c r="F1343" s="11"/>
    </row>
    <row r="1344" spans="1:6" ht="15" hidden="1" customHeight="1" x14ac:dyDescent="0.25">
      <c r="A1344" s="13" t="s">
        <v>21</v>
      </c>
      <c r="B1344" t="s">
        <v>1288</v>
      </c>
      <c r="C1344" t="str">
        <f t="shared" si="25"/>
        <v>Pan Middle EastBeIN Sports 9 HD</v>
      </c>
      <c r="D1344" s="1">
        <v>2185000</v>
      </c>
      <c r="E1344" t="s">
        <v>149</v>
      </c>
      <c r="F1344" t="s">
        <v>792</v>
      </c>
    </row>
    <row r="1345" spans="1:6" ht="15" hidden="1" customHeight="1" x14ac:dyDescent="0.25">
      <c r="A1345" t="s">
        <v>21</v>
      </c>
      <c r="B1345" t="s">
        <v>1289</v>
      </c>
      <c r="C1345" t="str">
        <f t="shared" si="25"/>
        <v xml:space="preserve">Pan Middle EastBeIN Sports HD 12 English </v>
      </c>
      <c r="D1345" s="1">
        <v>2185000</v>
      </c>
      <c r="E1345" t="s">
        <v>149</v>
      </c>
      <c r="F1345" t="s">
        <v>792</v>
      </c>
    </row>
    <row r="1346" spans="1:6" ht="15" hidden="1" customHeight="1" x14ac:dyDescent="0.25">
      <c r="A1346" t="s">
        <v>21</v>
      </c>
      <c r="B1346" t="s">
        <v>1290</v>
      </c>
      <c r="C1346" t="str">
        <f t="shared" si="25"/>
        <v>Pan Middle EastBeIN Sports HD 14 French</v>
      </c>
      <c r="D1346" s="1">
        <v>2185000</v>
      </c>
      <c r="E1346" t="s">
        <v>149</v>
      </c>
      <c r="F1346" t="s">
        <v>792</v>
      </c>
    </row>
    <row r="1347" spans="1:6" ht="15" hidden="1" customHeight="1" x14ac:dyDescent="0.25">
      <c r="A1347" t="s">
        <v>21</v>
      </c>
      <c r="B1347" t="s">
        <v>1291</v>
      </c>
      <c r="C1347" t="str">
        <f t="shared" si="25"/>
        <v>Pan Middle EastBeIN Sports HD 16 French</v>
      </c>
      <c r="D1347" s="1">
        <v>2185000</v>
      </c>
      <c r="E1347" t="s">
        <v>149</v>
      </c>
      <c r="F1347" t="s">
        <v>792</v>
      </c>
    </row>
    <row r="1348" spans="1:6" ht="15" hidden="1" customHeight="1" x14ac:dyDescent="0.25">
      <c r="A1348" s="209" t="s">
        <v>21</v>
      </c>
      <c r="B1348" s="155" t="s">
        <v>1292</v>
      </c>
      <c r="C1348" s="155" t="str">
        <f t="shared" si="25"/>
        <v>Pan Middle EastBeIN Sports HD 5</v>
      </c>
      <c r="D1348" s="156">
        <v>2185000</v>
      </c>
      <c r="E1348" s="155" t="s">
        <v>149</v>
      </c>
      <c r="F1348" s="155"/>
    </row>
    <row r="1349" spans="1:6" ht="15" hidden="1" customHeight="1" x14ac:dyDescent="0.25">
      <c r="A1349" t="s">
        <v>21</v>
      </c>
      <c r="B1349" t="s">
        <v>1293</v>
      </c>
      <c r="C1349" t="str">
        <f t="shared" si="25"/>
        <v>Pan Middle EastBeIN Sports HD 8</v>
      </c>
      <c r="D1349" s="1">
        <v>2185000</v>
      </c>
      <c r="E1349" t="s">
        <v>149</v>
      </c>
    </row>
    <row r="1350" spans="1:6" ht="15" hidden="1" customHeight="1" x14ac:dyDescent="0.25">
      <c r="A1350" t="s">
        <v>21</v>
      </c>
      <c r="B1350" t="s">
        <v>1294</v>
      </c>
      <c r="C1350" t="str">
        <f t="shared" si="25"/>
        <v>Pan Middle EastBeIN Sports HD 9</v>
      </c>
      <c r="D1350" s="1">
        <v>2185000</v>
      </c>
      <c r="E1350" t="s">
        <v>149</v>
      </c>
    </row>
    <row r="1351" spans="1:6" ht="15" hidden="1" customHeight="1" x14ac:dyDescent="0.25">
      <c r="A1351" s="13" t="s">
        <v>21</v>
      </c>
      <c r="B1351" s="41" t="s">
        <v>1295</v>
      </c>
      <c r="C1351" t="str">
        <f t="shared" si="25"/>
        <v>Pan Middle EastDubai Sports Channel</v>
      </c>
      <c r="D1351" s="1">
        <v>23033000</v>
      </c>
      <c r="E1351" t="s">
        <v>149</v>
      </c>
    </row>
    <row r="1352" spans="1:6" ht="15" hidden="1" customHeight="1" x14ac:dyDescent="0.25">
      <c r="A1352" s="13" t="s">
        <v>21</v>
      </c>
      <c r="B1352" t="s">
        <v>1296</v>
      </c>
      <c r="C1352" t="str">
        <f t="shared" si="25"/>
        <v>Pan Middle EastMBC ACTION</v>
      </c>
      <c r="D1352" s="1">
        <v>28644221</v>
      </c>
      <c r="E1352" t="s">
        <v>142</v>
      </c>
    </row>
    <row r="1353" spans="1:6" ht="15" hidden="1" customHeight="1" x14ac:dyDescent="0.25">
      <c r="A1353" t="s">
        <v>21</v>
      </c>
      <c r="B1353" t="s">
        <v>1297</v>
      </c>
      <c r="C1353" t="str">
        <f t="shared" si="25"/>
        <v>Pan Middle EastOSN</v>
      </c>
      <c r="D1353" s="1">
        <v>1031000</v>
      </c>
      <c r="E1353" t="s">
        <v>149</v>
      </c>
      <c r="F1353" t="s">
        <v>1251</v>
      </c>
    </row>
    <row r="1354" spans="1:6" hidden="1" x14ac:dyDescent="0.25">
      <c r="A1354" s="13" t="s">
        <v>21</v>
      </c>
      <c r="B1354" t="s">
        <v>1298</v>
      </c>
      <c r="C1354" t="str">
        <f t="shared" si="25"/>
        <v>Pan Middle EastOSN SPORTS 3 HD</v>
      </c>
      <c r="D1354" s="1">
        <v>1031000</v>
      </c>
      <c r="E1354" t="s">
        <v>149</v>
      </c>
      <c r="F1354" t="s">
        <v>1251</v>
      </c>
    </row>
    <row r="1355" spans="1:6" ht="15" hidden="1" customHeight="1" x14ac:dyDescent="0.25">
      <c r="A1355" t="s">
        <v>21</v>
      </c>
      <c r="B1355" s="56" t="s">
        <v>1299</v>
      </c>
      <c r="C1355" t="str">
        <f t="shared" si="25"/>
        <v>Pan Middle EastOSN SPORTS 4 HD</v>
      </c>
      <c r="D1355" s="1">
        <v>1031000</v>
      </c>
      <c r="E1355" t="s">
        <v>149</v>
      </c>
      <c r="F1355" t="s">
        <v>1251</v>
      </c>
    </row>
    <row r="1356" spans="1:6" ht="15" hidden="1" customHeight="1" x14ac:dyDescent="0.25">
      <c r="A1356" t="s">
        <v>21</v>
      </c>
      <c r="B1356" s="56" t="s">
        <v>1300</v>
      </c>
      <c r="C1356" t="str">
        <f t="shared" si="25"/>
        <v>Pan Middle EastOSN SPORTS 5 HD</v>
      </c>
      <c r="D1356" s="1">
        <v>1031000</v>
      </c>
      <c r="E1356" t="s">
        <v>149</v>
      </c>
      <c r="F1356" t="s">
        <v>1251</v>
      </c>
    </row>
    <row r="1357" spans="1:6" ht="15" hidden="1" customHeight="1" x14ac:dyDescent="0.25">
      <c r="A1357" t="s">
        <v>21</v>
      </c>
      <c r="B1357" t="s">
        <v>1301</v>
      </c>
      <c r="C1357" t="str">
        <f t="shared" si="25"/>
        <v>Pan Middle EastYAS Sport</v>
      </c>
      <c r="D1357" s="1">
        <v>1031000</v>
      </c>
      <c r="E1357" t="s">
        <v>149</v>
      </c>
      <c r="F1357" t="s">
        <v>1251</v>
      </c>
    </row>
    <row r="1358" spans="1:6" ht="15" hidden="1" customHeight="1" x14ac:dyDescent="0.25">
      <c r="A1358" s="13" t="s">
        <v>97</v>
      </c>
      <c r="B1358" t="s">
        <v>183</v>
      </c>
      <c r="C1358" t="str">
        <f t="shared" si="25"/>
        <v>Pan Pacific RimESPN</v>
      </c>
      <c r="D1358" s="1">
        <v>805000</v>
      </c>
      <c r="E1358" t="s">
        <v>149</v>
      </c>
      <c r="F1358" t="s">
        <v>1302</v>
      </c>
    </row>
    <row r="1359" spans="1:6" ht="15" hidden="1" customHeight="1" x14ac:dyDescent="0.25">
      <c r="A1359" t="s">
        <v>97</v>
      </c>
      <c r="B1359" t="s">
        <v>185</v>
      </c>
      <c r="C1359" t="str">
        <f t="shared" si="25"/>
        <v>Pan Pacific RimESPN 2</v>
      </c>
      <c r="D1359" s="1">
        <v>805000</v>
      </c>
      <c r="E1359" t="s">
        <v>149</v>
      </c>
      <c r="F1359" t="s">
        <v>1302</v>
      </c>
    </row>
    <row r="1360" spans="1:6" ht="15" hidden="1" customHeight="1" x14ac:dyDescent="0.25">
      <c r="A1360" s="13" t="s">
        <v>97</v>
      </c>
      <c r="B1360" t="s">
        <v>672</v>
      </c>
      <c r="C1360" t="str">
        <f t="shared" si="25"/>
        <v>Pan Pacific RimFiji TV</v>
      </c>
      <c r="D1360" s="1">
        <v>805000</v>
      </c>
      <c r="E1360" t="s">
        <v>149</v>
      </c>
      <c r="F1360" t="s">
        <v>1303</v>
      </c>
    </row>
    <row r="1361" spans="1:6" ht="15" hidden="1" customHeight="1" x14ac:dyDescent="0.25">
      <c r="A1361" s="13" t="s">
        <v>1304</v>
      </c>
      <c r="B1361" t="s">
        <v>558</v>
      </c>
      <c r="C1361" t="str">
        <f t="shared" si="25"/>
        <v>PanamaSky</v>
      </c>
      <c r="D1361" s="1">
        <v>10000</v>
      </c>
      <c r="E1361" t="s">
        <v>149</v>
      </c>
      <c r="F1361" t="s">
        <v>559</v>
      </c>
    </row>
    <row r="1362" spans="1:6" ht="15" hidden="1" customHeight="1" x14ac:dyDescent="0.25">
      <c r="A1362" s="13" t="s">
        <v>1305</v>
      </c>
      <c r="B1362" t="s">
        <v>672</v>
      </c>
      <c r="C1362" t="str">
        <f t="shared" si="25"/>
        <v>Papua New GuineaFiji TV</v>
      </c>
      <c r="D1362" s="1">
        <v>427450</v>
      </c>
      <c r="E1362" t="s">
        <v>142</v>
      </c>
      <c r="F1362" t="s">
        <v>986</v>
      </c>
    </row>
    <row r="1363" spans="1:6" ht="15" hidden="1" customHeight="1" x14ac:dyDescent="0.25">
      <c r="A1363" s="33" t="s">
        <v>1306</v>
      </c>
      <c r="B1363" s="35" t="s">
        <v>1307</v>
      </c>
      <c r="C1363" t="str">
        <f t="shared" si="25"/>
        <v>ParaguayCanal 9</v>
      </c>
      <c r="D1363" s="51">
        <v>1754800</v>
      </c>
      <c r="E1363" t="s">
        <v>142</v>
      </c>
    </row>
    <row r="1364" spans="1:6" ht="15" hidden="1" customHeight="1" x14ac:dyDescent="0.25">
      <c r="A1364" s="13" t="s">
        <v>1306</v>
      </c>
      <c r="B1364" t="s">
        <v>1308</v>
      </c>
      <c r="C1364" t="str">
        <f t="shared" si="25"/>
        <v>ParaguaySNT</v>
      </c>
      <c r="D1364" s="1">
        <v>442439</v>
      </c>
      <c r="E1364" t="s">
        <v>142</v>
      </c>
      <c r="F1364" t="s">
        <v>1309</v>
      </c>
    </row>
    <row r="1365" spans="1:6" ht="15" hidden="1" customHeight="1" x14ac:dyDescent="0.25">
      <c r="A1365" s="33" t="s">
        <v>98</v>
      </c>
      <c r="B1365" s="35" t="s">
        <v>1307</v>
      </c>
      <c r="C1365" t="str">
        <f t="shared" si="25"/>
        <v>PeruCanal 9</v>
      </c>
      <c r="D1365" s="57">
        <v>2827400</v>
      </c>
      <c r="E1365" t="s">
        <v>142</v>
      </c>
      <c r="F1365" t="s">
        <v>986</v>
      </c>
    </row>
    <row r="1366" spans="1:6" ht="15" hidden="1" customHeight="1" x14ac:dyDescent="0.25">
      <c r="A1366" s="13" t="s">
        <v>98</v>
      </c>
      <c r="B1366" t="s">
        <v>1310</v>
      </c>
      <c r="C1366" t="str">
        <f t="shared" si="25"/>
        <v>PeruCanal9</v>
      </c>
      <c r="D1366" s="1">
        <v>2827400</v>
      </c>
      <c r="E1366" t="s">
        <v>142</v>
      </c>
      <c r="F1366" t="s">
        <v>986</v>
      </c>
    </row>
    <row r="1367" spans="1:6" ht="15" hidden="1" customHeight="1" x14ac:dyDescent="0.25">
      <c r="A1367" s="13" t="s">
        <v>98</v>
      </c>
      <c r="B1367" t="s">
        <v>183</v>
      </c>
      <c r="C1367" t="str">
        <f t="shared" si="25"/>
        <v>PeruESPN</v>
      </c>
      <c r="D1367" s="1">
        <v>1813087.2295441621</v>
      </c>
      <c r="E1367" t="s">
        <v>149</v>
      </c>
      <c r="F1367" t="s">
        <v>1311</v>
      </c>
    </row>
    <row r="1368" spans="1:6" ht="15" hidden="1" customHeight="1" x14ac:dyDescent="0.25">
      <c r="A1368" s="13" t="s">
        <v>98</v>
      </c>
      <c r="B1368" t="s">
        <v>185</v>
      </c>
      <c r="C1368" t="str">
        <f t="shared" si="25"/>
        <v>PeruESPN 2</v>
      </c>
      <c r="D1368" s="1">
        <v>1813087.2295441621</v>
      </c>
      <c r="E1368" t="s">
        <v>149</v>
      </c>
    </row>
    <row r="1369" spans="1:6" ht="15" hidden="1" customHeight="1" x14ac:dyDescent="0.25">
      <c r="A1369" s="13" t="s">
        <v>98</v>
      </c>
      <c r="B1369" t="s">
        <v>186</v>
      </c>
      <c r="C1369" t="str">
        <f t="shared" si="25"/>
        <v>PeruESPN 3</v>
      </c>
      <c r="D1369" s="1">
        <v>1813087.2295441621</v>
      </c>
      <c r="E1369" t="s">
        <v>149</v>
      </c>
      <c r="F1369" t="s">
        <v>1311</v>
      </c>
    </row>
    <row r="1370" spans="1:6" ht="15" hidden="1" customHeight="1" x14ac:dyDescent="0.25">
      <c r="A1370" s="13" t="s">
        <v>98</v>
      </c>
      <c r="B1370" t="s">
        <v>189</v>
      </c>
      <c r="C1370" t="str">
        <f t="shared" si="25"/>
        <v>PeruESPN HD</v>
      </c>
      <c r="D1370" s="1">
        <v>1813087.2295441621</v>
      </c>
      <c r="E1370" t="s">
        <v>149</v>
      </c>
      <c r="F1370" t="s">
        <v>1311</v>
      </c>
    </row>
    <row r="1371" spans="1:6" ht="15" hidden="1" customHeight="1" x14ac:dyDescent="0.25">
      <c r="A1371" s="13" t="s">
        <v>98</v>
      </c>
      <c r="B1371" t="s">
        <v>192</v>
      </c>
      <c r="C1371" t="str">
        <f t="shared" si="25"/>
        <v>PeruESPN+</v>
      </c>
      <c r="D1371" s="1">
        <v>1813087.2295441621</v>
      </c>
      <c r="E1371" t="s">
        <v>149</v>
      </c>
      <c r="F1371" t="s">
        <v>1311</v>
      </c>
    </row>
    <row r="1372" spans="1:6" ht="15" hidden="1" customHeight="1" x14ac:dyDescent="0.25">
      <c r="A1372" s="13" t="s">
        <v>98</v>
      </c>
      <c r="B1372" t="s">
        <v>505</v>
      </c>
      <c r="C1372" t="str">
        <f t="shared" si="25"/>
        <v>PeruESPN2 Sur_Andina</v>
      </c>
      <c r="D1372" s="1">
        <v>1813087.2295441621</v>
      </c>
      <c r="E1372" t="s">
        <v>149</v>
      </c>
      <c r="F1372" t="s">
        <v>1311</v>
      </c>
    </row>
    <row r="1373" spans="1:6" ht="15" hidden="1" customHeight="1" x14ac:dyDescent="0.25">
      <c r="A1373" s="13" t="s">
        <v>98</v>
      </c>
      <c r="B1373" t="s">
        <v>194</v>
      </c>
      <c r="C1373" t="str">
        <f t="shared" si="25"/>
        <v>PeruFox Sports</v>
      </c>
      <c r="D1373">
        <v>1615578</v>
      </c>
      <c r="E1373" t="s">
        <v>149</v>
      </c>
    </row>
    <row r="1374" spans="1:6" ht="15" hidden="1" customHeight="1" x14ac:dyDescent="0.25">
      <c r="A1374" s="13" t="s">
        <v>98</v>
      </c>
      <c r="B1374" t="s">
        <v>195</v>
      </c>
      <c r="C1374" t="str">
        <f t="shared" si="25"/>
        <v>PeruFox Sports 2</v>
      </c>
      <c r="D1374" s="1">
        <v>1579871</v>
      </c>
      <c r="E1374" t="s">
        <v>149</v>
      </c>
      <c r="F1374" t="s">
        <v>196</v>
      </c>
    </row>
    <row r="1375" spans="1:6" ht="15" hidden="1" customHeight="1" x14ac:dyDescent="0.25">
      <c r="A1375" s="13" t="s">
        <v>98</v>
      </c>
      <c r="B1375" t="s">
        <v>197</v>
      </c>
      <c r="C1375" t="str">
        <f t="shared" si="25"/>
        <v>PeruFox Sports 3</v>
      </c>
      <c r="D1375" s="1">
        <v>1615578</v>
      </c>
      <c r="E1375" t="s">
        <v>149</v>
      </c>
      <c r="F1375" t="s">
        <v>198</v>
      </c>
    </row>
    <row r="1376" spans="1:6" ht="15" hidden="1" customHeight="1" x14ac:dyDescent="0.25">
      <c r="A1376" s="13" t="s">
        <v>98</v>
      </c>
      <c r="B1376" t="s">
        <v>199</v>
      </c>
      <c r="C1376" t="str">
        <f t="shared" si="25"/>
        <v>PeruFox Sports HD</v>
      </c>
      <c r="D1376" s="1">
        <v>415073</v>
      </c>
      <c r="E1376" t="s">
        <v>149</v>
      </c>
      <c r="F1376" t="s">
        <v>200</v>
      </c>
    </row>
    <row r="1377" spans="1:6" ht="15" hidden="1" customHeight="1" x14ac:dyDescent="0.25">
      <c r="A1377" s="13" t="s">
        <v>99</v>
      </c>
      <c r="B1377" t="s">
        <v>1312</v>
      </c>
      <c r="C1377" t="str">
        <f t="shared" si="25"/>
        <v>PhilippinesAskyon TV</v>
      </c>
      <c r="D1377" s="1">
        <v>8495100</v>
      </c>
      <c r="E1377" t="s">
        <v>142</v>
      </c>
      <c r="F1377" t="s">
        <v>1313</v>
      </c>
    </row>
    <row r="1378" spans="1:6" hidden="1" x14ac:dyDescent="0.25">
      <c r="A1378" s="13" t="s">
        <v>99</v>
      </c>
      <c r="B1378" s="41" t="s">
        <v>455</v>
      </c>
      <c r="C1378" t="str">
        <f t="shared" ref="C1378:C1441" si="26">CONCATENATE(A1378,B1378)</f>
        <v>PhilippinesbeIN Sports</v>
      </c>
      <c r="D1378" s="1">
        <v>840000</v>
      </c>
      <c r="E1378" t="s">
        <v>149</v>
      </c>
      <c r="F1378" t="s">
        <v>1314</v>
      </c>
    </row>
    <row r="1379" spans="1:6" hidden="1" x14ac:dyDescent="0.25">
      <c r="A1379" s="224" t="s">
        <v>99</v>
      </c>
      <c r="B1379" s="159" t="s">
        <v>1315</v>
      </c>
      <c r="C1379" s="159" t="str">
        <f t="shared" si="26"/>
        <v>PhilippinesElite Sports</v>
      </c>
      <c r="D1379" s="174"/>
      <c r="E1379" t="s">
        <v>149</v>
      </c>
      <c r="F1379" s="159"/>
    </row>
    <row r="1380" spans="1:6" hidden="1" x14ac:dyDescent="0.25">
      <c r="A1380" s="13" t="s">
        <v>99</v>
      </c>
      <c r="B1380" s="40" t="s">
        <v>793</v>
      </c>
      <c r="C1380" t="str">
        <f t="shared" si="26"/>
        <v>PhilippinesFOX SPORTS</v>
      </c>
      <c r="D1380" s="1">
        <v>2274000</v>
      </c>
      <c r="E1380" t="s">
        <v>149</v>
      </c>
    </row>
    <row r="1381" spans="1:6" hidden="1" x14ac:dyDescent="0.25">
      <c r="A1381" s="203" t="s">
        <v>99</v>
      </c>
      <c r="B1381" s="147" t="s">
        <v>468</v>
      </c>
      <c r="C1381" s="11" t="str">
        <f t="shared" si="26"/>
        <v>PhilippinesFox Sports 1</v>
      </c>
      <c r="D1381" s="1">
        <v>2274000</v>
      </c>
      <c r="E1381" t="s">
        <v>149</v>
      </c>
      <c r="F1381" s="11"/>
    </row>
    <row r="1382" spans="1:6" hidden="1" x14ac:dyDescent="0.25">
      <c r="A1382" s="13" t="s">
        <v>99</v>
      </c>
      <c r="B1382" t="s">
        <v>225</v>
      </c>
      <c r="C1382" t="str">
        <f t="shared" si="26"/>
        <v>PhilippinesFOX Sports 2</v>
      </c>
      <c r="D1382" s="1">
        <v>2274000</v>
      </c>
      <c r="E1382" t="s">
        <v>149</v>
      </c>
    </row>
    <row r="1383" spans="1:6" hidden="1" x14ac:dyDescent="0.25">
      <c r="A1383" s="203" t="s">
        <v>99</v>
      </c>
      <c r="B1383" s="147" t="s">
        <v>197</v>
      </c>
      <c r="C1383" s="11" t="str">
        <f t="shared" si="26"/>
        <v>PhilippinesFox Sports 3</v>
      </c>
      <c r="D1383" s="1">
        <v>2274000</v>
      </c>
      <c r="E1383" t="s">
        <v>149</v>
      </c>
      <c r="F1383" s="11"/>
    </row>
    <row r="1384" spans="1:6" hidden="1" x14ac:dyDescent="0.25">
      <c r="A1384" s="13" t="s">
        <v>99</v>
      </c>
      <c r="B1384" t="s">
        <v>1316</v>
      </c>
      <c r="C1384" t="str">
        <f t="shared" si="26"/>
        <v>PhilippinesHyper</v>
      </c>
      <c r="D1384" s="1">
        <v>1890000</v>
      </c>
      <c r="E1384" t="s">
        <v>149</v>
      </c>
      <c r="F1384" t="s">
        <v>1317</v>
      </c>
    </row>
    <row r="1385" spans="1:6" hidden="1" x14ac:dyDescent="0.25">
      <c r="A1385" s="13" t="s">
        <v>99</v>
      </c>
      <c r="B1385" t="s">
        <v>1318</v>
      </c>
      <c r="C1385" t="str">
        <f t="shared" si="26"/>
        <v>PhilippinesOne Sports</v>
      </c>
      <c r="D1385" s="1">
        <v>2060000</v>
      </c>
      <c r="E1385" t="s">
        <v>149</v>
      </c>
    </row>
    <row r="1386" spans="1:6" hidden="1" x14ac:dyDescent="0.25">
      <c r="A1386" s="13" t="s">
        <v>99</v>
      </c>
      <c r="B1386" t="s">
        <v>1319</v>
      </c>
      <c r="C1386" t="str">
        <f t="shared" si="26"/>
        <v>PhilippinesONE SPORTS+</v>
      </c>
      <c r="D1386" s="1">
        <v>2060000</v>
      </c>
      <c r="E1386" t="s">
        <v>149</v>
      </c>
    </row>
    <row r="1387" spans="1:6" ht="15" hidden="1" customHeight="1" x14ac:dyDescent="0.25">
      <c r="A1387" s="13" t="s">
        <v>99</v>
      </c>
      <c r="B1387" t="s">
        <v>1320</v>
      </c>
      <c r="C1387" t="str">
        <f t="shared" si="26"/>
        <v>PhilippinesSolar Sports</v>
      </c>
      <c r="D1387" s="1">
        <v>2350080</v>
      </c>
      <c r="E1387" t="s">
        <v>149</v>
      </c>
      <c r="F1387" t="s">
        <v>1321</v>
      </c>
    </row>
    <row r="1388" spans="1:6" ht="15" hidden="1" customHeight="1" x14ac:dyDescent="0.25">
      <c r="A1388" s="13" t="s">
        <v>100</v>
      </c>
      <c r="B1388" t="s">
        <v>1322</v>
      </c>
      <c r="C1388" t="str">
        <f t="shared" si="26"/>
        <v>PolandCanal+ NOW</v>
      </c>
      <c r="D1388" s="1">
        <v>2067000</v>
      </c>
      <c r="E1388" t="s">
        <v>149</v>
      </c>
    </row>
    <row r="1389" spans="1:6" ht="15" hidden="1" customHeight="1" x14ac:dyDescent="0.25">
      <c r="A1389" s="13" t="s">
        <v>100</v>
      </c>
      <c r="B1389" t="s">
        <v>716</v>
      </c>
      <c r="C1389" t="str">
        <f t="shared" si="26"/>
        <v>PolandCanal+ Sport</v>
      </c>
      <c r="D1389" s="1">
        <v>2067000</v>
      </c>
      <c r="E1389" t="s">
        <v>149</v>
      </c>
      <c r="F1389" t="s">
        <v>1323</v>
      </c>
    </row>
    <row r="1390" spans="1:6" ht="15" hidden="1" customHeight="1" x14ac:dyDescent="0.25">
      <c r="A1390" s="13" t="s">
        <v>100</v>
      </c>
      <c r="B1390" t="s">
        <v>1324</v>
      </c>
      <c r="C1390" t="str">
        <f t="shared" si="26"/>
        <v>PolandCanal+ Sport 2</v>
      </c>
      <c r="D1390" s="1">
        <v>2067000</v>
      </c>
      <c r="E1390" t="s">
        <v>149</v>
      </c>
      <c r="F1390" t="s">
        <v>1323</v>
      </c>
    </row>
    <row r="1391" spans="1:6" ht="15" hidden="1" customHeight="1" x14ac:dyDescent="0.25">
      <c r="A1391" s="13" t="s">
        <v>100</v>
      </c>
      <c r="B1391" t="s">
        <v>1325</v>
      </c>
      <c r="C1391" t="str">
        <f t="shared" si="26"/>
        <v>PolandEleven Sports</v>
      </c>
      <c r="D1391" s="1">
        <v>3900000</v>
      </c>
      <c r="E1391" t="s">
        <v>149</v>
      </c>
      <c r="F1391" t="s">
        <v>792</v>
      </c>
    </row>
    <row r="1392" spans="1:6" hidden="1" x14ac:dyDescent="0.25">
      <c r="A1392" s="13" t="s">
        <v>100</v>
      </c>
      <c r="B1392" t="s">
        <v>1326</v>
      </c>
      <c r="C1392" t="str">
        <f t="shared" si="26"/>
        <v>PolandEleven Sports 1</v>
      </c>
      <c r="D1392">
        <v>3900000</v>
      </c>
      <c r="E1392" t="s">
        <v>149</v>
      </c>
    </row>
    <row r="1393" spans="1:6" ht="15" hidden="1" customHeight="1" x14ac:dyDescent="0.25">
      <c r="A1393" t="s">
        <v>100</v>
      </c>
      <c r="B1393" s="7" t="s">
        <v>1327</v>
      </c>
      <c r="C1393" t="str">
        <f t="shared" si="26"/>
        <v>PolandEleven Sports 2</v>
      </c>
      <c r="D1393" s="1">
        <v>3900000</v>
      </c>
      <c r="E1393" t="s">
        <v>149</v>
      </c>
      <c r="F1393" t="s">
        <v>792</v>
      </c>
    </row>
    <row r="1394" spans="1:6" hidden="1" x14ac:dyDescent="0.25">
      <c r="A1394" s="13" t="s">
        <v>100</v>
      </c>
      <c r="B1394" t="s">
        <v>221</v>
      </c>
      <c r="C1394" t="str">
        <f t="shared" si="26"/>
        <v>PolandEurosport</v>
      </c>
      <c r="D1394" s="51">
        <v>8671000</v>
      </c>
      <c r="E1394" s="51" t="s">
        <v>149</v>
      </c>
    </row>
    <row r="1395" spans="1:6" hidden="1" x14ac:dyDescent="0.25">
      <c r="A1395" s="205" t="s">
        <v>100</v>
      </c>
      <c r="B1395" s="11" t="s">
        <v>268</v>
      </c>
      <c r="C1395" s="11" t="str">
        <f t="shared" si="26"/>
        <v>PolandEurosport 1</v>
      </c>
      <c r="D1395" s="1">
        <v>8671000</v>
      </c>
      <c r="E1395" t="s">
        <v>149</v>
      </c>
      <c r="F1395" s="11"/>
    </row>
    <row r="1396" spans="1:6" hidden="1" x14ac:dyDescent="0.25">
      <c r="A1396" s="203" t="s">
        <v>100</v>
      </c>
      <c r="B1396" s="147" t="s">
        <v>269</v>
      </c>
      <c r="C1396" s="11" t="str">
        <f t="shared" si="26"/>
        <v>PolandEurosport 2</v>
      </c>
      <c r="D1396" s="167">
        <v>4406000</v>
      </c>
      <c r="E1396" t="s">
        <v>149</v>
      </c>
      <c r="F1396" s="11"/>
    </row>
    <row r="1397" spans="1:6" hidden="1" x14ac:dyDescent="0.25">
      <c r="A1397" s="13" t="s">
        <v>100</v>
      </c>
      <c r="B1397" s="52" t="s">
        <v>1328</v>
      </c>
      <c r="C1397" t="str">
        <f t="shared" si="26"/>
        <v>PolandEurosport2</v>
      </c>
      <c r="D1397" s="116">
        <v>4406000</v>
      </c>
      <c r="E1397" s="57" t="s">
        <v>149</v>
      </c>
    </row>
    <row r="1398" spans="1:6" hidden="1" x14ac:dyDescent="0.25">
      <c r="A1398" s="13" t="s">
        <v>100</v>
      </c>
      <c r="B1398" s="52" t="s">
        <v>477</v>
      </c>
      <c r="C1398" t="str">
        <f t="shared" si="26"/>
        <v>PolandGolf Channel</v>
      </c>
      <c r="D1398" s="1">
        <v>2067000</v>
      </c>
      <c r="E1398" t="s">
        <v>149</v>
      </c>
      <c r="F1398" t="s">
        <v>1329</v>
      </c>
    </row>
    <row r="1399" spans="1:6" ht="14.45" hidden="1" customHeight="1" x14ac:dyDescent="0.25">
      <c r="A1399" s="13" t="s">
        <v>100</v>
      </c>
      <c r="B1399" t="s">
        <v>1330</v>
      </c>
      <c r="C1399" t="str">
        <f t="shared" si="26"/>
        <v>PolandGolf Channel Polska</v>
      </c>
      <c r="D1399" s="1">
        <v>2067000</v>
      </c>
      <c r="E1399" t="s">
        <v>149</v>
      </c>
    </row>
    <row r="1400" spans="1:6" hidden="1" x14ac:dyDescent="0.25">
      <c r="A1400" s="209" t="s">
        <v>100</v>
      </c>
      <c r="B1400" s="155" t="s">
        <v>1331</v>
      </c>
      <c r="C1400" s="155" t="str">
        <f t="shared" si="26"/>
        <v>PolandPolsat</v>
      </c>
      <c r="D1400" s="156">
        <v>14452000</v>
      </c>
      <c r="E1400" s="155" t="s">
        <v>142</v>
      </c>
      <c r="F1400" s="155"/>
    </row>
    <row r="1401" spans="1:6" hidden="1" x14ac:dyDescent="0.25">
      <c r="A1401" s="13" t="s">
        <v>100</v>
      </c>
      <c r="B1401" t="s">
        <v>1332</v>
      </c>
      <c r="C1401" t="str">
        <f t="shared" si="26"/>
        <v>PolandPolsat 1</v>
      </c>
      <c r="D1401" s="57">
        <v>14452000</v>
      </c>
      <c r="E1401" t="s">
        <v>142</v>
      </c>
      <c r="F1401" t="s">
        <v>1333</v>
      </c>
    </row>
    <row r="1402" spans="1:6" ht="14.45" hidden="1" customHeight="1" x14ac:dyDescent="0.25">
      <c r="A1402" s="13" t="s">
        <v>100</v>
      </c>
      <c r="B1402" t="s">
        <v>1334</v>
      </c>
      <c r="C1402" t="str">
        <f t="shared" si="26"/>
        <v>PolandPolsat Sport</v>
      </c>
      <c r="D1402" s="1">
        <v>5578000</v>
      </c>
      <c r="E1402" t="s">
        <v>149</v>
      </c>
      <c r="F1402" t="s">
        <v>341</v>
      </c>
    </row>
    <row r="1403" spans="1:6" hidden="1" x14ac:dyDescent="0.25">
      <c r="A1403" s="13" t="s">
        <v>100</v>
      </c>
      <c r="B1403" t="s">
        <v>1335</v>
      </c>
      <c r="C1403" t="str">
        <f t="shared" si="26"/>
        <v>PolandPolsat Sport Extra</v>
      </c>
      <c r="D1403" s="1">
        <v>3827000</v>
      </c>
      <c r="E1403" t="s">
        <v>149</v>
      </c>
      <c r="F1403" t="s">
        <v>341</v>
      </c>
    </row>
    <row r="1404" spans="1:6" hidden="1" x14ac:dyDescent="0.25">
      <c r="A1404" s="13" t="s">
        <v>100</v>
      </c>
      <c r="B1404" t="s">
        <v>1336</v>
      </c>
      <c r="C1404" t="str">
        <f t="shared" si="26"/>
        <v>PolandPolsat Sport News</v>
      </c>
      <c r="D1404" s="1">
        <v>9510000</v>
      </c>
      <c r="E1404" t="s">
        <v>142</v>
      </c>
      <c r="F1404" t="s">
        <v>341</v>
      </c>
    </row>
    <row r="1405" spans="1:6" ht="14.45" hidden="1" customHeight="1" x14ac:dyDescent="0.25">
      <c r="A1405" s="50" t="s">
        <v>100</v>
      </c>
      <c r="B1405" s="34" t="s">
        <v>1337</v>
      </c>
      <c r="C1405" t="str">
        <f t="shared" si="26"/>
        <v>PolandPolsat Sport News HD</v>
      </c>
      <c r="D1405" s="1">
        <v>9510000</v>
      </c>
      <c r="E1405" t="s">
        <v>142</v>
      </c>
      <c r="F1405" t="s">
        <v>341</v>
      </c>
    </row>
    <row r="1406" spans="1:6" hidden="1" x14ac:dyDescent="0.25">
      <c r="A1406" s="211" t="s">
        <v>100</v>
      </c>
      <c r="B1406" s="166" t="s">
        <v>1338</v>
      </c>
      <c r="C1406" s="162" t="str">
        <f t="shared" si="26"/>
        <v>PolandTVN</v>
      </c>
      <c r="D1406" s="1">
        <v>13632282.048</v>
      </c>
      <c r="E1406" t="s">
        <v>142</v>
      </c>
      <c r="F1406" s="162"/>
    </row>
    <row r="1407" spans="1:6" ht="14.45" hidden="1" customHeight="1" x14ac:dyDescent="0.25">
      <c r="A1407" t="s">
        <v>100</v>
      </c>
      <c r="B1407" t="s">
        <v>1339</v>
      </c>
      <c r="C1407" t="str">
        <f t="shared" si="26"/>
        <v>PolandTVP HD</v>
      </c>
      <c r="D1407" s="1">
        <v>12820000</v>
      </c>
      <c r="E1407" t="s">
        <v>142</v>
      </c>
      <c r="F1407" t="s">
        <v>341</v>
      </c>
    </row>
    <row r="1408" spans="1:6" hidden="1" x14ac:dyDescent="0.25">
      <c r="A1408" s="13" t="s">
        <v>100</v>
      </c>
      <c r="B1408" t="s">
        <v>1340</v>
      </c>
      <c r="C1408" t="str">
        <f t="shared" si="26"/>
        <v>PolandTVP Sport</v>
      </c>
      <c r="D1408" s="1">
        <v>6435000</v>
      </c>
      <c r="E1408" t="s">
        <v>149</v>
      </c>
      <c r="F1408" t="s">
        <v>341</v>
      </c>
    </row>
    <row r="1409" spans="1:6" ht="14.45" hidden="1" customHeight="1" x14ac:dyDescent="0.25">
      <c r="A1409" s="13" t="s">
        <v>100</v>
      </c>
      <c r="B1409" t="s">
        <v>1341</v>
      </c>
      <c r="C1409" t="str">
        <f t="shared" si="26"/>
        <v>PolandTVP1</v>
      </c>
      <c r="D1409" s="1">
        <v>14467000</v>
      </c>
      <c r="E1409" t="s">
        <v>142</v>
      </c>
      <c r="F1409" t="s">
        <v>1333</v>
      </c>
    </row>
    <row r="1410" spans="1:6" hidden="1" x14ac:dyDescent="0.25">
      <c r="A1410" s="13" t="s">
        <v>100</v>
      </c>
      <c r="B1410" t="s">
        <v>1342</v>
      </c>
      <c r="C1410" t="str">
        <f t="shared" si="26"/>
        <v>PolandTVP2</v>
      </c>
      <c r="D1410" s="1">
        <v>12820000</v>
      </c>
      <c r="E1410" t="s">
        <v>142</v>
      </c>
      <c r="F1410" t="s">
        <v>341</v>
      </c>
    </row>
    <row r="1411" spans="1:6" hidden="1" x14ac:dyDescent="0.25">
      <c r="A1411" s="13" t="s">
        <v>101</v>
      </c>
      <c r="B1411" t="s">
        <v>1326</v>
      </c>
      <c r="C1411" t="str">
        <f t="shared" si="26"/>
        <v>PortugalEleven Sports 1</v>
      </c>
      <c r="D1411" s="1">
        <v>3222000</v>
      </c>
      <c r="E1411" t="s">
        <v>149</v>
      </c>
    </row>
    <row r="1412" spans="1:6" ht="14.45" hidden="1" customHeight="1" x14ac:dyDescent="0.25">
      <c r="A1412" s="13" t="s">
        <v>101</v>
      </c>
      <c r="B1412" t="s">
        <v>1327</v>
      </c>
      <c r="C1412" t="str">
        <f t="shared" si="26"/>
        <v>PortugalEleven Sports 2</v>
      </c>
      <c r="D1412" s="1">
        <v>3222000</v>
      </c>
      <c r="E1412" t="s">
        <v>149</v>
      </c>
    </row>
    <row r="1413" spans="1:6" hidden="1" x14ac:dyDescent="0.25">
      <c r="A1413" s="203" t="s">
        <v>101</v>
      </c>
      <c r="B1413" s="147" t="s">
        <v>268</v>
      </c>
      <c r="C1413" s="11" t="str">
        <f t="shared" si="26"/>
        <v>PortugalEurosport 1</v>
      </c>
      <c r="D1413" s="1">
        <v>3207000</v>
      </c>
      <c r="E1413" t="s">
        <v>149</v>
      </c>
      <c r="F1413" s="11"/>
    </row>
    <row r="1414" spans="1:6" hidden="1" x14ac:dyDescent="0.25">
      <c r="A1414" s="13" t="s">
        <v>101</v>
      </c>
      <c r="B1414" t="s">
        <v>269</v>
      </c>
      <c r="C1414" t="str">
        <f t="shared" si="26"/>
        <v>PortugalEurosport 2</v>
      </c>
      <c r="D1414" s="1">
        <v>2297000</v>
      </c>
      <c r="E1414" t="s">
        <v>149</v>
      </c>
      <c r="F1414" t="s">
        <v>267</v>
      </c>
    </row>
    <row r="1415" spans="1:6" hidden="1" x14ac:dyDescent="0.25">
      <c r="A1415" s="13" t="s">
        <v>101</v>
      </c>
      <c r="B1415" t="s">
        <v>1343</v>
      </c>
      <c r="C1415" t="str">
        <f t="shared" si="26"/>
        <v>PortugalEurosport 2 Extra HD</v>
      </c>
      <c r="D1415" s="1">
        <v>2297000</v>
      </c>
      <c r="E1415" t="s">
        <v>149</v>
      </c>
      <c r="F1415" t="s">
        <v>267</v>
      </c>
    </row>
    <row r="1416" spans="1:6" hidden="1" x14ac:dyDescent="0.25">
      <c r="A1416" s="13" t="s">
        <v>101</v>
      </c>
      <c r="B1416" t="s">
        <v>1344</v>
      </c>
      <c r="C1416" t="str">
        <f t="shared" si="26"/>
        <v>PortugalEurosport 2 xtra</v>
      </c>
      <c r="D1416" s="1">
        <v>2297000</v>
      </c>
      <c r="E1416" t="s">
        <v>149</v>
      </c>
      <c r="F1416" t="s">
        <v>267</v>
      </c>
    </row>
    <row r="1417" spans="1:6" ht="14.45" hidden="1" customHeight="1" x14ac:dyDescent="0.25">
      <c r="A1417" s="13" t="s">
        <v>101</v>
      </c>
      <c r="B1417" t="s">
        <v>343</v>
      </c>
      <c r="C1417" t="str">
        <f t="shared" si="26"/>
        <v>PortugalMa Chaine Sport</v>
      </c>
      <c r="D1417" s="1">
        <v>1246000</v>
      </c>
      <c r="E1417" t="s">
        <v>149</v>
      </c>
      <c r="F1417" t="s">
        <v>1345</v>
      </c>
    </row>
    <row r="1418" spans="1:6" ht="14.45" hidden="1" customHeight="1" x14ac:dyDescent="0.25">
      <c r="A1418" s="13" t="s">
        <v>101</v>
      </c>
      <c r="B1418" t="s">
        <v>344</v>
      </c>
      <c r="C1418" t="str">
        <f t="shared" si="26"/>
        <v>PortugalMa Chaine Sport Tennis</v>
      </c>
      <c r="D1418" s="1">
        <v>1246000</v>
      </c>
      <c r="E1418" t="s">
        <v>149</v>
      </c>
      <c r="F1418" t="s">
        <v>1345</v>
      </c>
    </row>
    <row r="1419" spans="1:6" ht="14.45" hidden="1" customHeight="1" x14ac:dyDescent="0.25">
      <c r="A1419" s="13" t="s">
        <v>101</v>
      </c>
      <c r="B1419" t="s">
        <v>1346</v>
      </c>
      <c r="C1419" t="str">
        <f t="shared" si="26"/>
        <v>PortugalRTP 2</v>
      </c>
      <c r="D1419" s="1">
        <v>3861300</v>
      </c>
      <c r="E1419" t="s">
        <v>142</v>
      </c>
      <c r="F1419" t="s">
        <v>1347</v>
      </c>
    </row>
    <row r="1420" spans="1:6" ht="14.45" hidden="1" customHeight="1" x14ac:dyDescent="0.25">
      <c r="A1420" s="33" t="s">
        <v>101</v>
      </c>
      <c r="B1420" s="35" t="s">
        <v>1348</v>
      </c>
      <c r="C1420" t="str">
        <f t="shared" si="26"/>
        <v>PortugalRTP1</v>
      </c>
      <c r="D1420" s="1">
        <v>3861300</v>
      </c>
      <c r="E1420" t="s">
        <v>142</v>
      </c>
      <c r="F1420" t="s">
        <v>1347</v>
      </c>
    </row>
    <row r="1421" spans="1:6" ht="14.45" hidden="1" customHeight="1" x14ac:dyDescent="0.25">
      <c r="A1421" t="s">
        <v>101</v>
      </c>
      <c r="B1421" t="s">
        <v>1349</v>
      </c>
      <c r="C1421" t="str">
        <f t="shared" si="26"/>
        <v>PortugalSport TV</v>
      </c>
      <c r="D1421" s="1">
        <v>3222000</v>
      </c>
      <c r="E1421" t="s">
        <v>149</v>
      </c>
      <c r="F1421" t="s">
        <v>1345</v>
      </c>
    </row>
    <row r="1422" spans="1:6" ht="14.45" hidden="1" customHeight="1" x14ac:dyDescent="0.25">
      <c r="A1422" s="13" t="s">
        <v>101</v>
      </c>
      <c r="B1422" t="s">
        <v>1350</v>
      </c>
      <c r="C1422" t="str">
        <f t="shared" si="26"/>
        <v>PortugalSport TV 1</v>
      </c>
      <c r="D1422" s="1">
        <v>3222000</v>
      </c>
      <c r="E1422" t="s">
        <v>149</v>
      </c>
      <c r="F1422" t="s">
        <v>1345</v>
      </c>
    </row>
    <row r="1423" spans="1:6" ht="14.45" hidden="1" customHeight="1" x14ac:dyDescent="0.25">
      <c r="A1423" s="50" t="s">
        <v>101</v>
      </c>
      <c r="B1423" s="34" t="s">
        <v>1351</v>
      </c>
      <c r="C1423" t="str">
        <f t="shared" si="26"/>
        <v>PortugalSport TV 2</v>
      </c>
      <c r="D1423" s="1">
        <v>3222000</v>
      </c>
      <c r="E1423" t="s">
        <v>149</v>
      </c>
      <c r="F1423" t="s">
        <v>1345</v>
      </c>
    </row>
    <row r="1424" spans="1:6" ht="14.45" hidden="1" customHeight="1" x14ac:dyDescent="0.25">
      <c r="A1424" s="50" t="s">
        <v>101</v>
      </c>
      <c r="B1424" t="s">
        <v>1352</v>
      </c>
      <c r="C1424" t="str">
        <f t="shared" si="26"/>
        <v>PortugalSport TV 3</v>
      </c>
      <c r="D1424" s="1">
        <v>3222000</v>
      </c>
      <c r="E1424" t="s">
        <v>149</v>
      </c>
      <c r="F1424" t="s">
        <v>1345</v>
      </c>
    </row>
    <row r="1425" spans="1:6" hidden="1" x14ac:dyDescent="0.25">
      <c r="A1425" s="58" t="s">
        <v>101</v>
      </c>
      <c r="B1425" s="134" t="s">
        <v>1353</v>
      </c>
      <c r="C1425" t="str">
        <f t="shared" si="26"/>
        <v>PortugalSport TV 4</v>
      </c>
      <c r="D1425" s="1">
        <v>3222000</v>
      </c>
      <c r="E1425" t="s">
        <v>149</v>
      </c>
      <c r="F1425" t="s">
        <v>1345</v>
      </c>
    </row>
    <row r="1426" spans="1:6" ht="14.45" hidden="1" customHeight="1" x14ac:dyDescent="0.25">
      <c r="A1426" s="58" t="s">
        <v>101</v>
      </c>
      <c r="B1426" s="3" t="s">
        <v>1354</v>
      </c>
      <c r="C1426" t="str">
        <f t="shared" si="26"/>
        <v>PortugalSport TV 5</v>
      </c>
      <c r="D1426" s="1">
        <v>3222000</v>
      </c>
      <c r="E1426" t="s">
        <v>149</v>
      </c>
      <c r="F1426" t="s">
        <v>1345</v>
      </c>
    </row>
    <row r="1427" spans="1:6" hidden="1" x14ac:dyDescent="0.25">
      <c r="A1427" s="58" t="s">
        <v>101</v>
      </c>
      <c r="B1427" s="3" t="s">
        <v>1355</v>
      </c>
      <c r="C1427" t="str">
        <f t="shared" si="26"/>
        <v>PortugalSport TV+</v>
      </c>
      <c r="D1427">
        <v>3222000</v>
      </c>
      <c r="E1427" t="s">
        <v>149</v>
      </c>
      <c r="F1427" t="s">
        <v>1345</v>
      </c>
    </row>
    <row r="1428" spans="1:6" ht="15.95" hidden="1" customHeight="1" x14ac:dyDescent="0.25">
      <c r="A1428" s="3" t="s">
        <v>101</v>
      </c>
      <c r="B1428" s="3" t="s">
        <v>1356</v>
      </c>
      <c r="C1428" t="str">
        <f t="shared" si="26"/>
        <v>PortugalSport TV2</v>
      </c>
      <c r="D1428" s="1">
        <v>3222000</v>
      </c>
      <c r="E1428" t="s">
        <v>149</v>
      </c>
      <c r="F1428" t="s">
        <v>1345</v>
      </c>
    </row>
    <row r="1429" spans="1:6" ht="15.95" hidden="1" customHeight="1" x14ac:dyDescent="0.25">
      <c r="A1429" s="3" t="s">
        <v>101</v>
      </c>
      <c r="B1429" s="3" t="s">
        <v>1357</v>
      </c>
      <c r="C1429" t="str">
        <f t="shared" si="26"/>
        <v>PortugalSport TV3</v>
      </c>
      <c r="D1429" s="1">
        <v>3222000</v>
      </c>
      <c r="E1429" t="s">
        <v>149</v>
      </c>
      <c r="F1429" t="s">
        <v>1345</v>
      </c>
    </row>
    <row r="1430" spans="1:6" ht="14.45" hidden="1" customHeight="1" x14ac:dyDescent="0.25">
      <c r="A1430" s="3" t="s">
        <v>101</v>
      </c>
      <c r="B1430" s="3" t="s">
        <v>1358</v>
      </c>
      <c r="C1430" t="str">
        <f t="shared" si="26"/>
        <v>PortugalSport TV4</v>
      </c>
      <c r="D1430" s="1">
        <v>3222000</v>
      </c>
      <c r="E1430" t="s">
        <v>149</v>
      </c>
      <c r="F1430" t="s">
        <v>1345</v>
      </c>
    </row>
    <row r="1431" spans="1:6" ht="14.45" hidden="1" customHeight="1" x14ac:dyDescent="0.25">
      <c r="A1431" s="3" t="s">
        <v>101</v>
      </c>
      <c r="B1431" s="3" t="s">
        <v>1359</v>
      </c>
      <c r="C1431" t="str">
        <f t="shared" si="26"/>
        <v>PortugalSport TV5</v>
      </c>
      <c r="D1431" s="1">
        <v>3222000</v>
      </c>
      <c r="E1431" t="s">
        <v>149</v>
      </c>
      <c r="F1431" t="s">
        <v>1345</v>
      </c>
    </row>
    <row r="1432" spans="1:6" hidden="1" x14ac:dyDescent="0.25">
      <c r="A1432" s="58" t="s">
        <v>102</v>
      </c>
      <c r="B1432" s="3" t="s">
        <v>102</v>
      </c>
      <c r="C1432" t="str">
        <f t="shared" si="26"/>
        <v>Post TournamentPost Tournament</v>
      </c>
      <c r="D1432" s="114" t="s">
        <v>658</v>
      </c>
      <c r="E1432" s="119" t="s">
        <v>658</v>
      </c>
    </row>
    <row r="1433" spans="1:6" hidden="1" x14ac:dyDescent="0.25">
      <c r="A1433" s="58" t="s">
        <v>128</v>
      </c>
      <c r="B1433" s="3" t="s">
        <v>1360</v>
      </c>
      <c r="C1433" t="str">
        <f t="shared" si="26"/>
        <v>Puerto RicoUnivision</v>
      </c>
      <c r="D1433" s="1">
        <v>1161000</v>
      </c>
      <c r="E1433" t="s">
        <v>142</v>
      </c>
    </row>
    <row r="1434" spans="1:6" hidden="1" x14ac:dyDescent="0.25">
      <c r="A1434" s="58" t="s">
        <v>128</v>
      </c>
      <c r="B1434" s="3" t="s">
        <v>1361</v>
      </c>
      <c r="C1434" t="str">
        <f t="shared" si="26"/>
        <v>Puerto RicoUnivision Deportes</v>
      </c>
      <c r="D1434" s="1">
        <v>383160</v>
      </c>
      <c r="E1434" t="s">
        <v>149</v>
      </c>
    </row>
    <row r="1435" spans="1:6" hidden="1" x14ac:dyDescent="0.25">
      <c r="A1435" s="104" t="s">
        <v>103</v>
      </c>
      <c r="B1435" s="104" t="s">
        <v>1362</v>
      </c>
      <c r="C1435" t="str">
        <f t="shared" si="26"/>
        <v>RomaniaDigi Sport 1</v>
      </c>
      <c r="D1435" s="1">
        <v>2653000</v>
      </c>
      <c r="E1435" t="s">
        <v>149</v>
      </c>
      <c r="F1435" t="s">
        <v>1363</v>
      </c>
    </row>
    <row r="1436" spans="1:6" hidden="1" x14ac:dyDescent="0.25">
      <c r="A1436" s="3" t="s">
        <v>103</v>
      </c>
      <c r="B1436" s="3" t="s">
        <v>1364</v>
      </c>
      <c r="C1436" t="str">
        <f t="shared" si="26"/>
        <v>RomaniaDigi Sport 1 HD</v>
      </c>
      <c r="D1436" s="1">
        <v>2653000</v>
      </c>
      <c r="E1436" t="s">
        <v>149</v>
      </c>
      <c r="F1436" t="s">
        <v>1363</v>
      </c>
    </row>
    <row r="1437" spans="1:6" ht="14.45" hidden="1" customHeight="1" x14ac:dyDescent="0.25">
      <c r="A1437" s="58" t="s">
        <v>103</v>
      </c>
      <c r="B1437" s="3" t="s">
        <v>614</v>
      </c>
      <c r="C1437" t="str">
        <f t="shared" si="26"/>
        <v>RomaniaDigi Sport 2</v>
      </c>
      <c r="D1437" s="1">
        <v>2653000</v>
      </c>
      <c r="E1437" t="s">
        <v>149</v>
      </c>
      <c r="F1437" t="s">
        <v>1363</v>
      </c>
    </row>
    <row r="1438" spans="1:6" ht="14.45" hidden="1" customHeight="1" x14ac:dyDescent="0.25">
      <c r="A1438" s="3" t="s">
        <v>103</v>
      </c>
      <c r="B1438" s="3" t="s">
        <v>1365</v>
      </c>
      <c r="C1438" t="str">
        <f t="shared" si="26"/>
        <v>RomaniaDigi Sport 2 HD</v>
      </c>
      <c r="D1438" s="1">
        <v>2653000</v>
      </c>
      <c r="E1438" t="s">
        <v>149</v>
      </c>
      <c r="F1438" t="s">
        <v>1363</v>
      </c>
    </row>
    <row r="1439" spans="1:6" hidden="1" x14ac:dyDescent="0.25">
      <c r="A1439" s="58" t="s">
        <v>103</v>
      </c>
      <c r="B1439" s="3" t="s">
        <v>615</v>
      </c>
      <c r="C1439" t="str">
        <f t="shared" si="26"/>
        <v>RomaniaDigi Sport 3</v>
      </c>
      <c r="D1439" s="1">
        <v>2653000</v>
      </c>
      <c r="E1439" t="s">
        <v>149</v>
      </c>
      <c r="F1439" t="s">
        <v>1363</v>
      </c>
    </row>
    <row r="1440" spans="1:6" hidden="1" x14ac:dyDescent="0.25">
      <c r="A1440" s="58" t="s">
        <v>103</v>
      </c>
      <c r="B1440" s="3" t="s">
        <v>1366</v>
      </c>
      <c r="C1440" t="str">
        <f t="shared" si="26"/>
        <v>RomaniaDigi Sport 3 HD</v>
      </c>
      <c r="D1440" s="1">
        <v>2653000</v>
      </c>
      <c r="E1440" t="s">
        <v>149</v>
      </c>
      <c r="F1440" t="s">
        <v>1363</v>
      </c>
    </row>
    <row r="1441" spans="1:6" hidden="1" x14ac:dyDescent="0.25">
      <c r="A1441" s="58" t="s">
        <v>103</v>
      </c>
      <c r="B1441" s="3" t="s">
        <v>806</v>
      </c>
      <c r="C1441" t="str">
        <f t="shared" si="26"/>
        <v>RomaniaDigi Sport 4</v>
      </c>
      <c r="D1441" s="1">
        <v>2653000</v>
      </c>
      <c r="E1441" t="s">
        <v>149</v>
      </c>
      <c r="F1441" t="s">
        <v>1363</v>
      </c>
    </row>
    <row r="1442" spans="1:6" hidden="1" x14ac:dyDescent="0.25">
      <c r="A1442" s="3" t="s">
        <v>103</v>
      </c>
      <c r="B1442" s="3" t="s">
        <v>807</v>
      </c>
      <c r="C1442" t="str">
        <f t="shared" ref="C1442:C1505" si="27">CONCATENATE(A1442,B1442)</f>
        <v>RomaniaDigiSport 1</v>
      </c>
      <c r="D1442" s="1">
        <v>2653000</v>
      </c>
      <c r="E1442" t="s">
        <v>149</v>
      </c>
      <c r="F1442" t="s">
        <v>1363</v>
      </c>
    </row>
    <row r="1443" spans="1:6" hidden="1" x14ac:dyDescent="0.25">
      <c r="A1443" s="3" t="s">
        <v>103</v>
      </c>
      <c r="B1443" s="3" t="s">
        <v>616</v>
      </c>
      <c r="C1443" t="str">
        <f t="shared" si="27"/>
        <v>RomaniaDigiSport 2</v>
      </c>
      <c r="D1443" s="1">
        <v>2653000</v>
      </c>
      <c r="E1443" t="s">
        <v>149</v>
      </c>
      <c r="F1443" t="s">
        <v>1363</v>
      </c>
    </row>
    <row r="1444" spans="1:6" hidden="1" x14ac:dyDescent="0.25">
      <c r="A1444" s="58" t="s">
        <v>103</v>
      </c>
      <c r="B1444" s="3" t="s">
        <v>617</v>
      </c>
      <c r="C1444" t="str">
        <f t="shared" si="27"/>
        <v>RomaniaDigiSport 3</v>
      </c>
      <c r="D1444" s="1">
        <v>2653000</v>
      </c>
      <c r="E1444" t="s">
        <v>149</v>
      </c>
    </row>
    <row r="1445" spans="1:6" hidden="1" x14ac:dyDescent="0.25">
      <c r="A1445" s="103" t="s">
        <v>103</v>
      </c>
      <c r="B1445" s="104" t="s">
        <v>1367</v>
      </c>
      <c r="C1445" t="str">
        <f t="shared" si="27"/>
        <v>RomaniaDigiSport 4</v>
      </c>
      <c r="D1445" s="1">
        <v>2653000</v>
      </c>
      <c r="E1445" t="s">
        <v>149</v>
      </c>
    </row>
    <row r="1446" spans="1:6" hidden="1" x14ac:dyDescent="0.25">
      <c r="A1446" s="13" t="s">
        <v>103</v>
      </c>
      <c r="B1446" s="41" t="s">
        <v>1368</v>
      </c>
      <c r="C1446" t="str">
        <f t="shared" si="27"/>
        <v>RomaniaDolce Sport</v>
      </c>
      <c r="D1446" s="1">
        <v>1779000</v>
      </c>
      <c r="E1446" t="s">
        <v>149</v>
      </c>
      <c r="F1446" t="s">
        <v>1369</v>
      </c>
    </row>
    <row r="1447" spans="1:6" ht="14.45" hidden="1" customHeight="1" x14ac:dyDescent="0.25">
      <c r="A1447" s="13" t="s">
        <v>103</v>
      </c>
      <c r="B1447" t="s">
        <v>1370</v>
      </c>
      <c r="C1447" t="str">
        <f t="shared" si="27"/>
        <v>RomaniaDolce Sport 1</v>
      </c>
      <c r="D1447" s="1">
        <v>1779000</v>
      </c>
      <c r="E1447" t="s">
        <v>149</v>
      </c>
      <c r="F1447" t="s">
        <v>1369</v>
      </c>
    </row>
    <row r="1448" spans="1:6" ht="14.45" hidden="1" customHeight="1" x14ac:dyDescent="0.25">
      <c r="A1448" t="s">
        <v>103</v>
      </c>
      <c r="B1448" t="s">
        <v>1371</v>
      </c>
      <c r="C1448" t="str">
        <f t="shared" si="27"/>
        <v>RomaniaDolce Sport 1 HD</v>
      </c>
      <c r="D1448" s="1">
        <v>1779000</v>
      </c>
      <c r="E1448" t="s">
        <v>149</v>
      </c>
      <c r="F1448" t="s">
        <v>1369</v>
      </c>
    </row>
    <row r="1449" spans="1:6" hidden="1" x14ac:dyDescent="0.25">
      <c r="A1449" s="58" t="s">
        <v>103</v>
      </c>
      <c r="B1449" s="3" t="s">
        <v>1372</v>
      </c>
      <c r="C1449" t="str">
        <f t="shared" si="27"/>
        <v>RomaniaDolce Sport 2</v>
      </c>
      <c r="D1449" s="1">
        <v>1779000</v>
      </c>
      <c r="E1449" t="s">
        <v>149</v>
      </c>
      <c r="F1449" t="s">
        <v>1369</v>
      </c>
    </row>
    <row r="1450" spans="1:6" hidden="1" x14ac:dyDescent="0.25">
      <c r="A1450" s="58" t="s">
        <v>103</v>
      </c>
      <c r="B1450" s="3" t="s">
        <v>1373</v>
      </c>
      <c r="C1450" t="str">
        <f t="shared" si="27"/>
        <v>RomaniaDolce Sport 3</v>
      </c>
      <c r="D1450" s="1">
        <v>1779000</v>
      </c>
      <c r="E1450" t="s">
        <v>149</v>
      </c>
      <c r="F1450" t="s">
        <v>1369</v>
      </c>
    </row>
    <row r="1451" spans="1:6" hidden="1" x14ac:dyDescent="0.25">
      <c r="A1451" s="58" t="s">
        <v>103</v>
      </c>
      <c r="B1451" s="3" t="s">
        <v>1374</v>
      </c>
      <c r="C1451" t="str">
        <f t="shared" si="27"/>
        <v>RomaniaDolce Sport 4</v>
      </c>
      <c r="D1451" s="1">
        <v>1779000</v>
      </c>
      <c r="E1451" t="s">
        <v>149</v>
      </c>
      <c r="F1451" t="s">
        <v>1369</v>
      </c>
    </row>
    <row r="1452" spans="1:6" ht="14.45" hidden="1" customHeight="1" x14ac:dyDescent="0.25">
      <c r="A1452" s="58" t="s">
        <v>103</v>
      </c>
      <c r="B1452" s="3" t="s">
        <v>1375</v>
      </c>
      <c r="C1452" t="str">
        <f t="shared" si="27"/>
        <v>RomaniaDolce Sport 5</v>
      </c>
      <c r="D1452" s="1">
        <v>1779000</v>
      </c>
      <c r="E1452" t="s">
        <v>149</v>
      </c>
      <c r="F1452" t="s">
        <v>1369</v>
      </c>
    </row>
    <row r="1453" spans="1:6" ht="14.45" hidden="1" customHeight="1" x14ac:dyDescent="0.25">
      <c r="A1453" s="3" t="s">
        <v>103</v>
      </c>
      <c r="B1453" s="3" t="s">
        <v>1376</v>
      </c>
      <c r="C1453" t="str">
        <f t="shared" si="27"/>
        <v>RomaniaDolce Sport 5 HD</v>
      </c>
      <c r="D1453" s="1">
        <v>1779000</v>
      </c>
      <c r="E1453" t="s">
        <v>149</v>
      </c>
      <c r="F1453" t="s">
        <v>1369</v>
      </c>
    </row>
    <row r="1454" spans="1:6" ht="14.45" hidden="1" customHeight="1" x14ac:dyDescent="0.25">
      <c r="A1454" s="58" t="s">
        <v>103</v>
      </c>
      <c r="B1454" s="3" t="s">
        <v>1377</v>
      </c>
      <c r="C1454" t="str">
        <f t="shared" si="27"/>
        <v>RomaniaDolce Sport 6</v>
      </c>
      <c r="D1454" s="1">
        <v>1779000</v>
      </c>
      <c r="E1454" t="s">
        <v>149</v>
      </c>
      <c r="F1454" t="s">
        <v>1369</v>
      </c>
    </row>
    <row r="1455" spans="1:6" ht="14.45" hidden="1" customHeight="1" x14ac:dyDescent="0.25">
      <c r="A1455" s="3" t="s">
        <v>103</v>
      </c>
      <c r="B1455" s="3" t="s">
        <v>1378</v>
      </c>
      <c r="C1455" t="str">
        <f t="shared" si="27"/>
        <v>RomaniaDolce Sport 6 HD</v>
      </c>
      <c r="D1455" s="1">
        <v>1779000</v>
      </c>
      <c r="E1455" t="s">
        <v>149</v>
      </c>
      <c r="F1455" t="s">
        <v>1369</v>
      </c>
    </row>
    <row r="1456" spans="1:6" hidden="1" x14ac:dyDescent="0.25">
      <c r="A1456" s="58" t="s">
        <v>103</v>
      </c>
      <c r="B1456" s="173" t="s">
        <v>221</v>
      </c>
      <c r="C1456" t="str">
        <f t="shared" si="27"/>
        <v>RomaniaEurosport</v>
      </c>
      <c r="D1456" s="116">
        <v>5553000</v>
      </c>
      <c r="E1456" t="s">
        <v>149</v>
      </c>
      <c r="F1456" t="s">
        <v>1379</v>
      </c>
    </row>
    <row r="1457" spans="1:6" hidden="1" x14ac:dyDescent="0.25">
      <c r="A1457" s="220" t="s">
        <v>103</v>
      </c>
      <c r="B1457" s="145" t="s">
        <v>268</v>
      </c>
      <c r="C1457" s="11" t="str">
        <f t="shared" si="27"/>
        <v>RomaniaEurosport 1</v>
      </c>
      <c r="D1457" s="1">
        <v>5553000</v>
      </c>
      <c r="E1457" t="s">
        <v>149</v>
      </c>
      <c r="F1457" s="11"/>
    </row>
    <row r="1458" spans="1:6" hidden="1" x14ac:dyDescent="0.25">
      <c r="A1458" s="58" t="s">
        <v>103</v>
      </c>
      <c r="B1458" s="173" t="s">
        <v>269</v>
      </c>
      <c r="C1458" t="str">
        <f t="shared" si="27"/>
        <v>RomaniaEurosport 2</v>
      </c>
      <c r="D1458" s="116">
        <v>4844000</v>
      </c>
      <c r="E1458" t="s">
        <v>149</v>
      </c>
      <c r="F1458" t="s">
        <v>1379</v>
      </c>
    </row>
    <row r="1459" spans="1:6" ht="14.45" hidden="1" customHeight="1" x14ac:dyDescent="0.25">
      <c r="A1459" s="58" t="s">
        <v>103</v>
      </c>
      <c r="B1459" s="3" t="s">
        <v>477</v>
      </c>
      <c r="C1459" t="str">
        <f t="shared" si="27"/>
        <v>RomaniaGolf Channel</v>
      </c>
      <c r="D1459" s="1">
        <v>1385000</v>
      </c>
      <c r="E1459" t="s">
        <v>149</v>
      </c>
      <c r="F1459" t="s">
        <v>1380</v>
      </c>
    </row>
    <row r="1460" spans="1:6" hidden="1" x14ac:dyDescent="0.25">
      <c r="A1460" s="58" t="s">
        <v>103</v>
      </c>
      <c r="B1460" s="3" t="s">
        <v>1381</v>
      </c>
      <c r="C1460" t="str">
        <f t="shared" si="27"/>
        <v>RomaniaTelekom Sport 1</v>
      </c>
      <c r="D1460">
        <v>1779000</v>
      </c>
      <c r="E1460" t="s">
        <v>149</v>
      </c>
      <c r="F1460" t="s">
        <v>1382</v>
      </c>
    </row>
    <row r="1461" spans="1:6" ht="14.45" hidden="1" customHeight="1" x14ac:dyDescent="0.25">
      <c r="A1461" s="3" t="s">
        <v>103</v>
      </c>
      <c r="B1461" s="3" t="s">
        <v>1383</v>
      </c>
      <c r="C1461" t="str">
        <f t="shared" si="27"/>
        <v>RomaniaTelekom Sport 2</v>
      </c>
      <c r="D1461" s="1">
        <v>1779000</v>
      </c>
      <c r="E1461" t="s">
        <v>149</v>
      </c>
      <c r="F1461" t="s">
        <v>1369</v>
      </c>
    </row>
    <row r="1462" spans="1:6" hidden="1" x14ac:dyDescent="0.25">
      <c r="A1462" s="58" t="s">
        <v>103</v>
      </c>
      <c r="B1462" s="3" t="s">
        <v>1384</v>
      </c>
      <c r="C1462" t="str">
        <f t="shared" si="27"/>
        <v>RomaniaTelekom Sport 3</v>
      </c>
      <c r="D1462" s="1">
        <v>1779000</v>
      </c>
      <c r="E1462" t="s">
        <v>149</v>
      </c>
    </row>
    <row r="1463" spans="1:6" ht="14.45" hidden="1" customHeight="1" x14ac:dyDescent="0.25">
      <c r="A1463" s="223" t="s">
        <v>104</v>
      </c>
      <c r="B1463" s="144" t="s">
        <v>268</v>
      </c>
      <c r="C1463" s="11" t="str">
        <f t="shared" si="27"/>
        <v>RussiaEurosport 1</v>
      </c>
      <c r="D1463" s="1">
        <v>15491000</v>
      </c>
      <c r="E1463" t="s">
        <v>149</v>
      </c>
      <c r="F1463" s="11"/>
    </row>
    <row r="1464" spans="1:6" hidden="1" x14ac:dyDescent="0.25">
      <c r="A1464" s="58" t="s">
        <v>104</v>
      </c>
      <c r="B1464" s="3" t="s">
        <v>269</v>
      </c>
      <c r="C1464" t="str">
        <f t="shared" si="27"/>
        <v>RussiaEurosport 2</v>
      </c>
      <c r="D1464" s="1">
        <v>12034000</v>
      </c>
      <c r="E1464" t="s">
        <v>149</v>
      </c>
    </row>
    <row r="1465" spans="1:6" hidden="1" x14ac:dyDescent="0.25">
      <c r="A1465" s="58" t="s">
        <v>104</v>
      </c>
      <c r="B1465" s="3" t="s">
        <v>1385</v>
      </c>
      <c r="C1465" t="str">
        <f t="shared" si="27"/>
        <v>RussiaExtreme Sports</v>
      </c>
      <c r="D1465" s="1">
        <v>8225840</v>
      </c>
      <c r="E1465" t="s">
        <v>149</v>
      </c>
      <c r="F1465" t="s">
        <v>1386</v>
      </c>
    </row>
    <row r="1466" spans="1:6" hidden="1" x14ac:dyDescent="0.25">
      <c r="A1466" s="225" t="s">
        <v>104</v>
      </c>
      <c r="B1466" s="154" t="s">
        <v>1387</v>
      </c>
      <c r="C1466" s="155" t="str">
        <f t="shared" si="27"/>
        <v>RussiaGOLFTV</v>
      </c>
      <c r="D1466" s="156">
        <v>20683000</v>
      </c>
      <c r="E1466" t="s">
        <v>149</v>
      </c>
      <c r="F1466" s="155"/>
    </row>
    <row r="1467" spans="1:6" hidden="1" x14ac:dyDescent="0.25">
      <c r="A1467" s="58" t="s">
        <v>104</v>
      </c>
      <c r="B1467" s="3" t="s">
        <v>1388</v>
      </c>
      <c r="C1467" t="str">
        <f t="shared" si="27"/>
        <v>RussiaMatch Arena</v>
      </c>
      <c r="D1467" s="1">
        <v>21127000</v>
      </c>
      <c r="E1467" t="s">
        <v>149</v>
      </c>
      <c r="F1467" t="s">
        <v>1389</v>
      </c>
    </row>
    <row r="1468" spans="1:6" hidden="1" x14ac:dyDescent="0.25">
      <c r="A1468" s="58" t="s">
        <v>104</v>
      </c>
      <c r="B1468" s="3" t="s">
        <v>1243</v>
      </c>
      <c r="C1468" t="str">
        <f t="shared" si="27"/>
        <v>RussiaMatch Game</v>
      </c>
      <c r="D1468" s="1">
        <v>21127000</v>
      </c>
      <c r="E1468" t="s">
        <v>149</v>
      </c>
    </row>
    <row r="1469" spans="1:6" hidden="1" x14ac:dyDescent="0.25">
      <c r="A1469" s="58" t="s">
        <v>104</v>
      </c>
      <c r="B1469" s="3" t="s">
        <v>1390</v>
      </c>
      <c r="C1469" t="str">
        <f t="shared" si="27"/>
        <v>RussiaMATCH TV</v>
      </c>
      <c r="D1469" s="1">
        <v>52550000</v>
      </c>
      <c r="E1469" t="s">
        <v>142</v>
      </c>
      <c r="F1469" s="1" t="s">
        <v>1391</v>
      </c>
    </row>
    <row r="1470" spans="1:6" ht="14.45" hidden="1" customHeight="1" x14ac:dyDescent="0.25">
      <c r="A1470" s="103" t="s">
        <v>104</v>
      </c>
      <c r="B1470" s="104" t="s">
        <v>1392</v>
      </c>
      <c r="C1470" t="str">
        <f t="shared" si="27"/>
        <v>RussiaMatch TV Arena</v>
      </c>
      <c r="D1470" s="1">
        <v>21127000</v>
      </c>
      <c r="E1470" t="s">
        <v>149</v>
      </c>
      <c r="F1470" t="s">
        <v>1389</v>
      </c>
    </row>
    <row r="1471" spans="1:6" hidden="1" x14ac:dyDescent="0.25">
      <c r="A1471" s="58" t="s">
        <v>104</v>
      </c>
      <c r="B1471" s="3" t="s">
        <v>1393</v>
      </c>
      <c r="C1471" t="str">
        <f t="shared" si="27"/>
        <v>RussiaMatch TV game</v>
      </c>
      <c r="D1471" s="1">
        <v>21127000</v>
      </c>
      <c r="E1471" t="s">
        <v>149</v>
      </c>
      <c r="F1471" t="s">
        <v>1389</v>
      </c>
    </row>
    <row r="1472" spans="1:6" hidden="1" x14ac:dyDescent="0.25">
      <c r="A1472" s="58" t="s">
        <v>104</v>
      </c>
      <c r="B1472" s="134" t="s">
        <v>1245</v>
      </c>
      <c r="C1472" t="str">
        <f t="shared" si="27"/>
        <v>RussiaMatch! A Game</v>
      </c>
      <c r="D1472" s="1">
        <v>21127000</v>
      </c>
      <c r="E1472" t="s">
        <v>149</v>
      </c>
      <c r="F1472" t="s">
        <v>1389</v>
      </c>
    </row>
    <row r="1473" spans="1:6" hidden="1" x14ac:dyDescent="0.25">
      <c r="A1473" s="3" t="s">
        <v>104</v>
      </c>
      <c r="B1473" s="3" t="s">
        <v>1394</v>
      </c>
      <c r="C1473" t="str">
        <f t="shared" si="27"/>
        <v>RussiaMatch! Game</v>
      </c>
      <c r="D1473" s="1">
        <v>21127000</v>
      </c>
      <c r="E1473" t="s">
        <v>149</v>
      </c>
      <c r="F1473" t="s">
        <v>1389</v>
      </c>
    </row>
    <row r="1474" spans="1:6" hidden="1" x14ac:dyDescent="0.25">
      <c r="A1474" s="58" t="s">
        <v>104</v>
      </c>
      <c r="B1474" s="134" t="s">
        <v>1246</v>
      </c>
      <c r="C1474" t="str">
        <f t="shared" si="27"/>
        <v>RussiaMATCH! IGRA</v>
      </c>
      <c r="D1474" s="1">
        <v>21127000</v>
      </c>
      <c r="E1474" t="s">
        <v>149</v>
      </c>
      <c r="F1474" t="s">
        <v>1389</v>
      </c>
    </row>
    <row r="1475" spans="1:6" ht="14.45" hidden="1" customHeight="1" x14ac:dyDescent="0.25">
      <c r="A1475" s="58" t="s">
        <v>104</v>
      </c>
      <c r="B1475" s="3" t="s">
        <v>1395</v>
      </c>
      <c r="C1475" t="str">
        <f t="shared" si="27"/>
        <v>RussiaMatch! Our Sport</v>
      </c>
      <c r="D1475" s="1">
        <v>21127000</v>
      </c>
      <c r="E1475" t="s">
        <v>149</v>
      </c>
    </row>
    <row r="1476" spans="1:6" hidden="1" x14ac:dyDescent="0.25">
      <c r="A1476" s="3" t="s">
        <v>104</v>
      </c>
      <c r="B1476" s="3" t="s">
        <v>1247</v>
      </c>
      <c r="C1476" t="str">
        <f t="shared" si="27"/>
        <v>RussiaMatch! Planet</v>
      </c>
      <c r="D1476" s="1">
        <v>21127000</v>
      </c>
      <c r="E1476" t="s">
        <v>149</v>
      </c>
      <c r="F1476" t="s">
        <v>1389</v>
      </c>
    </row>
    <row r="1477" spans="1:6" ht="14.45" hidden="1" customHeight="1" x14ac:dyDescent="0.25">
      <c r="A1477" s="58" t="s">
        <v>104</v>
      </c>
      <c r="B1477" s="3" t="s">
        <v>1396</v>
      </c>
      <c r="C1477" t="str">
        <f t="shared" si="27"/>
        <v>RussiaMatch! The Country</v>
      </c>
      <c r="D1477" s="1">
        <v>21127000</v>
      </c>
      <c r="E1477" t="s">
        <v>149</v>
      </c>
    </row>
    <row r="1478" spans="1:6" hidden="1" x14ac:dyDescent="0.25">
      <c r="A1478" s="226" t="s">
        <v>104</v>
      </c>
      <c r="B1478" s="185" t="s">
        <v>1397</v>
      </c>
      <c r="C1478" t="str">
        <f t="shared" si="27"/>
        <v>RussiaPerviy Kanal</v>
      </c>
      <c r="D1478" s="1">
        <v>27627000</v>
      </c>
      <c r="E1478" t="s">
        <v>149</v>
      </c>
    </row>
    <row r="1479" spans="1:6" hidden="1" x14ac:dyDescent="0.25">
      <c r="A1479" s="58" t="s">
        <v>104</v>
      </c>
      <c r="B1479" s="3" t="s">
        <v>1398</v>
      </c>
      <c r="C1479" t="str">
        <f t="shared" si="27"/>
        <v>RussiaRossiya One</v>
      </c>
      <c r="D1479" s="1">
        <v>54868280</v>
      </c>
      <c r="E1479" t="s">
        <v>142</v>
      </c>
      <c r="F1479" s="1" t="s">
        <v>1399</v>
      </c>
    </row>
    <row r="1480" spans="1:6" hidden="1" x14ac:dyDescent="0.25">
      <c r="A1480" s="58" t="s">
        <v>104</v>
      </c>
      <c r="B1480" s="3" t="s">
        <v>1400</v>
      </c>
      <c r="C1480" t="str">
        <f t="shared" si="27"/>
        <v>RussiaRussia K</v>
      </c>
      <c r="D1480" s="1">
        <v>52000000</v>
      </c>
      <c r="E1480" t="s">
        <v>142</v>
      </c>
      <c r="F1480" t="s">
        <v>1401</v>
      </c>
    </row>
    <row r="1481" spans="1:6" hidden="1" x14ac:dyDescent="0.25">
      <c r="A1481" s="58" t="s">
        <v>104</v>
      </c>
      <c r="B1481" s="3" t="s">
        <v>304</v>
      </c>
      <c r="C1481" t="str">
        <f t="shared" si="27"/>
        <v>RussiaSport 1</v>
      </c>
      <c r="D1481" s="1">
        <v>27627000</v>
      </c>
      <c r="E1481" t="s">
        <v>149</v>
      </c>
      <c r="F1481" s="1" t="s">
        <v>1402</v>
      </c>
    </row>
    <row r="1482" spans="1:6" hidden="1" x14ac:dyDescent="0.25">
      <c r="A1482" s="227" t="s">
        <v>104</v>
      </c>
      <c r="B1482" s="151" t="s">
        <v>652</v>
      </c>
      <c r="C1482" s="150" t="str">
        <f t="shared" si="27"/>
        <v>RussiaV Sport Golf</v>
      </c>
      <c r="D1482" s="1">
        <v>20683000</v>
      </c>
      <c r="E1482" t="s">
        <v>149</v>
      </c>
      <c r="F1482" s="150"/>
    </row>
    <row r="1483" spans="1:6" hidden="1" x14ac:dyDescent="0.25">
      <c r="A1483" s="58" t="s">
        <v>104</v>
      </c>
      <c r="B1483" s="3" t="s">
        <v>653</v>
      </c>
      <c r="C1483" t="str">
        <f t="shared" si="27"/>
        <v>RussiaViaplay</v>
      </c>
      <c r="D1483" s="1">
        <v>20683000</v>
      </c>
      <c r="E1483" t="s">
        <v>149</v>
      </c>
    </row>
    <row r="1484" spans="1:6" hidden="1" x14ac:dyDescent="0.25">
      <c r="A1484" s="58" t="s">
        <v>104</v>
      </c>
      <c r="B1484" s="3" t="s">
        <v>654</v>
      </c>
      <c r="C1484" t="str">
        <f t="shared" si="27"/>
        <v>RussiaViasat Golf</v>
      </c>
      <c r="D1484" s="1">
        <v>20683000</v>
      </c>
      <c r="E1484" t="s">
        <v>149</v>
      </c>
      <c r="F1484" t="s">
        <v>1403</v>
      </c>
    </row>
    <row r="1485" spans="1:6" hidden="1" x14ac:dyDescent="0.25">
      <c r="A1485" s="58" t="s">
        <v>104</v>
      </c>
      <c r="B1485" s="183" t="s">
        <v>657</v>
      </c>
      <c r="C1485" t="str">
        <f t="shared" si="27"/>
        <v>RussiaViasat Sport</v>
      </c>
      <c r="D1485" s="1">
        <v>20683000</v>
      </c>
      <c r="E1485" t="s">
        <v>149</v>
      </c>
      <c r="F1485" t="s">
        <v>1403</v>
      </c>
    </row>
    <row r="1486" spans="1:6" hidden="1" x14ac:dyDescent="0.25">
      <c r="A1486" s="103" t="s">
        <v>104</v>
      </c>
      <c r="B1486" s="188" t="s">
        <v>1404</v>
      </c>
      <c r="C1486" t="str">
        <f t="shared" si="27"/>
        <v>RussiaViasat Sport HD</v>
      </c>
      <c r="D1486" s="1">
        <v>20683000</v>
      </c>
      <c r="E1486" t="s">
        <v>149</v>
      </c>
      <c r="F1486" t="s">
        <v>1403</v>
      </c>
    </row>
    <row r="1487" spans="1:6" hidden="1" x14ac:dyDescent="0.25">
      <c r="A1487" s="13" t="s">
        <v>1405</v>
      </c>
      <c r="B1487" t="s">
        <v>672</v>
      </c>
      <c r="C1487" t="str">
        <f t="shared" si="27"/>
        <v>SamoaFiji TV</v>
      </c>
      <c r="D1487" s="1">
        <v>7900</v>
      </c>
      <c r="E1487" t="s">
        <v>142</v>
      </c>
      <c r="F1487" t="s">
        <v>986</v>
      </c>
    </row>
    <row r="1488" spans="1:6" hidden="1" x14ac:dyDescent="0.25">
      <c r="A1488" s="13" t="s">
        <v>132</v>
      </c>
      <c r="B1488" t="s">
        <v>1406</v>
      </c>
      <c r="C1488" t="str">
        <f t="shared" si="27"/>
        <v>Saudi ArabiaKSA Sports 1</v>
      </c>
      <c r="D1488" s="1">
        <v>5048625</v>
      </c>
      <c r="E1488" t="s">
        <v>142</v>
      </c>
    </row>
    <row r="1489" spans="1:6" hidden="1" x14ac:dyDescent="0.25">
      <c r="A1489" s="209" t="s">
        <v>132</v>
      </c>
      <c r="B1489" s="155" t="s">
        <v>1407</v>
      </c>
      <c r="C1489" s="155" t="str">
        <f t="shared" si="27"/>
        <v>Saudi ArabiaSaudi Sports TV</v>
      </c>
      <c r="D1489" s="1">
        <v>5048625</v>
      </c>
      <c r="E1489" t="s">
        <v>142</v>
      </c>
      <c r="F1489" s="155"/>
    </row>
    <row r="1490" spans="1:6" hidden="1" x14ac:dyDescent="0.25">
      <c r="A1490" s="205" t="s">
        <v>105</v>
      </c>
      <c r="B1490" s="11" t="s">
        <v>268</v>
      </c>
      <c r="C1490" s="11" t="str">
        <f t="shared" si="27"/>
        <v>SerbiaEurosport 1</v>
      </c>
      <c r="D1490" s="1">
        <v>1142000</v>
      </c>
      <c r="E1490" t="s">
        <v>149</v>
      </c>
      <c r="F1490" s="11"/>
    </row>
    <row r="1491" spans="1:6" hidden="1" x14ac:dyDescent="0.25">
      <c r="A1491" s="13" t="s">
        <v>105</v>
      </c>
      <c r="B1491" t="s">
        <v>269</v>
      </c>
      <c r="C1491" t="str">
        <f t="shared" si="27"/>
        <v>SerbiaEurosport 2</v>
      </c>
      <c r="D1491" s="1">
        <v>1074000</v>
      </c>
      <c r="E1491" t="s">
        <v>149</v>
      </c>
    </row>
    <row r="1492" spans="1:6" ht="14.45" hidden="1" customHeight="1" x14ac:dyDescent="0.25">
      <c r="A1492" s="13" t="s">
        <v>105</v>
      </c>
      <c r="B1492" t="s">
        <v>141</v>
      </c>
      <c r="C1492" t="str">
        <f t="shared" si="27"/>
        <v>SerbiaRTS 1</v>
      </c>
      <c r="D1492" s="1">
        <v>2464541</v>
      </c>
      <c r="E1492" t="s">
        <v>142</v>
      </c>
      <c r="F1492" t="s">
        <v>1347</v>
      </c>
    </row>
    <row r="1493" spans="1:6" ht="14.45" hidden="1" customHeight="1" x14ac:dyDescent="0.25">
      <c r="A1493" s="13" t="s">
        <v>105</v>
      </c>
      <c r="B1493" t="s">
        <v>143</v>
      </c>
      <c r="C1493" t="str">
        <f t="shared" si="27"/>
        <v>SerbiaRTS 2</v>
      </c>
      <c r="D1493" s="1">
        <v>2464541</v>
      </c>
      <c r="E1493" t="s">
        <v>142</v>
      </c>
      <c r="F1493" t="s">
        <v>1347</v>
      </c>
    </row>
    <row r="1494" spans="1:6" hidden="1" x14ac:dyDescent="0.25">
      <c r="A1494" s="211" t="s">
        <v>105</v>
      </c>
      <c r="B1494" s="166" t="s">
        <v>1408</v>
      </c>
      <c r="C1494" s="162" t="str">
        <f t="shared" si="27"/>
        <v>SerbiaRTS 3</v>
      </c>
      <c r="D1494" s="1">
        <v>2464541</v>
      </c>
      <c r="E1494" t="s">
        <v>142</v>
      </c>
      <c r="F1494" s="162"/>
    </row>
    <row r="1495" spans="1:6" hidden="1" x14ac:dyDescent="0.25">
      <c r="A1495" s="33" t="s">
        <v>105</v>
      </c>
      <c r="B1495" s="35" t="s">
        <v>1409</v>
      </c>
      <c r="C1495" t="str">
        <f t="shared" si="27"/>
        <v>SerbiaRTS2</v>
      </c>
      <c r="D1495" s="1">
        <v>2464541</v>
      </c>
      <c r="E1495" s="57" t="s">
        <v>142</v>
      </c>
      <c r="F1495" t="s">
        <v>1347</v>
      </c>
    </row>
    <row r="1496" spans="1:6" hidden="1" x14ac:dyDescent="0.25">
      <c r="A1496" s="13" t="s">
        <v>105</v>
      </c>
      <c r="B1496" t="s">
        <v>396</v>
      </c>
      <c r="C1496" t="str">
        <f t="shared" si="27"/>
        <v>SerbiaSport Klub 1</v>
      </c>
      <c r="D1496" s="1">
        <v>700000</v>
      </c>
      <c r="E1496" t="s">
        <v>149</v>
      </c>
      <c r="F1496" t="s">
        <v>393</v>
      </c>
    </row>
    <row r="1497" spans="1:6" hidden="1" x14ac:dyDescent="0.25">
      <c r="A1497" s="202" t="s">
        <v>105</v>
      </c>
      <c r="B1497" s="175" t="s">
        <v>397</v>
      </c>
      <c r="C1497" s="175" t="str">
        <f t="shared" si="27"/>
        <v>SerbiaSport Klub 10</v>
      </c>
      <c r="D1497" s="1">
        <v>700000</v>
      </c>
      <c r="E1497" t="s">
        <v>149</v>
      </c>
      <c r="F1497" s="175"/>
    </row>
    <row r="1498" spans="1:6" hidden="1" x14ac:dyDescent="0.25">
      <c r="A1498" s="13" t="s">
        <v>105</v>
      </c>
      <c r="B1498" t="s">
        <v>398</v>
      </c>
      <c r="C1498" t="str">
        <f t="shared" si="27"/>
        <v>SerbiaSport Klub 2</v>
      </c>
      <c r="D1498" s="1">
        <v>700000</v>
      </c>
      <c r="E1498" t="s">
        <v>149</v>
      </c>
      <c r="F1498" t="s">
        <v>393</v>
      </c>
    </row>
    <row r="1499" spans="1:6" hidden="1" x14ac:dyDescent="0.25">
      <c r="A1499" s="13" t="s">
        <v>105</v>
      </c>
      <c r="B1499" t="s">
        <v>399</v>
      </c>
      <c r="C1499" t="str">
        <f t="shared" si="27"/>
        <v>SerbiaSport Klub 3</v>
      </c>
      <c r="D1499" s="1">
        <v>700000</v>
      </c>
      <c r="E1499" t="s">
        <v>149</v>
      </c>
      <c r="F1499" t="s">
        <v>393</v>
      </c>
    </row>
    <row r="1500" spans="1:6" hidden="1" x14ac:dyDescent="0.25">
      <c r="A1500" s="13" t="s">
        <v>105</v>
      </c>
      <c r="B1500" t="s">
        <v>400</v>
      </c>
      <c r="C1500" t="str">
        <f t="shared" si="27"/>
        <v>SerbiaSport Klub 4</v>
      </c>
      <c r="D1500" s="1">
        <v>700000</v>
      </c>
      <c r="E1500" t="s">
        <v>149</v>
      </c>
      <c r="F1500" t="s">
        <v>393</v>
      </c>
    </row>
    <row r="1501" spans="1:6" hidden="1" x14ac:dyDescent="0.25">
      <c r="A1501" s="13" t="s">
        <v>105</v>
      </c>
      <c r="B1501" t="s">
        <v>401</v>
      </c>
      <c r="C1501" t="str">
        <f t="shared" si="27"/>
        <v>SerbiaSport Klub 5</v>
      </c>
      <c r="D1501" s="1">
        <v>700000</v>
      </c>
      <c r="E1501" t="s">
        <v>149</v>
      </c>
      <c r="F1501" t="s">
        <v>393</v>
      </c>
    </row>
    <row r="1502" spans="1:6" hidden="1" x14ac:dyDescent="0.25">
      <c r="A1502" s="13" t="s">
        <v>105</v>
      </c>
      <c r="B1502" t="s">
        <v>402</v>
      </c>
      <c r="C1502" t="str">
        <f t="shared" si="27"/>
        <v>SerbiaSport Klub 6</v>
      </c>
      <c r="D1502" s="1">
        <v>700000</v>
      </c>
      <c r="E1502" t="s">
        <v>149</v>
      </c>
    </row>
    <row r="1503" spans="1:6" hidden="1" x14ac:dyDescent="0.25">
      <c r="A1503" s="209" t="s">
        <v>105</v>
      </c>
      <c r="B1503" s="155" t="s">
        <v>403</v>
      </c>
      <c r="C1503" s="155" t="str">
        <f t="shared" si="27"/>
        <v>SerbiaSport Klub 7</v>
      </c>
      <c r="D1503" s="1">
        <v>700000</v>
      </c>
      <c r="E1503" t="s">
        <v>149</v>
      </c>
      <c r="F1503" s="155"/>
    </row>
    <row r="1504" spans="1:6" hidden="1" x14ac:dyDescent="0.25">
      <c r="A1504" s="209" t="s">
        <v>105</v>
      </c>
      <c r="B1504" s="155" t="s">
        <v>404</v>
      </c>
      <c r="C1504" s="155" t="str">
        <f t="shared" si="27"/>
        <v>SerbiaSport Klub 8</v>
      </c>
      <c r="D1504" s="1">
        <v>700000</v>
      </c>
      <c r="E1504" t="s">
        <v>149</v>
      </c>
      <c r="F1504" s="155"/>
    </row>
    <row r="1505" spans="1:6" hidden="1" x14ac:dyDescent="0.25">
      <c r="A1505" s="209" t="s">
        <v>105</v>
      </c>
      <c r="B1505" s="155" t="s">
        <v>405</v>
      </c>
      <c r="C1505" s="155" t="str">
        <f t="shared" si="27"/>
        <v>SerbiaSport Klub 9</v>
      </c>
      <c r="D1505" s="1">
        <v>700000</v>
      </c>
      <c r="E1505" t="s">
        <v>149</v>
      </c>
      <c r="F1505" s="155"/>
    </row>
    <row r="1506" spans="1:6" hidden="1" x14ac:dyDescent="0.25">
      <c r="A1506" s="13" t="s">
        <v>105</v>
      </c>
      <c r="B1506" t="s">
        <v>406</v>
      </c>
      <c r="C1506" t="str">
        <f t="shared" ref="C1506:C1569" si="28">CONCATENATE(A1506,B1506)</f>
        <v>SerbiaSport Klub Golf</v>
      </c>
      <c r="D1506" s="1">
        <v>700000</v>
      </c>
      <c r="E1506" t="s">
        <v>149</v>
      </c>
      <c r="F1506" t="s">
        <v>393</v>
      </c>
    </row>
    <row r="1507" spans="1:6" hidden="1" x14ac:dyDescent="0.25">
      <c r="A1507" s="13" t="s">
        <v>105</v>
      </c>
      <c r="B1507" t="s">
        <v>407</v>
      </c>
      <c r="C1507" t="str">
        <f t="shared" si="28"/>
        <v>SerbiaSport Klub HD</v>
      </c>
      <c r="D1507" s="1">
        <v>700000</v>
      </c>
      <c r="E1507" t="s">
        <v>149</v>
      </c>
      <c r="F1507" t="s">
        <v>393</v>
      </c>
    </row>
    <row r="1508" spans="1:6" hidden="1" x14ac:dyDescent="0.25">
      <c r="A1508" s="13" t="s">
        <v>105</v>
      </c>
      <c r="B1508" t="s">
        <v>1410</v>
      </c>
      <c r="C1508" t="str">
        <f t="shared" si="28"/>
        <v>SerbiaSportKlub Golf</v>
      </c>
      <c r="D1508" s="1">
        <v>700000</v>
      </c>
      <c r="E1508" t="s">
        <v>149</v>
      </c>
    </row>
    <row r="1509" spans="1:6" hidden="1" x14ac:dyDescent="0.25">
      <c r="A1509" s="13" t="s">
        <v>105</v>
      </c>
      <c r="B1509" t="s">
        <v>1411</v>
      </c>
      <c r="C1509" t="str">
        <f t="shared" si="28"/>
        <v>SerbiaSports Klub 1</v>
      </c>
      <c r="D1509" s="1">
        <v>700000</v>
      </c>
      <c r="E1509" t="s">
        <v>149</v>
      </c>
    </row>
    <row r="1510" spans="1:6" hidden="1" x14ac:dyDescent="0.25">
      <c r="A1510" s="13" t="s">
        <v>105</v>
      </c>
      <c r="B1510" t="s">
        <v>1412</v>
      </c>
      <c r="C1510" t="str">
        <f t="shared" si="28"/>
        <v>SerbiaSports Klub 2</v>
      </c>
      <c r="D1510" s="1">
        <v>700000</v>
      </c>
      <c r="E1510" t="s">
        <v>149</v>
      </c>
    </row>
    <row r="1511" spans="1:6" hidden="1" x14ac:dyDescent="0.25">
      <c r="A1511" s="13" t="s">
        <v>1413</v>
      </c>
      <c r="B1511" t="s">
        <v>1414</v>
      </c>
      <c r="C1511" t="str">
        <f t="shared" si="28"/>
        <v>SeychellesSBC</v>
      </c>
      <c r="D1511" s="1">
        <v>6520</v>
      </c>
      <c r="E1511" t="s">
        <v>142</v>
      </c>
      <c r="F1511" t="s">
        <v>1033</v>
      </c>
    </row>
    <row r="1512" spans="1:6" hidden="1" x14ac:dyDescent="0.25">
      <c r="A1512" s="13" t="s">
        <v>106</v>
      </c>
      <c r="B1512" t="s">
        <v>793</v>
      </c>
      <c r="C1512" t="str">
        <f t="shared" si="28"/>
        <v>SingaporeFOX SPORTS</v>
      </c>
      <c r="D1512" s="1">
        <v>964000</v>
      </c>
      <c r="E1512" t="s">
        <v>149</v>
      </c>
      <c r="F1512" t="s">
        <v>1415</v>
      </c>
    </row>
    <row r="1513" spans="1:6" hidden="1" x14ac:dyDescent="0.25">
      <c r="A1513" s="13" t="s">
        <v>106</v>
      </c>
      <c r="B1513" t="s">
        <v>468</v>
      </c>
      <c r="C1513" t="str">
        <f t="shared" si="28"/>
        <v>SingaporeFox Sports 1</v>
      </c>
      <c r="D1513">
        <v>964000</v>
      </c>
      <c r="E1513" t="s">
        <v>149</v>
      </c>
    </row>
    <row r="1514" spans="1:6" hidden="1" x14ac:dyDescent="0.25">
      <c r="A1514" s="58" t="s">
        <v>106</v>
      </c>
      <c r="B1514" s="3" t="s">
        <v>195</v>
      </c>
      <c r="C1514" t="str">
        <f t="shared" si="28"/>
        <v>SingaporeFox Sports 2</v>
      </c>
      <c r="D1514" s="1">
        <v>964000</v>
      </c>
      <c r="E1514" t="s">
        <v>149</v>
      </c>
      <c r="F1514" t="s">
        <v>1415</v>
      </c>
    </row>
    <row r="1515" spans="1:6" ht="14.45" hidden="1" customHeight="1" x14ac:dyDescent="0.25">
      <c r="A1515" s="58" t="s">
        <v>106</v>
      </c>
      <c r="B1515" s="3" t="s">
        <v>197</v>
      </c>
      <c r="C1515" t="str">
        <f t="shared" si="28"/>
        <v>SingaporeFox Sports 3</v>
      </c>
      <c r="D1515">
        <v>964000</v>
      </c>
      <c r="E1515" t="s">
        <v>149</v>
      </c>
      <c r="F1515" t="s">
        <v>1415</v>
      </c>
    </row>
    <row r="1516" spans="1:6" hidden="1" x14ac:dyDescent="0.25">
      <c r="A1516" s="58" t="s">
        <v>106</v>
      </c>
      <c r="B1516" s="3" t="s">
        <v>199</v>
      </c>
      <c r="C1516" t="str">
        <f t="shared" si="28"/>
        <v>SingaporeFox Sports HD</v>
      </c>
      <c r="D1516" s="1">
        <v>964000</v>
      </c>
      <c r="E1516" t="s">
        <v>149</v>
      </c>
      <c r="F1516" t="s">
        <v>1415</v>
      </c>
    </row>
    <row r="1517" spans="1:6" hidden="1" x14ac:dyDescent="0.25">
      <c r="A1517" s="3" t="s">
        <v>106</v>
      </c>
      <c r="B1517" s="3" t="s">
        <v>1416</v>
      </c>
      <c r="C1517" t="str">
        <f t="shared" si="28"/>
        <v>SingaporeHub Sports 1</v>
      </c>
      <c r="D1517" s="1">
        <v>535000</v>
      </c>
      <c r="E1517" t="s">
        <v>149</v>
      </c>
    </row>
    <row r="1518" spans="1:6" ht="14.45" hidden="1" customHeight="1" x14ac:dyDescent="0.25">
      <c r="A1518" s="3" t="s">
        <v>106</v>
      </c>
      <c r="B1518" s="3" t="s">
        <v>1417</v>
      </c>
      <c r="C1518" t="str">
        <f t="shared" si="28"/>
        <v>SingaporeHub Sports 3</v>
      </c>
      <c r="D1518" s="1">
        <v>535000</v>
      </c>
      <c r="E1518" t="s">
        <v>149</v>
      </c>
    </row>
    <row r="1519" spans="1:6" hidden="1" x14ac:dyDescent="0.25">
      <c r="A1519" s="3" t="s">
        <v>106</v>
      </c>
      <c r="B1519" s="3" t="s">
        <v>1418</v>
      </c>
      <c r="C1519" t="str">
        <f t="shared" si="28"/>
        <v>SingaporeHub Sports 4</v>
      </c>
      <c r="D1519" s="1">
        <v>535000</v>
      </c>
      <c r="E1519" t="s">
        <v>149</v>
      </c>
    </row>
    <row r="1520" spans="1:6" ht="14.45" hidden="1" customHeight="1" x14ac:dyDescent="0.25">
      <c r="A1520" s="58" t="s">
        <v>106</v>
      </c>
      <c r="B1520" s="134" t="s">
        <v>1419</v>
      </c>
      <c r="C1520" t="str">
        <f t="shared" si="28"/>
        <v>SingaporeStarhub</v>
      </c>
      <c r="D1520" s="1">
        <v>535000</v>
      </c>
      <c r="E1520" t="s">
        <v>149</v>
      </c>
    </row>
    <row r="1521" spans="1:9" hidden="1" x14ac:dyDescent="0.25">
      <c r="A1521" s="103" t="s">
        <v>106</v>
      </c>
      <c r="B1521" s="104" t="s">
        <v>152</v>
      </c>
      <c r="C1521" t="str">
        <f t="shared" si="28"/>
        <v>SingaporeSuperSport 3</v>
      </c>
      <c r="D1521" s="1">
        <v>535000</v>
      </c>
      <c r="E1521" t="s">
        <v>149</v>
      </c>
    </row>
    <row r="1522" spans="1:9" ht="14.45" hidden="1" customHeight="1" x14ac:dyDescent="0.25">
      <c r="A1522" s="58" t="s">
        <v>106</v>
      </c>
      <c r="B1522" s="3" t="s">
        <v>1420</v>
      </c>
      <c r="C1522" t="str">
        <f t="shared" si="28"/>
        <v>SingaporeSuperSports</v>
      </c>
      <c r="D1522" s="1">
        <v>535000</v>
      </c>
      <c r="E1522" t="s">
        <v>149</v>
      </c>
    </row>
    <row r="1523" spans="1:9" hidden="1" x14ac:dyDescent="0.25">
      <c r="A1523" s="58" t="s">
        <v>106</v>
      </c>
      <c r="B1523" s="3" t="s">
        <v>1421</v>
      </c>
      <c r="C1523" t="str">
        <f t="shared" si="28"/>
        <v>SingaporeSuperSports Arena</v>
      </c>
      <c r="D1523" s="1">
        <v>535000</v>
      </c>
      <c r="E1523" t="s">
        <v>149</v>
      </c>
    </row>
    <row r="1524" spans="1:9" ht="14.45" hidden="1" customHeight="1" x14ac:dyDescent="0.25">
      <c r="A1524" s="228" t="s">
        <v>107</v>
      </c>
      <c r="B1524" s="164" t="s">
        <v>1422</v>
      </c>
      <c r="C1524" s="162" t="str">
        <f t="shared" si="28"/>
        <v>SlovakiaDajto</v>
      </c>
      <c r="D1524" s="1">
        <v>1589406</v>
      </c>
      <c r="E1524" t="s">
        <v>142</v>
      </c>
      <c r="F1524" s="162"/>
    </row>
    <row r="1525" spans="1:9" ht="14.45" hidden="1" customHeight="1" x14ac:dyDescent="0.25">
      <c r="A1525" s="146" t="s">
        <v>107</v>
      </c>
      <c r="B1525" s="136" t="s">
        <v>612</v>
      </c>
      <c r="C1525" t="str">
        <f t="shared" si="28"/>
        <v xml:space="preserve">SlovakiaDigi Sport </v>
      </c>
      <c r="D1525" s="1">
        <v>63000</v>
      </c>
      <c r="E1525" t="s">
        <v>149</v>
      </c>
      <c r="F1525" t="s">
        <v>1423</v>
      </c>
    </row>
    <row r="1526" spans="1:9" hidden="1" x14ac:dyDescent="0.25">
      <c r="A1526" s="58" t="s">
        <v>107</v>
      </c>
      <c r="B1526" s="3" t="s">
        <v>614</v>
      </c>
      <c r="C1526" t="str">
        <f t="shared" si="28"/>
        <v>SlovakiaDigi Sport 2</v>
      </c>
      <c r="D1526" s="1">
        <v>63000</v>
      </c>
      <c r="E1526" t="s">
        <v>149</v>
      </c>
      <c r="F1526" t="s">
        <v>1423</v>
      </c>
    </row>
    <row r="1527" spans="1:9" ht="14.45" hidden="1" customHeight="1" x14ac:dyDescent="0.25">
      <c r="A1527" s="146" t="s">
        <v>107</v>
      </c>
      <c r="B1527" s="136" t="s">
        <v>615</v>
      </c>
      <c r="C1527" t="str">
        <f t="shared" si="28"/>
        <v>SlovakiaDigi Sport 3</v>
      </c>
      <c r="D1527" s="1">
        <v>63000</v>
      </c>
      <c r="E1527" t="s">
        <v>149</v>
      </c>
      <c r="F1527" t="s">
        <v>1423</v>
      </c>
    </row>
    <row r="1528" spans="1:9" hidden="1" x14ac:dyDescent="0.25">
      <c r="A1528" s="3" t="s">
        <v>107</v>
      </c>
      <c r="B1528" s="3" t="s">
        <v>616</v>
      </c>
      <c r="C1528" t="str">
        <f t="shared" si="28"/>
        <v>SlovakiaDigiSport 2</v>
      </c>
      <c r="D1528" s="1">
        <v>63000</v>
      </c>
      <c r="E1528" t="s">
        <v>149</v>
      </c>
      <c r="F1528" t="s">
        <v>1423</v>
      </c>
    </row>
    <row r="1529" spans="1:9" hidden="1" x14ac:dyDescent="0.25">
      <c r="A1529" s="3" t="s">
        <v>107</v>
      </c>
      <c r="B1529" s="3" t="s">
        <v>617</v>
      </c>
      <c r="C1529" t="str">
        <f t="shared" si="28"/>
        <v>SlovakiaDigiSport 3</v>
      </c>
      <c r="D1529" s="1">
        <v>63000</v>
      </c>
      <c r="E1529" t="s">
        <v>149</v>
      </c>
      <c r="F1529" t="s">
        <v>1423</v>
      </c>
    </row>
    <row r="1530" spans="1:9" ht="15.95" hidden="1" customHeight="1" x14ac:dyDescent="0.25">
      <c r="A1530" s="3" t="s">
        <v>107</v>
      </c>
      <c r="B1530" s="3" t="s">
        <v>1367</v>
      </c>
      <c r="C1530" t="str">
        <f t="shared" si="28"/>
        <v>SlovakiaDigiSport 4</v>
      </c>
      <c r="D1530" s="1">
        <v>63000</v>
      </c>
      <c r="E1530" t="s">
        <v>149</v>
      </c>
      <c r="F1530" t="s">
        <v>1423</v>
      </c>
    </row>
    <row r="1531" spans="1:9" hidden="1" x14ac:dyDescent="0.25">
      <c r="A1531" s="220" t="s">
        <v>107</v>
      </c>
      <c r="B1531" s="145" t="s">
        <v>268</v>
      </c>
      <c r="C1531" s="11" t="str">
        <f t="shared" si="28"/>
        <v>SlovakiaEurosport 1</v>
      </c>
      <c r="D1531" s="1">
        <v>1100000</v>
      </c>
      <c r="E1531" t="s">
        <v>149</v>
      </c>
      <c r="F1531" s="11"/>
    </row>
    <row r="1532" spans="1:9" ht="15.95" hidden="1" customHeight="1" x14ac:dyDescent="0.25">
      <c r="A1532" s="58" t="s">
        <v>107</v>
      </c>
      <c r="B1532" s="3" t="s">
        <v>269</v>
      </c>
      <c r="C1532" t="str">
        <f t="shared" si="28"/>
        <v>SlovakiaEurosport 2</v>
      </c>
      <c r="D1532" s="1">
        <v>740000</v>
      </c>
      <c r="E1532" t="s">
        <v>149</v>
      </c>
      <c r="H1532">
        <f>I1532*0.888</f>
        <v>17741518.944000002</v>
      </c>
      <c r="I1532">
        <v>19979188</v>
      </c>
    </row>
    <row r="1533" spans="1:9" hidden="1" x14ac:dyDescent="0.25">
      <c r="A1533" s="58" t="s">
        <v>107</v>
      </c>
      <c r="B1533" s="153" t="s">
        <v>477</v>
      </c>
      <c r="C1533" t="str">
        <f t="shared" si="28"/>
        <v>SlovakiaGolf Channel</v>
      </c>
      <c r="D1533" s="1">
        <v>180000</v>
      </c>
      <c r="E1533" t="s">
        <v>149</v>
      </c>
      <c r="F1533" t="s">
        <v>1423</v>
      </c>
      <c r="H1533">
        <f>I1532*0.7</f>
        <v>13985431.6</v>
      </c>
    </row>
    <row r="1534" spans="1:9" ht="14.45" hidden="1" customHeight="1" x14ac:dyDescent="0.25">
      <c r="A1534" s="3" t="s">
        <v>107</v>
      </c>
      <c r="B1534" s="3" t="s">
        <v>619</v>
      </c>
      <c r="C1534" t="str">
        <f t="shared" si="28"/>
        <v>SlovakiaNova Action</v>
      </c>
      <c r="D1534" s="1">
        <v>614000</v>
      </c>
      <c r="E1534" t="s">
        <v>149</v>
      </c>
      <c r="F1534" t="s">
        <v>1423</v>
      </c>
    </row>
    <row r="1535" spans="1:9" hidden="1" x14ac:dyDescent="0.25">
      <c r="A1535" s="58" t="s">
        <v>107</v>
      </c>
      <c r="B1535" s="3" t="s">
        <v>620</v>
      </c>
      <c r="C1535" t="str">
        <f t="shared" si="28"/>
        <v>SlovakiaNova Sport</v>
      </c>
      <c r="D1535" s="1">
        <v>614000</v>
      </c>
      <c r="E1535" t="s">
        <v>149</v>
      </c>
      <c r="F1535" t="s">
        <v>1423</v>
      </c>
    </row>
    <row r="1536" spans="1:9" hidden="1" x14ac:dyDescent="0.25">
      <c r="A1536" s="58" t="s">
        <v>107</v>
      </c>
      <c r="B1536" s="3" t="s">
        <v>593</v>
      </c>
      <c r="C1536" t="str">
        <f t="shared" si="28"/>
        <v>SlovakiaNova Sport 1</v>
      </c>
      <c r="D1536" s="1">
        <v>614000</v>
      </c>
      <c r="E1536" t="s">
        <v>149</v>
      </c>
      <c r="F1536" t="s">
        <v>1423</v>
      </c>
    </row>
    <row r="1537" spans="1:6" hidden="1" x14ac:dyDescent="0.25">
      <c r="A1537" s="222" t="s">
        <v>107</v>
      </c>
      <c r="B1537" s="177" t="s">
        <v>595</v>
      </c>
      <c r="C1537" s="175" t="str">
        <f t="shared" si="28"/>
        <v>SlovakiaNova Sport 2</v>
      </c>
      <c r="D1537" s="176">
        <v>614000</v>
      </c>
      <c r="E1537" s="175" t="s">
        <v>149</v>
      </c>
      <c r="F1537" s="175"/>
    </row>
    <row r="1538" spans="1:6" hidden="1" x14ac:dyDescent="0.25">
      <c r="A1538" s="58" t="s">
        <v>107</v>
      </c>
      <c r="B1538" s="3" t="s">
        <v>777</v>
      </c>
      <c r="C1538" t="str">
        <f t="shared" si="28"/>
        <v>SlovakiaNova Sports 2</v>
      </c>
      <c r="D1538" s="1">
        <v>614000</v>
      </c>
      <c r="E1538" t="s">
        <v>149</v>
      </c>
      <c r="F1538" t="s">
        <v>1423</v>
      </c>
    </row>
    <row r="1539" spans="1:6" hidden="1" x14ac:dyDescent="0.25">
      <c r="A1539" s="58" t="s">
        <v>107</v>
      </c>
      <c r="B1539" s="3" t="s">
        <v>1424</v>
      </c>
      <c r="C1539" t="str">
        <f t="shared" si="28"/>
        <v>SlovakiaRTVS</v>
      </c>
      <c r="D1539" s="1">
        <v>2464540</v>
      </c>
      <c r="E1539" t="s">
        <v>142</v>
      </c>
      <c r="F1539" t="s">
        <v>341</v>
      </c>
    </row>
    <row r="1540" spans="1:6" hidden="1" x14ac:dyDescent="0.25">
      <c r="A1540" s="129" t="s">
        <v>107</v>
      </c>
      <c r="B1540" s="137" t="s">
        <v>1425</v>
      </c>
      <c r="C1540" t="str">
        <f t="shared" si="28"/>
        <v>SlovakiaRTVS2</v>
      </c>
      <c r="D1540" s="1">
        <v>1711000</v>
      </c>
      <c r="E1540" t="s">
        <v>142</v>
      </c>
      <c r="F1540" t="s">
        <v>341</v>
      </c>
    </row>
    <row r="1541" spans="1:6" hidden="1" x14ac:dyDescent="0.25">
      <c r="A1541" s="58" t="s">
        <v>107</v>
      </c>
      <c r="B1541" s="3" t="s">
        <v>304</v>
      </c>
      <c r="C1541" t="str">
        <f t="shared" si="28"/>
        <v>SlovakiaSport 1</v>
      </c>
      <c r="D1541" s="1">
        <v>583000</v>
      </c>
      <c r="E1541" t="s">
        <v>149</v>
      </c>
      <c r="F1541" t="s">
        <v>1423</v>
      </c>
    </row>
    <row r="1542" spans="1:6" hidden="1" x14ac:dyDescent="0.25">
      <c r="A1542" s="58" t="s">
        <v>107</v>
      </c>
      <c r="B1542" s="3" t="s">
        <v>626</v>
      </c>
      <c r="C1542" t="str">
        <f t="shared" si="28"/>
        <v>SlovakiaSport 2</v>
      </c>
      <c r="D1542" s="1">
        <v>583000</v>
      </c>
      <c r="E1542" t="s">
        <v>149</v>
      </c>
      <c r="F1542" t="s">
        <v>1423</v>
      </c>
    </row>
    <row r="1543" spans="1:6" hidden="1" x14ac:dyDescent="0.25">
      <c r="A1543" s="223" t="s">
        <v>108</v>
      </c>
      <c r="B1543" s="144" t="s">
        <v>268</v>
      </c>
      <c r="C1543" s="11" t="str">
        <f t="shared" si="28"/>
        <v>SloveniaEurosport 1</v>
      </c>
      <c r="D1543" s="1">
        <v>481000</v>
      </c>
      <c r="E1543" t="s">
        <v>149</v>
      </c>
      <c r="F1543" s="11"/>
    </row>
    <row r="1544" spans="1:6" hidden="1" x14ac:dyDescent="0.25">
      <c r="A1544" s="103" t="s">
        <v>108</v>
      </c>
      <c r="B1544" s="104" t="s">
        <v>269</v>
      </c>
      <c r="C1544" t="str">
        <f t="shared" si="28"/>
        <v>SloveniaEurosport 2</v>
      </c>
      <c r="D1544" s="1">
        <v>424000</v>
      </c>
      <c r="E1544" t="s">
        <v>149</v>
      </c>
    </row>
    <row r="1545" spans="1:6" hidden="1" x14ac:dyDescent="0.25">
      <c r="A1545" s="58" t="s">
        <v>108</v>
      </c>
      <c r="B1545" s="3" t="s">
        <v>1426</v>
      </c>
      <c r="C1545" t="str">
        <f t="shared" si="28"/>
        <v>SloveniaRTO SLO 1</v>
      </c>
      <c r="D1545" s="1">
        <v>751600</v>
      </c>
      <c r="E1545" t="s">
        <v>142</v>
      </c>
      <c r="F1545" t="s">
        <v>1427</v>
      </c>
    </row>
    <row r="1546" spans="1:6" hidden="1" x14ac:dyDescent="0.25">
      <c r="A1546" s="229" t="s">
        <v>108</v>
      </c>
      <c r="B1546" s="161" t="s">
        <v>1428</v>
      </c>
      <c r="C1546" s="162" t="str">
        <f t="shared" si="28"/>
        <v>SloveniaRTV SLO 2</v>
      </c>
      <c r="D1546" s="1">
        <v>751600</v>
      </c>
      <c r="E1546" t="s">
        <v>142</v>
      </c>
      <c r="F1546" s="162"/>
    </row>
    <row r="1547" spans="1:6" hidden="1" x14ac:dyDescent="0.25">
      <c r="A1547" s="58" t="s">
        <v>108</v>
      </c>
      <c r="B1547" s="137" t="s">
        <v>1429</v>
      </c>
      <c r="C1547" t="str">
        <f t="shared" si="28"/>
        <v>SloveniaRTV1</v>
      </c>
      <c r="D1547" s="57">
        <v>692332.55999999994</v>
      </c>
      <c r="E1547" t="s">
        <v>142</v>
      </c>
    </row>
    <row r="1548" spans="1:6" hidden="1" x14ac:dyDescent="0.25">
      <c r="A1548" s="58" t="s">
        <v>108</v>
      </c>
      <c r="B1548" s="3" t="s">
        <v>396</v>
      </c>
      <c r="C1548" t="str">
        <f t="shared" si="28"/>
        <v>SloveniaSport Klub 1</v>
      </c>
      <c r="D1548" s="1">
        <v>180000</v>
      </c>
      <c r="E1548" t="s">
        <v>149</v>
      </c>
      <c r="F1548" t="s">
        <v>393</v>
      </c>
    </row>
    <row r="1549" spans="1:6" hidden="1" x14ac:dyDescent="0.25">
      <c r="A1549" s="222" t="s">
        <v>108</v>
      </c>
      <c r="B1549" s="177" t="s">
        <v>397</v>
      </c>
      <c r="C1549" s="175" t="str">
        <f t="shared" si="28"/>
        <v>SloveniaSport Klub 10</v>
      </c>
      <c r="D1549" s="156">
        <v>180000</v>
      </c>
      <c r="E1549" s="155" t="s">
        <v>149</v>
      </c>
      <c r="F1549" s="175"/>
    </row>
    <row r="1550" spans="1:6" hidden="1" x14ac:dyDescent="0.25">
      <c r="A1550" s="58" t="s">
        <v>108</v>
      </c>
      <c r="B1550" s="3" t="s">
        <v>398</v>
      </c>
      <c r="C1550" t="str">
        <f t="shared" si="28"/>
        <v>SloveniaSport Klub 2</v>
      </c>
      <c r="D1550" s="1">
        <v>180000</v>
      </c>
      <c r="E1550" t="s">
        <v>149</v>
      </c>
      <c r="F1550" t="s">
        <v>393</v>
      </c>
    </row>
    <row r="1551" spans="1:6" hidden="1" x14ac:dyDescent="0.25">
      <c r="A1551" s="58" t="s">
        <v>108</v>
      </c>
      <c r="B1551" s="3" t="s">
        <v>399</v>
      </c>
      <c r="C1551" t="str">
        <f t="shared" si="28"/>
        <v>SloveniaSport Klub 3</v>
      </c>
      <c r="D1551" s="1">
        <v>180000</v>
      </c>
      <c r="E1551" t="s">
        <v>149</v>
      </c>
      <c r="F1551" t="s">
        <v>393</v>
      </c>
    </row>
    <row r="1552" spans="1:6" hidden="1" x14ac:dyDescent="0.25">
      <c r="A1552" s="58" t="s">
        <v>108</v>
      </c>
      <c r="B1552" s="3" t="s">
        <v>400</v>
      </c>
      <c r="C1552" t="str">
        <f t="shared" si="28"/>
        <v>SloveniaSport Klub 4</v>
      </c>
      <c r="D1552" s="1">
        <v>180000</v>
      </c>
      <c r="E1552" t="s">
        <v>149</v>
      </c>
      <c r="F1552" t="s">
        <v>393</v>
      </c>
    </row>
    <row r="1553" spans="1:6" hidden="1" x14ac:dyDescent="0.25">
      <c r="A1553" s="58" t="s">
        <v>108</v>
      </c>
      <c r="B1553" s="3" t="s">
        <v>401</v>
      </c>
      <c r="C1553" t="str">
        <f t="shared" si="28"/>
        <v>SloveniaSport Klub 5</v>
      </c>
      <c r="D1553" s="1">
        <v>180000</v>
      </c>
      <c r="E1553" t="s">
        <v>149</v>
      </c>
      <c r="F1553" t="s">
        <v>393</v>
      </c>
    </row>
    <row r="1554" spans="1:6" ht="14.45" hidden="1" customHeight="1" x14ac:dyDescent="0.25">
      <c r="A1554" s="58" t="s">
        <v>108</v>
      </c>
      <c r="B1554" s="3" t="s">
        <v>402</v>
      </c>
      <c r="C1554" t="str">
        <f t="shared" si="28"/>
        <v>SloveniaSport Klub 6</v>
      </c>
      <c r="D1554" s="1">
        <v>180000</v>
      </c>
      <c r="E1554" t="s">
        <v>149</v>
      </c>
    </row>
    <row r="1555" spans="1:6" ht="14.45" hidden="1" customHeight="1" x14ac:dyDescent="0.25">
      <c r="A1555" s="230" t="s">
        <v>108</v>
      </c>
      <c r="B1555" s="157" t="s">
        <v>403</v>
      </c>
      <c r="C1555" s="155" t="str">
        <f t="shared" si="28"/>
        <v>SloveniaSport Klub 7</v>
      </c>
      <c r="D1555" s="156">
        <v>180000</v>
      </c>
      <c r="E1555" s="155" t="s">
        <v>149</v>
      </c>
      <c r="F1555" s="155"/>
    </row>
    <row r="1556" spans="1:6" hidden="1" x14ac:dyDescent="0.25">
      <c r="A1556" s="230" t="s">
        <v>108</v>
      </c>
      <c r="B1556" s="157" t="s">
        <v>404</v>
      </c>
      <c r="C1556" s="155" t="str">
        <f t="shared" si="28"/>
        <v>SloveniaSport Klub 8</v>
      </c>
      <c r="D1556" s="156">
        <v>180000</v>
      </c>
      <c r="E1556" s="155" t="s">
        <v>149</v>
      </c>
      <c r="F1556" s="155"/>
    </row>
    <row r="1557" spans="1:6" hidden="1" x14ac:dyDescent="0.25">
      <c r="A1557" s="230" t="s">
        <v>108</v>
      </c>
      <c r="B1557" s="157" t="s">
        <v>405</v>
      </c>
      <c r="C1557" s="155" t="str">
        <f t="shared" si="28"/>
        <v>SloveniaSport Klub 9</v>
      </c>
      <c r="D1557" s="156">
        <v>180000</v>
      </c>
      <c r="E1557" s="155" t="s">
        <v>149</v>
      </c>
      <c r="F1557" s="155"/>
    </row>
    <row r="1558" spans="1:6" ht="14.45" hidden="1" customHeight="1" x14ac:dyDescent="0.25">
      <c r="A1558" s="58" t="s">
        <v>108</v>
      </c>
      <c r="B1558" s="3" t="s">
        <v>406</v>
      </c>
      <c r="C1558" t="str">
        <f t="shared" si="28"/>
        <v>SloveniaSport Klub Golf</v>
      </c>
      <c r="D1558" s="1">
        <v>180000</v>
      </c>
      <c r="E1558" t="s">
        <v>149</v>
      </c>
    </row>
    <row r="1559" spans="1:6" ht="14.45" hidden="1" customHeight="1" x14ac:dyDescent="0.25">
      <c r="A1559" s="58" t="s">
        <v>108</v>
      </c>
      <c r="B1559" s="3" t="s">
        <v>407</v>
      </c>
      <c r="C1559" t="str">
        <f t="shared" si="28"/>
        <v>SloveniaSport Klub HD</v>
      </c>
      <c r="D1559" s="1">
        <v>180000</v>
      </c>
      <c r="E1559" t="s">
        <v>149</v>
      </c>
      <c r="F1559" t="s">
        <v>393</v>
      </c>
    </row>
    <row r="1560" spans="1:6" hidden="1" x14ac:dyDescent="0.25">
      <c r="A1560" s="58" t="s">
        <v>108</v>
      </c>
      <c r="B1560" s="3" t="s">
        <v>1350</v>
      </c>
      <c r="C1560" t="str">
        <f t="shared" si="28"/>
        <v>SloveniaSport TV 1</v>
      </c>
      <c r="D1560" s="1">
        <v>371000</v>
      </c>
      <c r="E1560" t="s">
        <v>149</v>
      </c>
      <c r="F1560" t="s">
        <v>1430</v>
      </c>
    </row>
    <row r="1561" spans="1:6" ht="14.45" hidden="1" customHeight="1" x14ac:dyDescent="0.25">
      <c r="A1561" s="146" t="s">
        <v>108</v>
      </c>
      <c r="B1561" s="136" t="s">
        <v>1351</v>
      </c>
      <c r="C1561" t="str">
        <f t="shared" si="28"/>
        <v>SloveniaSport TV 2</v>
      </c>
      <c r="D1561" s="1">
        <v>371000</v>
      </c>
      <c r="E1561" t="s">
        <v>149</v>
      </c>
      <c r="F1561" t="s">
        <v>1430</v>
      </c>
    </row>
    <row r="1562" spans="1:6" ht="15.95" hidden="1" customHeight="1" x14ac:dyDescent="0.25">
      <c r="A1562" s="146" t="s">
        <v>108</v>
      </c>
      <c r="B1562" s="136" t="s">
        <v>1353</v>
      </c>
      <c r="C1562" t="str">
        <f t="shared" si="28"/>
        <v>SloveniaSport TV 4</v>
      </c>
      <c r="D1562" s="1">
        <v>371000</v>
      </c>
      <c r="E1562" t="s">
        <v>149</v>
      </c>
      <c r="F1562" t="s">
        <v>1430</v>
      </c>
    </row>
    <row r="1563" spans="1:6" ht="15.95" hidden="1" customHeight="1" x14ac:dyDescent="0.25">
      <c r="A1563" s="58" t="s">
        <v>108</v>
      </c>
      <c r="B1563" s="3" t="s">
        <v>1354</v>
      </c>
      <c r="C1563" t="str">
        <f t="shared" si="28"/>
        <v>SloveniaSport TV 5</v>
      </c>
      <c r="D1563" s="1">
        <v>371000</v>
      </c>
      <c r="E1563" t="s">
        <v>149</v>
      </c>
      <c r="F1563" t="s">
        <v>1430</v>
      </c>
    </row>
    <row r="1564" spans="1:6" hidden="1" x14ac:dyDescent="0.25">
      <c r="A1564" s="58" t="s">
        <v>108</v>
      </c>
      <c r="B1564" s="3" t="s">
        <v>1431</v>
      </c>
      <c r="C1564" t="str">
        <f t="shared" si="28"/>
        <v>SloveniaTV 3</v>
      </c>
      <c r="D1564">
        <v>371000</v>
      </c>
      <c r="E1564" t="s">
        <v>149</v>
      </c>
    </row>
    <row r="1565" spans="1:6" hidden="1" x14ac:dyDescent="0.25">
      <c r="A1565" s="58" t="s">
        <v>108</v>
      </c>
      <c r="B1565" s="3" t="s">
        <v>181</v>
      </c>
      <c r="C1565" t="str">
        <f t="shared" si="28"/>
        <v>SloveniaTV3</v>
      </c>
      <c r="D1565" s="1">
        <v>617000</v>
      </c>
      <c r="E1565" t="s">
        <v>142</v>
      </c>
      <c r="F1565" t="s">
        <v>1432</v>
      </c>
    </row>
    <row r="1566" spans="1:6" hidden="1" x14ac:dyDescent="0.25">
      <c r="A1566" s="58" t="s">
        <v>1433</v>
      </c>
      <c r="B1566" s="3" t="s">
        <v>672</v>
      </c>
      <c r="C1566" t="str">
        <f t="shared" si="28"/>
        <v>Solomon IslandsFiji TV</v>
      </c>
      <c r="D1566" s="1">
        <v>27670</v>
      </c>
      <c r="E1566" t="s">
        <v>142</v>
      </c>
      <c r="F1566" t="s">
        <v>986</v>
      </c>
    </row>
    <row r="1567" spans="1:6" hidden="1" x14ac:dyDescent="0.25">
      <c r="A1567" s="58" t="s">
        <v>109</v>
      </c>
      <c r="B1567" s="3" t="s">
        <v>1194</v>
      </c>
      <c r="C1567" t="str">
        <f t="shared" si="28"/>
        <v>South AfricaSSFootball</v>
      </c>
      <c r="D1567" s="1">
        <v>5200000</v>
      </c>
      <c r="E1567" t="s">
        <v>149</v>
      </c>
    </row>
    <row r="1568" spans="1:6" ht="14.45" hidden="1" customHeight="1" x14ac:dyDescent="0.25">
      <c r="A1568" s="58" t="s">
        <v>109</v>
      </c>
      <c r="B1568" s="3" t="s">
        <v>1195</v>
      </c>
      <c r="C1568" t="str">
        <f t="shared" si="28"/>
        <v>South AfricaSSGolf</v>
      </c>
      <c r="D1568" s="1">
        <v>5200000</v>
      </c>
      <c r="E1568" t="s">
        <v>149</v>
      </c>
    </row>
    <row r="1569" spans="1:6" ht="14.45" hidden="1" customHeight="1" x14ac:dyDescent="0.25">
      <c r="A1569" s="58" t="s">
        <v>109</v>
      </c>
      <c r="B1569" s="3" t="s">
        <v>1196</v>
      </c>
      <c r="C1569" t="str">
        <f t="shared" si="28"/>
        <v>South AfricaSSGrandstand</v>
      </c>
      <c r="D1569" s="1">
        <v>5200000</v>
      </c>
      <c r="E1569" t="s">
        <v>149</v>
      </c>
    </row>
    <row r="1570" spans="1:6" hidden="1" x14ac:dyDescent="0.25">
      <c r="A1570" s="226" t="s">
        <v>109</v>
      </c>
      <c r="B1570" s="185" t="s">
        <v>1197</v>
      </c>
      <c r="C1570" t="str">
        <f t="shared" ref="C1570:C1633" si="29">CONCATENATE(A1570,B1570)</f>
        <v>South AfricaSSMotorsport</v>
      </c>
      <c r="D1570" s="1">
        <v>5200000</v>
      </c>
      <c r="E1570" t="s">
        <v>149</v>
      </c>
    </row>
    <row r="1571" spans="1:6" hidden="1" x14ac:dyDescent="0.25">
      <c r="A1571" s="223" t="s">
        <v>109</v>
      </c>
      <c r="B1571" s="144" t="s">
        <v>1198</v>
      </c>
      <c r="C1571" s="11" t="str">
        <f t="shared" si="29"/>
        <v>South AfricaSSTennis</v>
      </c>
      <c r="D1571" s="1">
        <v>5200000</v>
      </c>
      <c r="E1571" t="s">
        <v>149</v>
      </c>
      <c r="F1571" s="11"/>
    </row>
    <row r="1572" spans="1:6" hidden="1" x14ac:dyDescent="0.25">
      <c r="A1572" s="220" t="s">
        <v>109</v>
      </c>
      <c r="B1572" s="145" t="s">
        <v>1199</v>
      </c>
      <c r="C1572" s="11" t="str">
        <f t="shared" si="29"/>
        <v>South AfricaSSVariety1</v>
      </c>
      <c r="D1572" s="1">
        <v>5200000</v>
      </c>
      <c r="E1572" t="s">
        <v>149</v>
      </c>
      <c r="F1572" s="11"/>
    </row>
    <row r="1573" spans="1:6" hidden="1" x14ac:dyDescent="0.25">
      <c r="A1573" s="231" t="s">
        <v>109</v>
      </c>
      <c r="B1573" s="187" t="s">
        <v>1200</v>
      </c>
      <c r="C1573" s="150" t="str">
        <f t="shared" si="29"/>
        <v>South AfricaSSVariety2</v>
      </c>
      <c r="D1573" s="1">
        <v>5200000</v>
      </c>
      <c r="E1573" t="s">
        <v>149</v>
      </c>
      <c r="F1573" s="150"/>
    </row>
    <row r="1574" spans="1:6" hidden="1" x14ac:dyDescent="0.25">
      <c r="A1574" s="220" t="s">
        <v>109</v>
      </c>
      <c r="B1574" s="145" t="s">
        <v>1201</v>
      </c>
      <c r="C1574" s="11" t="str">
        <f t="shared" si="29"/>
        <v>South AfricaSSVariety4</v>
      </c>
      <c r="D1574" s="1">
        <v>5200000</v>
      </c>
      <c r="E1574" t="s">
        <v>149</v>
      </c>
      <c r="F1574" s="11"/>
    </row>
    <row r="1575" spans="1:6" hidden="1" x14ac:dyDescent="0.25">
      <c r="A1575" s="58" t="s">
        <v>109</v>
      </c>
      <c r="B1575" s="171" t="s">
        <v>1202</v>
      </c>
      <c r="C1575" t="str">
        <f t="shared" si="29"/>
        <v>South AfricaSuper Sport Select</v>
      </c>
      <c r="D1575" s="1">
        <v>5200000</v>
      </c>
      <c r="E1575" t="s">
        <v>149</v>
      </c>
    </row>
    <row r="1576" spans="1:6" hidden="1" x14ac:dyDescent="0.25">
      <c r="A1576" s="58" t="s">
        <v>109</v>
      </c>
      <c r="B1576" s="3" t="s">
        <v>150</v>
      </c>
      <c r="C1576" t="str">
        <f t="shared" si="29"/>
        <v>South AfricaSuperSport 1</v>
      </c>
      <c r="D1576" s="1">
        <v>5200000</v>
      </c>
      <c r="E1576" t="s">
        <v>149</v>
      </c>
    </row>
    <row r="1577" spans="1:6" hidden="1" x14ac:dyDescent="0.25">
      <c r="A1577" s="3" t="s">
        <v>109</v>
      </c>
      <c r="B1577" s="3" t="s">
        <v>1203</v>
      </c>
      <c r="C1577" t="str">
        <f t="shared" si="29"/>
        <v>South AfricaSuperSport 10</v>
      </c>
      <c r="D1577" s="1">
        <v>5200000</v>
      </c>
      <c r="E1577" t="s">
        <v>149</v>
      </c>
    </row>
    <row r="1578" spans="1:6" ht="14.45" hidden="1" customHeight="1" x14ac:dyDescent="0.25">
      <c r="A1578" s="58" t="s">
        <v>109</v>
      </c>
      <c r="B1578" s="3" t="s">
        <v>1204</v>
      </c>
      <c r="C1578" t="str">
        <f t="shared" si="29"/>
        <v>South AfricaSuperSport 12</v>
      </c>
      <c r="D1578" s="1">
        <v>5200000</v>
      </c>
      <c r="E1578" t="s">
        <v>149</v>
      </c>
    </row>
    <row r="1579" spans="1:6" hidden="1" x14ac:dyDescent="0.25">
      <c r="A1579" s="58" t="s">
        <v>109</v>
      </c>
      <c r="B1579" s="3" t="s">
        <v>151</v>
      </c>
      <c r="C1579" t="str">
        <f t="shared" si="29"/>
        <v>South AfricaSuperSport 2</v>
      </c>
      <c r="D1579" s="1">
        <v>5200000</v>
      </c>
      <c r="E1579" t="s">
        <v>149</v>
      </c>
    </row>
    <row r="1580" spans="1:6" hidden="1" x14ac:dyDescent="0.25">
      <c r="A1580" s="58" t="s">
        <v>109</v>
      </c>
      <c r="B1580" s="3" t="s">
        <v>153</v>
      </c>
      <c r="C1580" t="str">
        <f t="shared" si="29"/>
        <v>South AfricaSuperSport 5</v>
      </c>
      <c r="D1580" s="1">
        <v>5200000</v>
      </c>
      <c r="E1580" t="s">
        <v>149</v>
      </c>
    </row>
    <row r="1581" spans="1:6" hidden="1" x14ac:dyDescent="0.25">
      <c r="A1581" s="58" t="s">
        <v>109</v>
      </c>
      <c r="B1581" s="3" t="s">
        <v>154</v>
      </c>
      <c r="C1581" t="str">
        <f t="shared" si="29"/>
        <v>South AfricaSuperSport 6</v>
      </c>
      <c r="D1581" s="1">
        <v>5200000</v>
      </c>
      <c r="E1581" t="s">
        <v>149</v>
      </c>
    </row>
    <row r="1582" spans="1:6" hidden="1" x14ac:dyDescent="0.25">
      <c r="A1582" s="58" t="s">
        <v>109</v>
      </c>
      <c r="B1582" s="3" t="s">
        <v>155</v>
      </c>
      <c r="C1582" t="str">
        <f t="shared" si="29"/>
        <v>South AfricaSuperSport 7</v>
      </c>
      <c r="D1582" s="1">
        <v>5200000</v>
      </c>
      <c r="E1582" t="s">
        <v>149</v>
      </c>
    </row>
    <row r="1583" spans="1:6" ht="14.45" hidden="1" customHeight="1" x14ac:dyDescent="0.25">
      <c r="A1583" s="58" t="s">
        <v>109</v>
      </c>
      <c r="B1583" s="3" t="s">
        <v>156</v>
      </c>
      <c r="C1583" t="str">
        <f t="shared" si="29"/>
        <v>South AfricaSuperSport 8</v>
      </c>
      <c r="D1583" s="1">
        <v>5200000</v>
      </c>
      <c r="E1583" t="s">
        <v>149</v>
      </c>
    </row>
    <row r="1584" spans="1:6" hidden="1" x14ac:dyDescent="0.25">
      <c r="A1584" s="222" t="s">
        <v>109</v>
      </c>
      <c r="B1584" s="177" t="s">
        <v>1205</v>
      </c>
      <c r="C1584" s="175" t="str">
        <f t="shared" si="29"/>
        <v>South AfricaSuperSport 9</v>
      </c>
      <c r="D1584" s="176">
        <v>5200000</v>
      </c>
      <c r="E1584" s="175" t="s">
        <v>149</v>
      </c>
      <c r="F1584" s="175"/>
    </row>
    <row r="1585" spans="1:6" hidden="1" x14ac:dyDescent="0.25">
      <c r="A1585" s="58" t="s">
        <v>109</v>
      </c>
      <c r="B1585" s="3" t="s">
        <v>1206</v>
      </c>
      <c r="C1585" t="str">
        <f t="shared" si="29"/>
        <v>South AfricaSuperSport Grandstand</v>
      </c>
      <c r="D1585" s="1">
        <v>5200000</v>
      </c>
      <c r="E1585" t="s">
        <v>149</v>
      </c>
    </row>
    <row r="1586" spans="1:6" ht="14.45" hidden="1" customHeight="1" x14ac:dyDescent="0.25">
      <c r="A1586" s="146" t="s">
        <v>109</v>
      </c>
      <c r="B1586" s="136" t="s">
        <v>1434</v>
      </c>
      <c r="C1586" t="str">
        <f t="shared" si="29"/>
        <v>South AfricaSuperSport Select SA</v>
      </c>
      <c r="D1586" s="1">
        <v>5200000</v>
      </c>
      <c r="E1586" t="s">
        <v>149</v>
      </c>
    </row>
    <row r="1587" spans="1:6" hidden="1" x14ac:dyDescent="0.25">
      <c r="A1587" s="58" t="s">
        <v>109</v>
      </c>
      <c r="B1587" s="3" t="s">
        <v>1207</v>
      </c>
      <c r="C1587" t="str">
        <f t="shared" si="29"/>
        <v>South AfricaSuperSport Tennis</v>
      </c>
      <c r="D1587" s="1">
        <v>5200000</v>
      </c>
      <c r="E1587" t="s">
        <v>149</v>
      </c>
    </row>
    <row r="1588" spans="1:6" hidden="1" x14ac:dyDescent="0.25">
      <c r="A1588" s="58" t="s">
        <v>109</v>
      </c>
      <c r="B1588" s="3" t="s">
        <v>1208</v>
      </c>
      <c r="C1588" t="str">
        <f t="shared" si="29"/>
        <v>South AfricaSuperSport Variety 2</v>
      </c>
      <c r="D1588" s="1">
        <v>5200000</v>
      </c>
      <c r="E1588" t="s">
        <v>149</v>
      </c>
    </row>
    <row r="1589" spans="1:6" ht="15.95" hidden="1" customHeight="1" x14ac:dyDescent="0.25">
      <c r="A1589" s="58" t="s">
        <v>109</v>
      </c>
      <c r="B1589" s="3" t="s">
        <v>1209</v>
      </c>
      <c r="C1589" t="str">
        <f t="shared" si="29"/>
        <v>South AfricaSuperSport Variety 4</v>
      </c>
      <c r="D1589" s="1">
        <v>5200000</v>
      </c>
      <c r="E1589" t="s">
        <v>149</v>
      </c>
    </row>
    <row r="1590" spans="1:6" hidden="1" x14ac:dyDescent="0.25">
      <c r="A1590" s="58" t="s">
        <v>110</v>
      </c>
      <c r="B1590" s="3" t="s">
        <v>477</v>
      </c>
      <c r="C1590" t="str">
        <f t="shared" si="29"/>
        <v>South KoreaGolf Channel</v>
      </c>
      <c r="E1590" t="s">
        <v>149</v>
      </c>
    </row>
    <row r="1591" spans="1:6" hidden="1" x14ac:dyDescent="0.25">
      <c r="A1591" s="58" t="s">
        <v>110</v>
      </c>
      <c r="B1591" s="3" t="s">
        <v>1435</v>
      </c>
      <c r="C1591" t="str">
        <f t="shared" si="29"/>
        <v>South KoreaGolf Channel Korea</v>
      </c>
      <c r="E1591" t="s">
        <v>149</v>
      </c>
    </row>
    <row r="1592" spans="1:6" ht="14.45" hidden="1" customHeight="1" x14ac:dyDescent="0.25">
      <c r="A1592" s="58" t="s">
        <v>110</v>
      </c>
      <c r="B1592" s="124" t="s">
        <v>1436</v>
      </c>
      <c r="C1592" t="str">
        <f t="shared" si="29"/>
        <v>South KoreaJTBC</v>
      </c>
      <c r="D1592" s="1">
        <v>11136000</v>
      </c>
      <c r="E1592" t="s">
        <v>149</v>
      </c>
      <c r="F1592" t="s">
        <v>1437</v>
      </c>
    </row>
    <row r="1593" spans="1:6" hidden="1" x14ac:dyDescent="0.25">
      <c r="A1593" s="58" t="s">
        <v>110</v>
      </c>
      <c r="B1593" s="3" t="s">
        <v>1438</v>
      </c>
      <c r="C1593" t="str">
        <f t="shared" si="29"/>
        <v>South KoreaJTBC Golf</v>
      </c>
      <c r="D1593" s="1">
        <v>11136000</v>
      </c>
      <c r="E1593" t="s">
        <v>149</v>
      </c>
      <c r="F1593" t="s">
        <v>1437</v>
      </c>
    </row>
    <row r="1594" spans="1:6" hidden="1" x14ac:dyDescent="0.25">
      <c r="A1594" s="58" t="s">
        <v>110</v>
      </c>
      <c r="B1594" s="3" t="s">
        <v>1439</v>
      </c>
      <c r="C1594" t="str">
        <f t="shared" si="29"/>
        <v>South KoreaJTBC GOLF &amp; SPORTS</v>
      </c>
      <c r="D1594" s="1">
        <v>11136000</v>
      </c>
      <c r="E1594" t="s">
        <v>149</v>
      </c>
    </row>
    <row r="1595" spans="1:6" hidden="1" x14ac:dyDescent="0.25">
      <c r="A1595" s="58" t="s">
        <v>110</v>
      </c>
      <c r="B1595" s="3" t="s">
        <v>1440</v>
      </c>
      <c r="C1595" t="str">
        <f t="shared" si="29"/>
        <v>South KoreaJTBC3 Fox Sports</v>
      </c>
      <c r="D1595">
        <v>5687330</v>
      </c>
      <c r="E1595" t="s">
        <v>149</v>
      </c>
      <c r="F1595" t="s">
        <v>1437</v>
      </c>
    </row>
    <row r="1596" spans="1:6" hidden="1" x14ac:dyDescent="0.25">
      <c r="A1596" s="58" t="s">
        <v>110</v>
      </c>
      <c r="B1596" s="124" t="s">
        <v>1441</v>
      </c>
      <c r="C1596" t="str">
        <f t="shared" si="29"/>
        <v>South KoreaJTBC3 FOXSPORTS</v>
      </c>
      <c r="D1596" s="1">
        <v>11136000</v>
      </c>
      <c r="E1596" t="s">
        <v>149</v>
      </c>
      <c r="F1596" t="s">
        <v>1437</v>
      </c>
    </row>
    <row r="1597" spans="1:6" hidden="1" x14ac:dyDescent="0.25">
      <c r="A1597" s="58" t="s">
        <v>110</v>
      </c>
      <c r="B1597" s="3" t="s">
        <v>251</v>
      </c>
      <c r="C1597" t="str">
        <f t="shared" si="29"/>
        <v>South KoreaSBS</v>
      </c>
      <c r="D1597" s="1">
        <v>5149800</v>
      </c>
      <c r="E1597" t="s">
        <v>149</v>
      </c>
    </row>
    <row r="1598" spans="1:6" hidden="1" x14ac:dyDescent="0.25">
      <c r="A1598" s="58" t="s">
        <v>110</v>
      </c>
      <c r="B1598" s="3" t="s">
        <v>1442</v>
      </c>
      <c r="C1598" t="str">
        <f t="shared" si="29"/>
        <v>South KoreaSBS Golf</v>
      </c>
      <c r="D1598" s="1">
        <v>5149800</v>
      </c>
      <c r="E1598" t="s">
        <v>149</v>
      </c>
    </row>
    <row r="1599" spans="1:6" hidden="1" x14ac:dyDescent="0.25">
      <c r="A1599" s="58" t="s">
        <v>110</v>
      </c>
      <c r="B1599" s="3" t="s">
        <v>1443</v>
      </c>
      <c r="C1599" t="str">
        <f t="shared" si="29"/>
        <v>South KoreaSBSgolf</v>
      </c>
      <c r="D1599" s="1">
        <v>5149800</v>
      </c>
      <c r="E1599" t="s">
        <v>149</v>
      </c>
      <c r="F1599" t="s">
        <v>1437</v>
      </c>
    </row>
    <row r="1600" spans="1:6" hidden="1" x14ac:dyDescent="0.25">
      <c r="A1600" s="58" t="s">
        <v>110</v>
      </c>
      <c r="B1600" s="3" t="s">
        <v>1444</v>
      </c>
      <c r="C1600" t="str">
        <f t="shared" si="29"/>
        <v>South KoreaSky Sports</v>
      </c>
      <c r="D1600" s="1">
        <v>2000000</v>
      </c>
      <c r="E1600" t="s">
        <v>149</v>
      </c>
      <c r="F1600" t="s">
        <v>1437</v>
      </c>
    </row>
    <row r="1601" spans="1:6" hidden="1" x14ac:dyDescent="0.25">
      <c r="A1601" s="3" t="s">
        <v>110</v>
      </c>
      <c r="B1601" s="3" t="s">
        <v>1445</v>
      </c>
      <c r="C1601" t="str">
        <f t="shared" si="29"/>
        <v>South KoreaSPOTV+</v>
      </c>
      <c r="D1601" s="1">
        <v>5687330</v>
      </c>
      <c r="E1601" t="s">
        <v>149</v>
      </c>
      <c r="F1601" t="s">
        <v>1437</v>
      </c>
    </row>
    <row r="1602" spans="1:6" hidden="1" x14ac:dyDescent="0.25">
      <c r="A1602" s="58" t="s">
        <v>110</v>
      </c>
      <c r="B1602" s="3" t="s">
        <v>1446</v>
      </c>
      <c r="C1602" t="str">
        <f t="shared" si="29"/>
        <v>South KoreaSpoTV2</v>
      </c>
      <c r="D1602" s="1">
        <v>2080730</v>
      </c>
      <c r="E1602" t="s">
        <v>149</v>
      </c>
      <c r="F1602" t="s">
        <v>1437</v>
      </c>
    </row>
    <row r="1603" spans="1:6" hidden="1" x14ac:dyDescent="0.25">
      <c r="A1603" s="228" t="s">
        <v>110</v>
      </c>
      <c r="B1603" s="164" t="s">
        <v>1338</v>
      </c>
      <c r="C1603" s="162" t="str">
        <f t="shared" si="29"/>
        <v>South KoreaTVN</v>
      </c>
      <c r="D1603" s="163">
        <v>17741518.944000002</v>
      </c>
      <c r="E1603" t="s">
        <v>149</v>
      </c>
      <c r="F1603" s="168">
        <v>0.88800000000000001</v>
      </c>
    </row>
    <row r="1604" spans="1:6" hidden="1" x14ac:dyDescent="0.25">
      <c r="A1604" s="229" t="s">
        <v>110</v>
      </c>
      <c r="B1604" s="161" t="s">
        <v>1447</v>
      </c>
      <c r="C1604" s="162" t="str">
        <f t="shared" si="29"/>
        <v>South KoreaXTVn</v>
      </c>
      <c r="D1604" s="163">
        <v>13985431.6</v>
      </c>
      <c r="E1604" t="s">
        <v>149</v>
      </c>
      <c r="F1604" s="169">
        <v>0.7</v>
      </c>
    </row>
    <row r="1605" spans="1:6" hidden="1" x14ac:dyDescent="0.25">
      <c r="A1605" s="58" t="s">
        <v>111</v>
      </c>
      <c r="B1605" s="3" t="s">
        <v>158</v>
      </c>
      <c r="C1605" t="str">
        <f t="shared" si="29"/>
        <v>Spain#0</v>
      </c>
      <c r="D1605" s="1">
        <v>3854000</v>
      </c>
      <c r="E1605" t="s">
        <v>149</v>
      </c>
      <c r="F1605" t="s">
        <v>1448</v>
      </c>
    </row>
    <row r="1606" spans="1:6" hidden="1" x14ac:dyDescent="0.25">
      <c r="A1606" s="58" t="s">
        <v>111</v>
      </c>
      <c r="B1606" s="3" t="s">
        <v>160</v>
      </c>
      <c r="C1606" t="str">
        <f t="shared" si="29"/>
        <v>Spain#VAMOS</v>
      </c>
      <c r="D1606" s="1">
        <v>3854000</v>
      </c>
      <c r="E1606" t="s">
        <v>149</v>
      </c>
    </row>
    <row r="1607" spans="1:6" hidden="1" x14ac:dyDescent="0.25">
      <c r="A1607" s="58" t="s">
        <v>111</v>
      </c>
      <c r="B1607" s="124" t="s">
        <v>161</v>
      </c>
      <c r="C1607" t="str">
        <f t="shared" si="29"/>
        <v>SpainDMAX</v>
      </c>
      <c r="D1607" s="1">
        <v>16265311.818</v>
      </c>
      <c r="E1607" t="s">
        <v>142</v>
      </c>
      <c r="F1607" t="s">
        <v>1449</v>
      </c>
    </row>
    <row r="1608" spans="1:6" hidden="1" x14ac:dyDescent="0.25">
      <c r="A1608" s="58" t="s">
        <v>111</v>
      </c>
      <c r="B1608" s="3" t="s">
        <v>162</v>
      </c>
      <c r="C1608" t="str">
        <f t="shared" si="29"/>
        <v>SpainEsport3</v>
      </c>
      <c r="D1608" s="1">
        <v>2475535.1320000002</v>
      </c>
      <c r="E1608" t="s">
        <v>142</v>
      </c>
      <c r="F1608" t="s">
        <v>1450</v>
      </c>
    </row>
    <row r="1609" spans="1:6" hidden="1" x14ac:dyDescent="0.25">
      <c r="A1609" s="58" t="s">
        <v>111</v>
      </c>
      <c r="B1609" s="124" t="s">
        <v>221</v>
      </c>
      <c r="C1609" t="str">
        <f t="shared" si="29"/>
        <v>SpainEurosport</v>
      </c>
      <c r="D1609" s="1">
        <v>2143000</v>
      </c>
      <c r="E1609" t="s">
        <v>149</v>
      </c>
    </row>
    <row r="1610" spans="1:6" hidden="1" x14ac:dyDescent="0.25">
      <c r="A1610" s="220" t="s">
        <v>111</v>
      </c>
      <c r="B1610" s="145" t="s">
        <v>268</v>
      </c>
      <c r="C1610" s="11" t="str">
        <f t="shared" si="29"/>
        <v>SpainEurosport 1</v>
      </c>
      <c r="D1610" s="1">
        <v>2143000</v>
      </c>
      <c r="E1610" t="s">
        <v>149</v>
      </c>
      <c r="F1610" s="11"/>
    </row>
    <row r="1611" spans="1:6" hidden="1" x14ac:dyDescent="0.25">
      <c r="A1611" s="220" t="s">
        <v>111</v>
      </c>
      <c r="B1611" s="145" t="s">
        <v>269</v>
      </c>
      <c r="C1611" s="11" t="str">
        <f t="shared" si="29"/>
        <v>SpainEurosport 2</v>
      </c>
      <c r="D1611" s="22">
        <v>1560000</v>
      </c>
      <c r="E1611" t="s">
        <v>149</v>
      </c>
      <c r="F1611" s="11"/>
    </row>
    <row r="1612" spans="1:6" hidden="1" x14ac:dyDescent="0.25">
      <c r="A1612" s="58" t="s">
        <v>111</v>
      </c>
      <c r="B1612" s="3" t="s">
        <v>166</v>
      </c>
      <c r="C1612" t="str">
        <f t="shared" si="29"/>
        <v>SpainGOL</v>
      </c>
      <c r="D1612" s="121">
        <v>1116000</v>
      </c>
      <c r="E1612" t="s">
        <v>142</v>
      </c>
      <c r="F1612" t="s">
        <v>1451</v>
      </c>
    </row>
    <row r="1613" spans="1:6" hidden="1" x14ac:dyDescent="0.25">
      <c r="A1613" s="58" t="s">
        <v>111</v>
      </c>
      <c r="B1613" s="3" t="s">
        <v>168</v>
      </c>
      <c r="C1613" t="str">
        <f t="shared" si="29"/>
        <v>SpainGOLF+</v>
      </c>
      <c r="D1613" s="121">
        <v>3854000</v>
      </c>
      <c r="E1613" t="s">
        <v>149</v>
      </c>
      <c r="F1613" t="s">
        <v>1448</v>
      </c>
    </row>
    <row r="1614" spans="1:6" hidden="1" x14ac:dyDescent="0.25">
      <c r="A1614" s="58" t="s">
        <v>111</v>
      </c>
      <c r="B1614" s="3" t="s">
        <v>169</v>
      </c>
      <c r="C1614" t="str">
        <f t="shared" si="29"/>
        <v>SpainLa 1</v>
      </c>
      <c r="D1614" s="121">
        <v>17328745.923999999</v>
      </c>
      <c r="E1614" t="s">
        <v>142</v>
      </c>
      <c r="F1614" t="s">
        <v>1452</v>
      </c>
    </row>
    <row r="1615" spans="1:6" hidden="1" x14ac:dyDescent="0.25">
      <c r="A1615" s="58" t="s">
        <v>111</v>
      </c>
      <c r="B1615" s="3" t="s">
        <v>171</v>
      </c>
      <c r="C1615" t="str">
        <f t="shared" si="29"/>
        <v>SpainLa 2</v>
      </c>
      <c r="D1615" s="1">
        <v>17102110</v>
      </c>
      <c r="E1615" t="s">
        <v>142</v>
      </c>
      <c r="F1615" t="s">
        <v>1453</v>
      </c>
    </row>
    <row r="1616" spans="1:6" hidden="1" x14ac:dyDescent="0.25">
      <c r="A1616" s="58" t="s">
        <v>111</v>
      </c>
      <c r="B1616" s="3" t="s">
        <v>173</v>
      </c>
      <c r="C1616" t="str">
        <f t="shared" si="29"/>
        <v>SpainLa1</v>
      </c>
      <c r="D1616" s="1">
        <v>17951640</v>
      </c>
      <c r="E1616" t="s">
        <v>142</v>
      </c>
      <c r="F1616" t="s">
        <v>1454</v>
      </c>
    </row>
    <row r="1617" spans="1:6" hidden="1" x14ac:dyDescent="0.25">
      <c r="A1617" s="58" t="s">
        <v>111</v>
      </c>
      <c r="B1617" s="3" t="s">
        <v>174</v>
      </c>
      <c r="C1617" t="str">
        <f t="shared" si="29"/>
        <v>SpainMovistar Deportes 1</v>
      </c>
      <c r="D1617" s="1">
        <v>3854000</v>
      </c>
      <c r="E1617" t="s">
        <v>149</v>
      </c>
      <c r="F1617" t="s">
        <v>1448</v>
      </c>
    </row>
    <row r="1618" spans="1:6" hidden="1" x14ac:dyDescent="0.25">
      <c r="A1618" s="58" t="s">
        <v>111</v>
      </c>
      <c r="B1618" s="3" t="s">
        <v>175</v>
      </c>
      <c r="C1618" t="str">
        <f t="shared" si="29"/>
        <v>SpainMovistar Deportes 2</v>
      </c>
      <c r="D1618" s="1">
        <v>3854000</v>
      </c>
      <c r="E1618" t="s">
        <v>149</v>
      </c>
      <c r="F1618" t="s">
        <v>1448</v>
      </c>
    </row>
    <row r="1619" spans="1:6" hidden="1" x14ac:dyDescent="0.25">
      <c r="A1619" s="58" t="s">
        <v>111</v>
      </c>
      <c r="B1619" s="3" t="s">
        <v>176</v>
      </c>
      <c r="C1619" t="str">
        <f t="shared" si="29"/>
        <v>SpainMOVISTAR F1</v>
      </c>
      <c r="D1619" s="1">
        <v>3854000</v>
      </c>
      <c r="E1619" t="s">
        <v>149</v>
      </c>
      <c r="F1619" t="s">
        <v>1448</v>
      </c>
    </row>
    <row r="1620" spans="1:6" hidden="1" x14ac:dyDescent="0.25">
      <c r="A1620" s="58" t="s">
        <v>111</v>
      </c>
      <c r="B1620" s="3" t="s">
        <v>177</v>
      </c>
      <c r="C1620" t="str">
        <f t="shared" si="29"/>
        <v>SpainMOVISTAR GOLF</v>
      </c>
      <c r="D1620" s="1">
        <v>3854000</v>
      </c>
      <c r="E1620" t="s">
        <v>149</v>
      </c>
      <c r="F1620" t="s">
        <v>1448</v>
      </c>
    </row>
    <row r="1621" spans="1:6" hidden="1" x14ac:dyDescent="0.25">
      <c r="A1621" s="58" t="s">
        <v>111</v>
      </c>
      <c r="B1621" s="3" t="s">
        <v>178</v>
      </c>
      <c r="C1621" t="str">
        <f t="shared" si="29"/>
        <v>SpainMOVISTARGOLF</v>
      </c>
      <c r="D1621" s="1">
        <v>3854000</v>
      </c>
      <c r="E1621" t="s">
        <v>149</v>
      </c>
    </row>
    <row r="1622" spans="1:6" hidden="1" x14ac:dyDescent="0.25">
      <c r="A1622" s="58" t="s">
        <v>111</v>
      </c>
      <c r="B1622" s="3" t="s">
        <v>179</v>
      </c>
      <c r="C1622" t="str">
        <f t="shared" si="29"/>
        <v>SpainTeledeporte</v>
      </c>
      <c r="D1622" s="1">
        <v>15445945</v>
      </c>
      <c r="E1622" t="s">
        <v>142</v>
      </c>
      <c r="F1622" t="s">
        <v>326</v>
      </c>
    </row>
    <row r="1623" spans="1:6" hidden="1" x14ac:dyDescent="0.25">
      <c r="A1623" s="58" t="s">
        <v>111</v>
      </c>
      <c r="B1623" s="3" t="s">
        <v>181</v>
      </c>
      <c r="C1623" t="str">
        <f t="shared" si="29"/>
        <v>SpainTV3</v>
      </c>
      <c r="D1623" s="1">
        <v>2981000</v>
      </c>
      <c r="E1623" t="s">
        <v>142</v>
      </c>
      <c r="F1623" t="s">
        <v>1455</v>
      </c>
    </row>
    <row r="1624" spans="1:6" hidden="1" x14ac:dyDescent="0.25">
      <c r="A1624" s="58" t="s">
        <v>1456</v>
      </c>
      <c r="B1624" s="3" t="s">
        <v>1457</v>
      </c>
      <c r="C1624" t="str">
        <f t="shared" si="29"/>
        <v>Sri LankaRC</v>
      </c>
      <c r="D1624" s="1">
        <v>2572000</v>
      </c>
      <c r="E1624" t="s">
        <v>142</v>
      </c>
      <c r="F1624" t="s">
        <v>1458</v>
      </c>
    </row>
    <row r="1625" spans="1:6" hidden="1" x14ac:dyDescent="0.25">
      <c r="A1625" s="58" t="s">
        <v>112</v>
      </c>
      <c r="B1625" s="3" t="s">
        <v>1459</v>
      </c>
      <c r="C1625" t="str">
        <f t="shared" si="29"/>
        <v>SwedenC More Golf</v>
      </c>
      <c r="D1625" s="1">
        <v>3121000</v>
      </c>
      <c r="E1625" t="s">
        <v>149</v>
      </c>
    </row>
    <row r="1626" spans="1:6" hidden="1" x14ac:dyDescent="0.25">
      <c r="A1626" s="58" t="s">
        <v>112</v>
      </c>
      <c r="B1626" s="3" t="s">
        <v>628</v>
      </c>
      <c r="C1626" t="str">
        <f t="shared" si="29"/>
        <v>SwedenC More Golf HD</v>
      </c>
      <c r="D1626" s="1">
        <v>3121000</v>
      </c>
      <c r="E1626" t="s">
        <v>149</v>
      </c>
    </row>
    <row r="1627" spans="1:6" hidden="1" x14ac:dyDescent="0.25">
      <c r="A1627" s="58" t="s">
        <v>112</v>
      </c>
      <c r="B1627" s="3" t="s">
        <v>673</v>
      </c>
      <c r="C1627" t="str">
        <f t="shared" si="29"/>
        <v>SwedenC More Live</v>
      </c>
      <c r="D1627" s="1">
        <v>3121000</v>
      </c>
      <c r="E1627" t="s">
        <v>149</v>
      </c>
      <c r="F1627" t="s">
        <v>1460</v>
      </c>
    </row>
    <row r="1628" spans="1:6" hidden="1" x14ac:dyDescent="0.25">
      <c r="A1628" s="103" t="s">
        <v>112</v>
      </c>
      <c r="B1628" s="104" t="s">
        <v>629</v>
      </c>
      <c r="C1628" t="str">
        <f t="shared" si="29"/>
        <v>SwedenC More Max</v>
      </c>
      <c r="D1628" s="1">
        <v>3121000</v>
      </c>
      <c r="E1628" t="s">
        <v>149</v>
      </c>
    </row>
    <row r="1629" spans="1:6" hidden="1" x14ac:dyDescent="0.25">
      <c r="A1629" s="58" t="s">
        <v>112</v>
      </c>
      <c r="B1629" s="3" t="s">
        <v>630</v>
      </c>
      <c r="C1629" t="str">
        <f t="shared" si="29"/>
        <v>SwedenC More Sport</v>
      </c>
      <c r="D1629" s="1">
        <v>3121000</v>
      </c>
      <c r="E1629" t="s">
        <v>149</v>
      </c>
      <c r="F1629" t="s">
        <v>1460</v>
      </c>
    </row>
    <row r="1630" spans="1:6" hidden="1" x14ac:dyDescent="0.25">
      <c r="A1630" s="58" t="s">
        <v>112</v>
      </c>
      <c r="B1630" s="3" t="s">
        <v>632</v>
      </c>
      <c r="C1630" t="str">
        <f t="shared" si="29"/>
        <v>SwedenC More Sport 1</v>
      </c>
      <c r="D1630" s="1">
        <v>3121000</v>
      </c>
      <c r="E1630" t="s">
        <v>149</v>
      </c>
    </row>
    <row r="1631" spans="1:6" hidden="1" x14ac:dyDescent="0.25">
      <c r="A1631" s="58" t="s">
        <v>112</v>
      </c>
      <c r="B1631" s="3" t="s">
        <v>633</v>
      </c>
      <c r="C1631" t="str">
        <f t="shared" si="29"/>
        <v>SwedenC More Sport 2</v>
      </c>
      <c r="D1631" s="1">
        <v>3121000</v>
      </c>
      <c r="E1631" t="s">
        <v>149</v>
      </c>
    </row>
    <row r="1632" spans="1:6" hidden="1" x14ac:dyDescent="0.25">
      <c r="A1632" s="58" t="s">
        <v>112</v>
      </c>
      <c r="B1632" s="3" t="s">
        <v>634</v>
      </c>
      <c r="C1632" t="str">
        <f t="shared" si="29"/>
        <v>SwedenC More Tennis</v>
      </c>
      <c r="D1632" s="1">
        <v>3121000</v>
      </c>
      <c r="E1632" t="s">
        <v>149</v>
      </c>
      <c r="F1632" t="s">
        <v>1460</v>
      </c>
    </row>
    <row r="1633" spans="1:6" hidden="1" x14ac:dyDescent="0.25">
      <c r="A1633" s="58" t="s">
        <v>112</v>
      </c>
      <c r="B1633" s="3" t="s">
        <v>221</v>
      </c>
      <c r="C1633" t="str">
        <f t="shared" si="29"/>
        <v>SwedenEurosport</v>
      </c>
      <c r="D1633" s="57">
        <v>2097000</v>
      </c>
      <c r="E1633" s="57" t="s">
        <v>149</v>
      </c>
    </row>
    <row r="1634" spans="1:6" hidden="1" x14ac:dyDescent="0.25">
      <c r="A1634" s="58" t="s">
        <v>112</v>
      </c>
      <c r="B1634" s="3" t="s">
        <v>268</v>
      </c>
      <c r="C1634" t="str">
        <f t="shared" ref="C1634:C1697" si="30">CONCATENATE(A1634,B1634)</f>
        <v>SwedenEurosport 1</v>
      </c>
      <c r="D1634" s="57">
        <v>2097000</v>
      </c>
      <c r="E1634" s="57" t="s">
        <v>149</v>
      </c>
    </row>
    <row r="1635" spans="1:6" hidden="1" x14ac:dyDescent="0.25">
      <c r="A1635" s="58" t="s">
        <v>112</v>
      </c>
      <c r="B1635" s="3" t="s">
        <v>269</v>
      </c>
      <c r="C1635" t="str">
        <f t="shared" si="30"/>
        <v>SwedenEurosport 2</v>
      </c>
      <c r="D1635" s="116">
        <v>1207000</v>
      </c>
      <c r="E1635" s="51" t="s">
        <v>149</v>
      </c>
    </row>
    <row r="1636" spans="1:6" hidden="1" x14ac:dyDescent="0.25">
      <c r="A1636" s="58" t="s">
        <v>112</v>
      </c>
      <c r="B1636" s="3" t="s">
        <v>245</v>
      </c>
      <c r="C1636" t="str">
        <f t="shared" si="30"/>
        <v>SwedenHorse and Country</v>
      </c>
      <c r="D1636" s="57">
        <v>100000</v>
      </c>
      <c r="E1636" s="57" t="s">
        <v>149</v>
      </c>
    </row>
    <row r="1637" spans="1:6" hidden="1" x14ac:dyDescent="0.25">
      <c r="A1637" s="58" t="s">
        <v>112</v>
      </c>
      <c r="B1637" s="3" t="s">
        <v>637</v>
      </c>
      <c r="C1637" t="str">
        <f t="shared" si="30"/>
        <v>SwedenKanal 5</v>
      </c>
      <c r="D1637" s="1">
        <v>4423000</v>
      </c>
      <c r="E1637" s="57" t="s">
        <v>149</v>
      </c>
    </row>
    <row r="1638" spans="1:6" hidden="1" x14ac:dyDescent="0.25">
      <c r="A1638" s="58" t="s">
        <v>112</v>
      </c>
      <c r="B1638" s="3" t="s">
        <v>1461</v>
      </c>
      <c r="C1638" t="str">
        <f t="shared" si="30"/>
        <v>SwedenSVT 2</v>
      </c>
      <c r="D1638" s="1">
        <v>4783400</v>
      </c>
      <c r="E1638" t="s">
        <v>142</v>
      </c>
      <c r="F1638" t="s">
        <v>1462</v>
      </c>
    </row>
    <row r="1639" spans="1:6" hidden="1" x14ac:dyDescent="0.25">
      <c r="A1639" s="58" t="s">
        <v>112</v>
      </c>
      <c r="B1639" s="3" t="s">
        <v>1463</v>
      </c>
      <c r="C1639" t="str">
        <f t="shared" si="30"/>
        <v>SwedenTV10</v>
      </c>
      <c r="D1639" s="1">
        <v>4423000</v>
      </c>
      <c r="E1639" s="57" t="s">
        <v>149</v>
      </c>
      <c r="F1639" t="s">
        <v>642</v>
      </c>
    </row>
    <row r="1640" spans="1:6" hidden="1" x14ac:dyDescent="0.25">
      <c r="A1640" s="58" t="s">
        <v>112</v>
      </c>
      <c r="B1640" s="3" t="s">
        <v>1464</v>
      </c>
      <c r="C1640" t="str">
        <f t="shared" si="30"/>
        <v>SwedenTV12</v>
      </c>
      <c r="D1640" s="1">
        <v>3729285</v>
      </c>
      <c r="E1640" t="s">
        <v>149</v>
      </c>
      <c r="F1640" t="s">
        <v>1465</v>
      </c>
    </row>
    <row r="1641" spans="1:6" hidden="1" x14ac:dyDescent="0.25">
      <c r="A1641" s="58" t="s">
        <v>112</v>
      </c>
      <c r="B1641" s="3" t="s">
        <v>181</v>
      </c>
      <c r="C1641" t="str">
        <f t="shared" si="30"/>
        <v>SwedenTV3</v>
      </c>
      <c r="D1641" s="1">
        <v>4423000</v>
      </c>
      <c r="E1641" s="57" t="s">
        <v>149</v>
      </c>
      <c r="F1641" t="s">
        <v>642</v>
      </c>
    </row>
    <row r="1642" spans="1:6" hidden="1" x14ac:dyDescent="0.25">
      <c r="A1642" s="58" t="s">
        <v>112</v>
      </c>
      <c r="B1642" s="3" t="s">
        <v>1466</v>
      </c>
      <c r="C1642" t="str">
        <f t="shared" si="30"/>
        <v>SwedenTV4</v>
      </c>
      <c r="D1642" s="1">
        <v>4423000</v>
      </c>
      <c r="E1642" s="57" t="s">
        <v>149</v>
      </c>
      <c r="F1642" t="s">
        <v>642</v>
      </c>
    </row>
    <row r="1643" spans="1:6" hidden="1" x14ac:dyDescent="0.25">
      <c r="A1643" s="232" t="s">
        <v>112</v>
      </c>
      <c r="B1643" s="149" t="s">
        <v>652</v>
      </c>
      <c r="C1643" s="150" t="str">
        <f t="shared" si="30"/>
        <v>SwedenV Sport Golf</v>
      </c>
      <c r="D1643" s="1">
        <v>3121000</v>
      </c>
      <c r="E1643" t="s">
        <v>149</v>
      </c>
      <c r="F1643" s="150"/>
    </row>
    <row r="1644" spans="1:6" hidden="1" x14ac:dyDescent="0.25">
      <c r="A1644" s="58" t="s">
        <v>112</v>
      </c>
      <c r="B1644" s="3" t="s">
        <v>653</v>
      </c>
      <c r="C1644" t="str">
        <f t="shared" si="30"/>
        <v>SwedenViaplay</v>
      </c>
      <c r="D1644" s="1">
        <v>3121000</v>
      </c>
      <c r="E1644" t="s">
        <v>149</v>
      </c>
    </row>
    <row r="1645" spans="1:6" hidden="1" x14ac:dyDescent="0.25">
      <c r="A1645" s="58" t="s">
        <v>112</v>
      </c>
      <c r="B1645" s="3" t="s">
        <v>654</v>
      </c>
      <c r="C1645" t="str">
        <f t="shared" si="30"/>
        <v>SwedenViasat Golf</v>
      </c>
      <c r="D1645" s="1">
        <v>3121000</v>
      </c>
      <c r="E1645" t="s">
        <v>149</v>
      </c>
      <c r="F1645" t="s">
        <v>1467</v>
      </c>
    </row>
    <row r="1646" spans="1:6" hidden="1" x14ac:dyDescent="0.25">
      <c r="A1646" s="58" t="s">
        <v>112</v>
      </c>
      <c r="B1646" s="3" t="s">
        <v>656</v>
      </c>
      <c r="C1646" t="str">
        <f t="shared" si="30"/>
        <v>SwedenViasat Motor</v>
      </c>
      <c r="D1646" s="1">
        <v>3121000</v>
      </c>
      <c r="E1646" t="s">
        <v>149</v>
      </c>
      <c r="F1646" t="s">
        <v>1467</v>
      </c>
    </row>
    <row r="1647" spans="1:6" hidden="1" x14ac:dyDescent="0.25">
      <c r="A1647" s="58" t="s">
        <v>112</v>
      </c>
      <c r="B1647" s="3" t="s">
        <v>657</v>
      </c>
      <c r="C1647" t="str">
        <f t="shared" si="30"/>
        <v>SwedenViasat Sport</v>
      </c>
      <c r="D1647" s="1">
        <v>3121000</v>
      </c>
      <c r="E1647" t="s">
        <v>149</v>
      </c>
      <c r="F1647" t="s">
        <v>1467</v>
      </c>
    </row>
    <row r="1648" spans="1:6" hidden="1" x14ac:dyDescent="0.25">
      <c r="A1648" s="58" t="s">
        <v>113</v>
      </c>
      <c r="B1648" s="3" t="s">
        <v>749</v>
      </c>
      <c r="C1648" t="str">
        <f t="shared" si="30"/>
        <v>Switzerland3SAT</v>
      </c>
      <c r="D1648" s="1">
        <v>1865863.9999999998</v>
      </c>
      <c r="E1648" t="s">
        <v>142</v>
      </c>
      <c r="F1648" t="s">
        <v>341</v>
      </c>
    </row>
    <row r="1649" spans="1:6" hidden="1" x14ac:dyDescent="0.25">
      <c r="A1649" s="58" t="s">
        <v>113</v>
      </c>
      <c r="B1649" s="3" t="s">
        <v>714</v>
      </c>
      <c r="C1649" t="str">
        <f t="shared" si="30"/>
        <v>SwitzerlandCanal+</v>
      </c>
      <c r="D1649" s="1">
        <v>1249000</v>
      </c>
      <c r="E1649" t="s">
        <v>149</v>
      </c>
      <c r="F1649" t="s">
        <v>1468</v>
      </c>
    </row>
    <row r="1650" spans="1:6" hidden="1" x14ac:dyDescent="0.25">
      <c r="A1650" s="58" t="s">
        <v>113</v>
      </c>
      <c r="B1650" s="3" t="s">
        <v>716</v>
      </c>
      <c r="C1650" t="str">
        <f t="shared" si="30"/>
        <v>SwitzerlandCanal+ Sport</v>
      </c>
      <c r="D1650" s="1">
        <v>1249000</v>
      </c>
      <c r="E1650" t="s">
        <v>149</v>
      </c>
      <c r="F1650" t="s">
        <v>1468</v>
      </c>
    </row>
    <row r="1651" spans="1:6" hidden="1" x14ac:dyDescent="0.25">
      <c r="A1651" s="58" t="s">
        <v>113</v>
      </c>
      <c r="B1651" s="134" t="s">
        <v>265</v>
      </c>
      <c r="C1651" t="str">
        <f t="shared" si="30"/>
        <v>SwitzerlandDAZN</v>
      </c>
      <c r="D1651" s="1">
        <v>7340</v>
      </c>
      <c r="E1651" t="s">
        <v>149</v>
      </c>
      <c r="F1651" t="s">
        <v>266</v>
      </c>
    </row>
    <row r="1652" spans="1:6" hidden="1" x14ac:dyDescent="0.25">
      <c r="A1652" s="220" t="s">
        <v>113</v>
      </c>
      <c r="B1652" s="145" t="s">
        <v>268</v>
      </c>
      <c r="C1652" s="11" t="str">
        <f t="shared" si="30"/>
        <v>SwitzerlandEurosport 1</v>
      </c>
      <c r="D1652" s="1">
        <v>3087000</v>
      </c>
      <c r="E1652" t="s">
        <v>149</v>
      </c>
      <c r="F1652" s="11"/>
    </row>
    <row r="1653" spans="1:6" hidden="1" x14ac:dyDescent="0.25">
      <c r="A1653" s="223" t="s">
        <v>113</v>
      </c>
      <c r="B1653" s="144" t="s">
        <v>269</v>
      </c>
      <c r="C1653" s="11" t="str">
        <f t="shared" si="30"/>
        <v>SwitzerlandEurosport 2</v>
      </c>
      <c r="D1653" s="22">
        <v>1301000</v>
      </c>
      <c r="E1653" t="s">
        <v>149</v>
      </c>
      <c r="F1653" s="11"/>
    </row>
    <row r="1654" spans="1:6" hidden="1" x14ac:dyDescent="0.25">
      <c r="A1654" s="58" t="s">
        <v>113</v>
      </c>
      <c r="B1654" s="3" t="s">
        <v>721</v>
      </c>
      <c r="C1654" t="str">
        <f t="shared" si="30"/>
        <v>SwitzerlandGolf +</v>
      </c>
      <c r="D1654" s="1">
        <v>1249000</v>
      </c>
      <c r="E1654" t="s">
        <v>149</v>
      </c>
      <c r="F1654" t="s">
        <v>1468</v>
      </c>
    </row>
    <row r="1655" spans="1:6" hidden="1" x14ac:dyDescent="0.25">
      <c r="A1655" s="58" t="s">
        <v>113</v>
      </c>
      <c r="B1655" s="3" t="s">
        <v>343</v>
      </c>
      <c r="C1655" t="str">
        <f t="shared" si="30"/>
        <v>SwitzerlandMa Chaine Sport</v>
      </c>
      <c r="D1655" s="1">
        <v>1446000</v>
      </c>
      <c r="E1655" t="s">
        <v>149</v>
      </c>
      <c r="F1655" t="s">
        <v>1469</v>
      </c>
    </row>
    <row r="1656" spans="1:6" hidden="1" x14ac:dyDescent="0.25">
      <c r="A1656" s="58" t="s">
        <v>113</v>
      </c>
      <c r="B1656" s="3" t="s">
        <v>344</v>
      </c>
      <c r="C1656" t="str">
        <f t="shared" si="30"/>
        <v>SwitzerlandMa Chaine Sport Tennis</v>
      </c>
      <c r="D1656" s="1">
        <v>1446000</v>
      </c>
      <c r="E1656" t="s">
        <v>149</v>
      </c>
      <c r="F1656" t="s">
        <v>1469</v>
      </c>
    </row>
    <row r="1657" spans="1:6" hidden="1" x14ac:dyDescent="0.25">
      <c r="A1657" s="58" t="s">
        <v>113</v>
      </c>
      <c r="B1657" s="3" t="s">
        <v>270</v>
      </c>
      <c r="C1657" t="str">
        <f t="shared" si="30"/>
        <v>SwitzerlandNTV</v>
      </c>
      <c r="D1657" s="1">
        <v>2476120</v>
      </c>
      <c r="E1657" t="s">
        <v>142</v>
      </c>
    </row>
    <row r="1658" spans="1:6" hidden="1" x14ac:dyDescent="0.25">
      <c r="A1658" s="58" t="s">
        <v>113</v>
      </c>
      <c r="B1658" s="3" t="s">
        <v>275</v>
      </c>
      <c r="C1658" t="str">
        <f t="shared" si="30"/>
        <v>SwitzerlandORF 2</v>
      </c>
      <c r="D1658" s="1">
        <v>1878911.9999999998</v>
      </c>
      <c r="E1658" t="s">
        <v>142</v>
      </c>
      <c r="F1658" t="s">
        <v>341</v>
      </c>
    </row>
    <row r="1659" spans="1:6" hidden="1" x14ac:dyDescent="0.25">
      <c r="A1659" s="58" t="s">
        <v>113</v>
      </c>
      <c r="B1659" s="134" t="s">
        <v>1470</v>
      </c>
      <c r="C1659" t="str">
        <f t="shared" si="30"/>
        <v>SwitzerlandRSI LA 2</v>
      </c>
      <c r="D1659" s="1">
        <v>1421400</v>
      </c>
      <c r="E1659" t="s">
        <v>142</v>
      </c>
      <c r="F1659" s="16" t="s">
        <v>1471</v>
      </c>
    </row>
    <row r="1660" spans="1:6" hidden="1" x14ac:dyDescent="0.25">
      <c r="A1660" s="58" t="s">
        <v>113</v>
      </c>
      <c r="B1660" s="3" t="s">
        <v>1472</v>
      </c>
      <c r="C1660" t="str">
        <f t="shared" si="30"/>
        <v>SwitzerlandRSI La1</v>
      </c>
      <c r="D1660" s="1">
        <v>1421400</v>
      </c>
      <c r="E1660" t="s">
        <v>142</v>
      </c>
      <c r="F1660" s="16" t="s">
        <v>1471</v>
      </c>
    </row>
    <row r="1661" spans="1:6" hidden="1" x14ac:dyDescent="0.25">
      <c r="A1661" s="58" t="s">
        <v>113</v>
      </c>
      <c r="B1661" s="3" t="s">
        <v>1473</v>
      </c>
      <c r="C1661" t="str">
        <f t="shared" si="30"/>
        <v>SwitzerlandRSI La2</v>
      </c>
      <c r="D1661" s="1">
        <v>1421400</v>
      </c>
      <c r="E1661" t="s">
        <v>142</v>
      </c>
      <c r="F1661" s="16" t="s">
        <v>1471</v>
      </c>
    </row>
    <row r="1662" spans="1:6" hidden="1" x14ac:dyDescent="0.25">
      <c r="A1662" s="58" t="s">
        <v>113</v>
      </c>
      <c r="B1662" s="3" t="s">
        <v>280</v>
      </c>
      <c r="C1662" t="str">
        <f t="shared" si="30"/>
        <v>SwitzerlandRTL</v>
      </c>
      <c r="D1662" s="1">
        <v>2476120</v>
      </c>
      <c r="E1662" t="s">
        <v>142</v>
      </c>
      <c r="F1662" s="16" t="s">
        <v>1474</v>
      </c>
    </row>
    <row r="1663" spans="1:6" hidden="1" x14ac:dyDescent="0.25">
      <c r="A1663" s="228" t="s">
        <v>113</v>
      </c>
      <c r="B1663" s="164" t="s">
        <v>141</v>
      </c>
      <c r="C1663" s="162" t="str">
        <f t="shared" si="30"/>
        <v>SwitzerlandRTS 1</v>
      </c>
      <c r="D1663" s="1">
        <v>2088840</v>
      </c>
      <c r="E1663" t="s">
        <v>142</v>
      </c>
      <c r="F1663" s="162"/>
    </row>
    <row r="1664" spans="1:6" hidden="1" x14ac:dyDescent="0.25">
      <c r="A1664" s="58" t="s">
        <v>113</v>
      </c>
      <c r="B1664" s="3" t="s">
        <v>143</v>
      </c>
      <c r="C1664" t="str">
        <f t="shared" si="30"/>
        <v>SwitzerlandRTS 2</v>
      </c>
      <c r="D1664" s="1">
        <v>2088840</v>
      </c>
      <c r="E1664" t="s">
        <v>142</v>
      </c>
    </row>
    <row r="1665" spans="1:6" hidden="1" x14ac:dyDescent="0.25">
      <c r="A1665" s="58" t="s">
        <v>113</v>
      </c>
      <c r="B1665" s="3" t="s">
        <v>1475</v>
      </c>
      <c r="C1665" t="str">
        <f t="shared" si="30"/>
        <v>SwitzerlandRTS Deux</v>
      </c>
      <c r="D1665" s="1">
        <v>2088840</v>
      </c>
      <c r="E1665" t="s">
        <v>142</v>
      </c>
      <c r="F1665" s="16" t="s">
        <v>1476</v>
      </c>
    </row>
    <row r="1666" spans="1:6" hidden="1" x14ac:dyDescent="0.25">
      <c r="A1666" s="58" t="s">
        <v>113</v>
      </c>
      <c r="B1666" s="3" t="s">
        <v>1477</v>
      </c>
      <c r="C1666" t="str">
        <f t="shared" si="30"/>
        <v>SwitzerlandRTS Un</v>
      </c>
      <c r="D1666" s="1">
        <v>1845760</v>
      </c>
      <c r="E1666" t="s">
        <v>142</v>
      </c>
      <c r="F1666" s="16" t="s">
        <v>1478</v>
      </c>
    </row>
    <row r="1667" spans="1:6" hidden="1" x14ac:dyDescent="0.25">
      <c r="A1667" s="58" t="s">
        <v>113</v>
      </c>
      <c r="B1667" s="3" t="s">
        <v>283</v>
      </c>
      <c r="C1667" t="str">
        <f t="shared" si="30"/>
        <v>SwitzerlandSky Sport 1</v>
      </c>
      <c r="D1667" s="1">
        <v>1607000</v>
      </c>
      <c r="E1667" t="s">
        <v>149</v>
      </c>
      <c r="F1667" t="s">
        <v>1479</v>
      </c>
    </row>
    <row r="1668" spans="1:6" hidden="1" x14ac:dyDescent="0.25">
      <c r="A1668" s="58" t="s">
        <v>113</v>
      </c>
      <c r="B1668" s="3" t="s">
        <v>285</v>
      </c>
      <c r="C1668" t="str">
        <f t="shared" si="30"/>
        <v>SwitzerlandSky Sport 10</v>
      </c>
      <c r="D1668" s="1">
        <v>1607000</v>
      </c>
      <c r="E1668" t="s">
        <v>149</v>
      </c>
      <c r="F1668" t="s">
        <v>1050</v>
      </c>
    </row>
    <row r="1669" spans="1:6" hidden="1" x14ac:dyDescent="0.25">
      <c r="A1669" s="225" t="s">
        <v>113</v>
      </c>
      <c r="B1669" s="154" t="s">
        <v>286</v>
      </c>
      <c r="C1669" s="155" t="str">
        <f t="shared" si="30"/>
        <v>SwitzerlandSky Sport 11</v>
      </c>
      <c r="D1669" s="1">
        <v>1607000</v>
      </c>
      <c r="E1669" t="s">
        <v>149</v>
      </c>
      <c r="F1669" s="155"/>
    </row>
    <row r="1670" spans="1:6" hidden="1" x14ac:dyDescent="0.25">
      <c r="A1670" s="129" t="s">
        <v>113</v>
      </c>
      <c r="B1670" s="136" t="s">
        <v>287</v>
      </c>
      <c r="C1670" t="str">
        <f t="shared" si="30"/>
        <v>SwitzerlandSky Sport 2</v>
      </c>
      <c r="D1670" s="1">
        <v>1607000</v>
      </c>
      <c r="E1670" t="s">
        <v>149</v>
      </c>
      <c r="F1670" t="s">
        <v>1479</v>
      </c>
    </row>
    <row r="1671" spans="1:6" hidden="1" x14ac:dyDescent="0.25">
      <c r="A1671" s="58" t="s">
        <v>113</v>
      </c>
      <c r="B1671" s="3" t="s">
        <v>288</v>
      </c>
      <c r="C1671" t="str">
        <f t="shared" si="30"/>
        <v>SwitzerlandSky Sport 3</v>
      </c>
      <c r="D1671" s="1">
        <v>1607000</v>
      </c>
      <c r="E1671" t="s">
        <v>149</v>
      </c>
    </row>
    <row r="1672" spans="1:6" hidden="1" x14ac:dyDescent="0.25">
      <c r="A1672" s="230" t="s">
        <v>113</v>
      </c>
      <c r="B1672" s="157" t="s">
        <v>289</v>
      </c>
      <c r="C1672" s="155" t="str">
        <f t="shared" si="30"/>
        <v>SwitzerlandSky Sport 4</v>
      </c>
      <c r="D1672" s="156">
        <v>1607000</v>
      </c>
      <c r="E1672" s="155" t="s">
        <v>149</v>
      </c>
      <c r="F1672" s="155"/>
    </row>
    <row r="1673" spans="1:6" hidden="1" x14ac:dyDescent="0.25">
      <c r="A1673" s="58" t="s">
        <v>113</v>
      </c>
      <c r="B1673" s="3" t="s">
        <v>290</v>
      </c>
      <c r="C1673" t="str">
        <f t="shared" si="30"/>
        <v>SwitzerlandSky Sport 5</v>
      </c>
      <c r="D1673" s="1">
        <v>1607000</v>
      </c>
      <c r="E1673" t="s">
        <v>149</v>
      </c>
      <c r="F1673" t="s">
        <v>1050</v>
      </c>
    </row>
    <row r="1674" spans="1:6" hidden="1" x14ac:dyDescent="0.25">
      <c r="A1674" s="225" t="s">
        <v>113</v>
      </c>
      <c r="B1674" s="154" t="s">
        <v>291</v>
      </c>
      <c r="C1674" s="155" t="str">
        <f t="shared" si="30"/>
        <v>SwitzerlandSky Sport 6</v>
      </c>
      <c r="D1674" s="1">
        <v>1607000</v>
      </c>
      <c r="E1674" t="s">
        <v>149</v>
      </c>
      <c r="F1674" s="155"/>
    </row>
    <row r="1675" spans="1:6" hidden="1" x14ac:dyDescent="0.25">
      <c r="A1675" s="129" t="s">
        <v>113</v>
      </c>
      <c r="B1675" s="136" t="s">
        <v>294</v>
      </c>
      <c r="C1675" t="str">
        <f t="shared" si="30"/>
        <v>SwitzerlandSky Sport Multifeed Group 1</v>
      </c>
      <c r="D1675" s="1">
        <v>1607000</v>
      </c>
      <c r="E1675" t="s">
        <v>149</v>
      </c>
      <c r="F1675" t="s">
        <v>1479</v>
      </c>
    </row>
    <row r="1676" spans="1:6" hidden="1" x14ac:dyDescent="0.25">
      <c r="A1676" s="58" t="s">
        <v>113</v>
      </c>
      <c r="B1676" s="3" t="s">
        <v>295</v>
      </c>
      <c r="C1676" t="str">
        <f t="shared" si="30"/>
        <v>SwitzerlandSky Sport Multifeed Group 10</v>
      </c>
      <c r="D1676" s="1">
        <v>1607000</v>
      </c>
      <c r="E1676" t="s">
        <v>149</v>
      </c>
      <c r="F1676" t="s">
        <v>1050</v>
      </c>
    </row>
    <row r="1677" spans="1:6" hidden="1" x14ac:dyDescent="0.25">
      <c r="A1677" s="230" t="s">
        <v>113</v>
      </c>
      <c r="B1677" s="157" t="s">
        <v>296</v>
      </c>
      <c r="C1677" s="155" t="str">
        <f t="shared" si="30"/>
        <v>SwitzerlandSky Sport Multifeed Group 11</v>
      </c>
      <c r="D1677" s="1">
        <v>1607000</v>
      </c>
      <c r="E1677" t="s">
        <v>149</v>
      </c>
      <c r="F1677" s="155"/>
    </row>
    <row r="1678" spans="1:6" hidden="1" x14ac:dyDescent="0.25">
      <c r="A1678" s="129" t="s">
        <v>113</v>
      </c>
      <c r="B1678" s="136" t="s">
        <v>297</v>
      </c>
      <c r="C1678" t="str">
        <f t="shared" si="30"/>
        <v>SwitzerlandSky Sport Multifeed Group 2</v>
      </c>
      <c r="D1678" s="1">
        <v>1607000</v>
      </c>
      <c r="E1678" t="s">
        <v>149</v>
      </c>
      <c r="F1678" t="s">
        <v>1479</v>
      </c>
    </row>
    <row r="1679" spans="1:6" hidden="1" x14ac:dyDescent="0.25">
      <c r="A1679" s="58" t="s">
        <v>113</v>
      </c>
      <c r="B1679" s="3" t="s">
        <v>298</v>
      </c>
      <c r="C1679" t="str">
        <f t="shared" si="30"/>
        <v>SwitzerlandSky Sport Multifeed Group 3</v>
      </c>
      <c r="D1679" s="1">
        <v>1607000</v>
      </c>
      <c r="E1679" t="s">
        <v>149</v>
      </c>
    </row>
    <row r="1680" spans="1:6" hidden="1" x14ac:dyDescent="0.25">
      <c r="A1680" s="230" t="s">
        <v>113</v>
      </c>
      <c r="B1680" s="157" t="s">
        <v>299</v>
      </c>
      <c r="C1680" s="155" t="str">
        <f t="shared" si="30"/>
        <v>SwitzerlandSky Sport Multifeed Group 4</v>
      </c>
      <c r="D1680" s="156">
        <v>1607000</v>
      </c>
      <c r="E1680" s="155" t="s">
        <v>149</v>
      </c>
      <c r="F1680" s="155"/>
    </row>
    <row r="1681" spans="1:6" hidden="1" x14ac:dyDescent="0.25">
      <c r="A1681" s="58" t="s">
        <v>113</v>
      </c>
      <c r="B1681" s="3" t="s">
        <v>300</v>
      </c>
      <c r="C1681" t="str">
        <f t="shared" si="30"/>
        <v>SwitzerlandSky Sport Multifeed Group 5</v>
      </c>
      <c r="D1681" s="1">
        <v>1607000</v>
      </c>
      <c r="E1681" t="s">
        <v>149</v>
      </c>
      <c r="F1681" t="s">
        <v>1050</v>
      </c>
    </row>
    <row r="1682" spans="1:6" hidden="1" x14ac:dyDescent="0.25">
      <c r="A1682" s="230" t="s">
        <v>113</v>
      </c>
      <c r="B1682" s="157" t="s">
        <v>301</v>
      </c>
      <c r="C1682" s="155" t="str">
        <f t="shared" si="30"/>
        <v>SwitzerlandSky Sport Multifeed Group 6</v>
      </c>
      <c r="D1682" s="1">
        <v>1607000</v>
      </c>
      <c r="E1682" t="s">
        <v>149</v>
      </c>
      <c r="F1682" s="155"/>
    </row>
    <row r="1683" spans="1:6" hidden="1" x14ac:dyDescent="0.25">
      <c r="A1683" s="129" t="s">
        <v>113</v>
      </c>
      <c r="B1683" s="136" t="s">
        <v>302</v>
      </c>
      <c r="C1683" t="str">
        <f t="shared" si="30"/>
        <v>SwitzerlandSky Sport News</v>
      </c>
      <c r="D1683" s="1">
        <v>1607000</v>
      </c>
      <c r="E1683" t="s">
        <v>149</v>
      </c>
      <c r="F1683" t="s">
        <v>1479</v>
      </c>
    </row>
    <row r="1684" spans="1:6" hidden="1" x14ac:dyDescent="0.25">
      <c r="A1684" s="58" t="s">
        <v>113</v>
      </c>
      <c r="B1684" s="3" t="s">
        <v>923</v>
      </c>
      <c r="C1684" t="str">
        <f t="shared" si="30"/>
        <v>SwitzerlandSky Sports 1</v>
      </c>
      <c r="D1684" s="1">
        <v>1607000</v>
      </c>
      <c r="E1684" t="s">
        <v>149</v>
      </c>
      <c r="F1684" t="s">
        <v>1050</v>
      </c>
    </row>
    <row r="1685" spans="1:6" hidden="1" x14ac:dyDescent="0.25">
      <c r="A1685" s="58" t="s">
        <v>113</v>
      </c>
      <c r="B1685" s="3" t="s">
        <v>924</v>
      </c>
      <c r="C1685" t="str">
        <f t="shared" si="30"/>
        <v>SwitzerlandSky Sports 2</v>
      </c>
      <c r="D1685" s="1">
        <v>1607000</v>
      </c>
      <c r="E1685" t="s">
        <v>149</v>
      </c>
      <c r="F1685" t="s">
        <v>1050</v>
      </c>
    </row>
    <row r="1686" spans="1:6" hidden="1" x14ac:dyDescent="0.25">
      <c r="A1686" s="58" t="s">
        <v>113</v>
      </c>
      <c r="B1686" s="3" t="s">
        <v>1051</v>
      </c>
      <c r="C1686" t="str">
        <f t="shared" si="30"/>
        <v>SwitzerlandSky Sports Multifeed Group 1</v>
      </c>
      <c r="D1686" s="1">
        <v>1607000</v>
      </c>
      <c r="E1686" t="s">
        <v>149</v>
      </c>
      <c r="F1686" t="s">
        <v>1050</v>
      </c>
    </row>
    <row r="1687" spans="1:6" hidden="1" x14ac:dyDescent="0.25">
      <c r="A1687" s="58" t="s">
        <v>113</v>
      </c>
      <c r="B1687" s="3" t="s">
        <v>1052</v>
      </c>
      <c r="C1687" t="str">
        <f t="shared" si="30"/>
        <v>SwitzerlandSky Sports Multifeed Group 2</v>
      </c>
      <c r="D1687" s="1">
        <v>1607000</v>
      </c>
      <c r="E1687" t="s">
        <v>149</v>
      </c>
      <c r="F1687" t="s">
        <v>1050</v>
      </c>
    </row>
    <row r="1688" spans="1:6" hidden="1" x14ac:dyDescent="0.25">
      <c r="A1688" s="58" t="s">
        <v>113</v>
      </c>
      <c r="B1688" s="3" t="s">
        <v>1053</v>
      </c>
      <c r="C1688" t="str">
        <f t="shared" si="30"/>
        <v>SwitzerlandSky Sports News</v>
      </c>
      <c r="D1688" s="1">
        <v>1607000</v>
      </c>
      <c r="E1688" t="s">
        <v>149</v>
      </c>
      <c r="F1688" t="s">
        <v>1050</v>
      </c>
    </row>
    <row r="1689" spans="1:6" hidden="1" x14ac:dyDescent="0.25">
      <c r="A1689" s="58" t="s">
        <v>113</v>
      </c>
      <c r="B1689" s="3" t="s">
        <v>1480</v>
      </c>
      <c r="C1689" t="str">
        <f t="shared" si="30"/>
        <v>SwitzerlandSRF Info</v>
      </c>
      <c r="D1689" s="1">
        <f>0.698*4120000</f>
        <v>2875760</v>
      </c>
      <c r="E1689" t="s">
        <v>142</v>
      </c>
      <c r="F1689" t="s">
        <v>341</v>
      </c>
    </row>
    <row r="1690" spans="1:6" hidden="1" x14ac:dyDescent="0.25">
      <c r="A1690" s="58" t="s">
        <v>113</v>
      </c>
      <c r="B1690" s="134" t="s">
        <v>1481</v>
      </c>
      <c r="C1690" t="str">
        <f t="shared" si="30"/>
        <v>SwitzerlandSRF zwei</v>
      </c>
      <c r="D1690" s="1">
        <v>3353680</v>
      </c>
      <c r="E1690" t="s">
        <v>142</v>
      </c>
      <c r="F1690" t="s">
        <v>341</v>
      </c>
    </row>
    <row r="1691" spans="1:6" hidden="1" x14ac:dyDescent="0.25">
      <c r="A1691" s="58" t="s">
        <v>113</v>
      </c>
      <c r="B1691" s="3" t="s">
        <v>1482</v>
      </c>
      <c r="C1691" t="str">
        <f t="shared" si="30"/>
        <v>SwitzerlandSRF2</v>
      </c>
      <c r="D1691" s="1">
        <v>3353680</v>
      </c>
      <c r="E1691" t="s">
        <v>142</v>
      </c>
      <c r="F1691" t="s">
        <v>341</v>
      </c>
    </row>
    <row r="1692" spans="1:6" hidden="1" x14ac:dyDescent="0.25">
      <c r="A1692" s="222" t="s">
        <v>113</v>
      </c>
      <c r="B1692" s="177" t="s">
        <v>1483</v>
      </c>
      <c r="C1692" s="175" t="str">
        <f t="shared" si="30"/>
        <v>SwitzerlandTeleclub 1</v>
      </c>
      <c r="D1692" s="176">
        <v>1446000</v>
      </c>
      <c r="E1692" s="175" t="s">
        <v>149</v>
      </c>
      <c r="F1692" s="175"/>
    </row>
    <row r="1693" spans="1:6" hidden="1" x14ac:dyDescent="0.25">
      <c r="A1693" s="58" t="s">
        <v>113</v>
      </c>
      <c r="B1693" s="3" t="s">
        <v>1484</v>
      </c>
      <c r="C1693" t="str">
        <f t="shared" si="30"/>
        <v>SwitzerlandTeleclub 1-30 Live</v>
      </c>
      <c r="D1693" s="1">
        <v>1446000</v>
      </c>
      <c r="E1693" t="s">
        <v>149</v>
      </c>
    </row>
    <row r="1694" spans="1:6" hidden="1" x14ac:dyDescent="0.25">
      <c r="A1694" s="58" t="s">
        <v>113</v>
      </c>
      <c r="B1694" s="3" t="s">
        <v>1485</v>
      </c>
      <c r="C1694" t="str">
        <f t="shared" si="30"/>
        <v>SwitzerlandTeleclub Sport</v>
      </c>
      <c r="D1694" s="1">
        <v>1446000</v>
      </c>
      <c r="E1694" t="s">
        <v>149</v>
      </c>
    </row>
    <row r="1695" spans="1:6" hidden="1" x14ac:dyDescent="0.25">
      <c r="A1695" s="58" t="s">
        <v>113</v>
      </c>
      <c r="B1695" s="3" t="s">
        <v>1486</v>
      </c>
      <c r="C1695" t="str">
        <f t="shared" si="30"/>
        <v>SwitzerlandTeleclub Sport 1</v>
      </c>
      <c r="D1695" s="1">
        <v>1446000</v>
      </c>
      <c r="E1695" t="s">
        <v>149</v>
      </c>
    </row>
    <row r="1696" spans="1:6" hidden="1" x14ac:dyDescent="0.25">
      <c r="A1696" s="58" t="s">
        <v>113</v>
      </c>
      <c r="B1696" s="3" t="s">
        <v>1054</v>
      </c>
      <c r="C1696" t="str">
        <f t="shared" si="30"/>
        <v>SwitzerlandTeleclub Sport 2</v>
      </c>
      <c r="D1696" s="1">
        <v>1446000</v>
      </c>
      <c r="E1696" t="s">
        <v>149</v>
      </c>
      <c r="F1696" t="s">
        <v>1469</v>
      </c>
    </row>
    <row r="1697" spans="1:6" hidden="1" x14ac:dyDescent="0.25">
      <c r="A1697" s="58" t="s">
        <v>113</v>
      </c>
      <c r="B1697" s="3" t="s">
        <v>1055</v>
      </c>
      <c r="C1697" t="str">
        <f t="shared" si="30"/>
        <v>SwitzerlandTeleclub Sport 3</v>
      </c>
      <c r="D1697" s="1">
        <v>1446000</v>
      </c>
      <c r="E1697" t="s">
        <v>149</v>
      </c>
      <c r="F1697" t="s">
        <v>1469</v>
      </c>
    </row>
    <row r="1698" spans="1:6" hidden="1" x14ac:dyDescent="0.25">
      <c r="A1698" s="58" t="s">
        <v>113</v>
      </c>
      <c r="B1698" s="3" t="s">
        <v>380</v>
      </c>
      <c r="C1698" t="str">
        <f t="shared" ref="C1698:C1761" si="31">CONCATENATE(A1698,B1698)</f>
        <v>SwitzerlandTF1</v>
      </c>
      <c r="D1698">
        <v>1332110</v>
      </c>
      <c r="E1698" t="s">
        <v>142</v>
      </c>
      <c r="F1698">
        <v>0.32200000000000001</v>
      </c>
    </row>
    <row r="1699" spans="1:6" hidden="1" x14ac:dyDescent="0.25">
      <c r="A1699" s="58" t="s">
        <v>113</v>
      </c>
      <c r="B1699" s="3" t="s">
        <v>1487</v>
      </c>
      <c r="C1699" t="str">
        <f t="shared" si="31"/>
        <v>SwitzerlandVOX</v>
      </c>
      <c r="D1699" s="1">
        <v>2270120</v>
      </c>
      <c r="E1699" t="s">
        <v>142</v>
      </c>
      <c r="F1699" t="s">
        <v>341</v>
      </c>
    </row>
    <row r="1700" spans="1:6" hidden="1" x14ac:dyDescent="0.25">
      <c r="A1700" s="3" t="s">
        <v>114</v>
      </c>
      <c r="B1700" s="3" t="s">
        <v>1488</v>
      </c>
      <c r="C1700" t="str">
        <f t="shared" si="31"/>
        <v>TaiwanBoss Charm</v>
      </c>
      <c r="D1700" s="1">
        <v>1334000</v>
      </c>
      <c r="E1700" t="s">
        <v>149</v>
      </c>
      <c r="F1700" t="s">
        <v>1489</v>
      </c>
    </row>
    <row r="1701" spans="1:6" hidden="1" x14ac:dyDescent="0.25">
      <c r="A1701" s="3" t="s">
        <v>114</v>
      </c>
      <c r="B1701" s="3" t="s">
        <v>1490</v>
      </c>
      <c r="C1701" t="str">
        <f t="shared" si="31"/>
        <v>TaiwanBoss Golf</v>
      </c>
      <c r="D1701" s="1">
        <v>1334000</v>
      </c>
      <c r="E1701" t="s">
        <v>149</v>
      </c>
      <c r="F1701" t="s">
        <v>1489</v>
      </c>
    </row>
    <row r="1702" spans="1:6" hidden="1" x14ac:dyDescent="0.25">
      <c r="A1702" s="58" t="s">
        <v>114</v>
      </c>
      <c r="B1702" s="3" t="s">
        <v>1491</v>
      </c>
      <c r="C1702" t="str">
        <f t="shared" si="31"/>
        <v>TaiwanBoss Highball</v>
      </c>
      <c r="D1702" s="1">
        <v>1334000</v>
      </c>
      <c r="E1702" t="s">
        <v>149</v>
      </c>
      <c r="F1702" t="s">
        <v>1489</v>
      </c>
    </row>
    <row r="1703" spans="1:6" hidden="1" x14ac:dyDescent="0.25">
      <c r="A1703" s="58" t="s">
        <v>114</v>
      </c>
      <c r="B1703" s="3" t="s">
        <v>1492</v>
      </c>
      <c r="C1703" t="str">
        <f t="shared" si="31"/>
        <v>TaiwanBoss Highball 2</v>
      </c>
      <c r="D1703" s="1">
        <v>1334000</v>
      </c>
      <c r="E1703" t="s">
        <v>149</v>
      </c>
    </row>
    <row r="1704" spans="1:6" hidden="1" x14ac:dyDescent="0.25">
      <c r="A1704" s="3" t="s">
        <v>114</v>
      </c>
      <c r="B1704" s="3" t="s">
        <v>1493</v>
      </c>
      <c r="C1704" t="str">
        <f t="shared" si="31"/>
        <v>TaiwanBoss Movement</v>
      </c>
      <c r="D1704" s="1">
        <v>1334000</v>
      </c>
      <c r="E1704" t="s">
        <v>149</v>
      </c>
      <c r="F1704" t="s">
        <v>1489</v>
      </c>
    </row>
    <row r="1705" spans="1:6" hidden="1" x14ac:dyDescent="0.25">
      <c r="A1705" s="3" t="s">
        <v>114</v>
      </c>
      <c r="B1705" s="3" t="s">
        <v>1494</v>
      </c>
      <c r="C1705" t="str">
        <f t="shared" si="31"/>
        <v>TaiwanBoss Tennis</v>
      </c>
      <c r="D1705" s="1">
        <v>1334000</v>
      </c>
      <c r="E1705" t="s">
        <v>149</v>
      </c>
      <c r="F1705" t="s">
        <v>1489</v>
      </c>
    </row>
    <row r="1706" spans="1:6" hidden="1" x14ac:dyDescent="0.25">
      <c r="A1706" s="58" t="s">
        <v>114</v>
      </c>
      <c r="B1706" s="3" t="s">
        <v>1326</v>
      </c>
      <c r="C1706" t="str">
        <f t="shared" si="31"/>
        <v>TaiwanEleven Sports 1</v>
      </c>
      <c r="D1706">
        <v>3431548</v>
      </c>
      <c r="E1706" t="s">
        <v>149</v>
      </c>
    </row>
    <row r="1707" spans="1:6" hidden="1" x14ac:dyDescent="0.25">
      <c r="A1707" s="58" t="s">
        <v>114</v>
      </c>
      <c r="B1707" s="3" t="s">
        <v>1495</v>
      </c>
      <c r="C1707" t="str">
        <f t="shared" si="31"/>
        <v>TaiwanELTA Sports 1</v>
      </c>
      <c r="D1707" s="1">
        <v>1334000</v>
      </c>
      <c r="E1707" t="s">
        <v>149</v>
      </c>
    </row>
    <row r="1708" spans="1:6" hidden="1" x14ac:dyDescent="0.25">
      <c r="A1708" s="58" t="s">
        <v>114</v>
      </c>
      <c r="B1708" s="3" t="s">
        <v>1496</v>
      </c>
      <c r="C1708" t="str">
        <f t="shared" si="31"/>
        <v>TaiwanELTA SPORTS 2</v>
      </c>
      <c r="D1708" s="1">
        <v>1334000</v>
      </c>
      <c r="E1708" t="s">
        <v>149</v>
      </c>
    </row>
    <row r="1709" spans="1:6" hidden="1" x14ac:dyDescent="0.25">
      <c r="A1709" s="58" t="s">
        <v>114</v>
      </c>
      <c r="B1709" s="3" t="s">
        <v>1497</v>
      </c>
      <c r="C1709" t="str">
        <f t="shared" si="31"/>
        <v>TaiwanFMTV</v>
      </c>
      <c r="D1709" s="1">
        <v>4920146</v>
      </c>
      <c r="E1709" t="s">
        <v>142</v>
      </c>
      <c r="F1709" t="s">
        <v>1498</v>
      </c>
    </row>
    <row r="1710" spans="1:6" hidden="1" x14ac:dyDescent="0.25">
      <c r="A1710" s="3" t="s">
        <v>114</v>
      </c>
      <c r="B1710" s="3" t="s">
        <v>793</v>
      </c>
      <c r="C1710" t="str">
        <f t="shared" si="31"/>
        <v>TaiwanFOX SPORTS</v>
      </c>
      <c r="D1710" s="1">
        <v>5115000</v>
      </c>
      <c r="E1710" t="s">
        <v>149</v>
      </c>
      <c r="F1710" t="s">
        <v>983</v>
      </c>
    </row>
    <row r="1711" spans="1:6" hidden="1" x14ac:dyDescent="0.25">
      <c r="A1711" s="58" t="s">
        <v>114</v>
      </c>
      <c r="B1711" s="3" t="s">
        <v>225</v>
      </c>
      <c r="C1711" t="str">
        <f t="shared" si="31"/>
        <v>TaiwanFOX Sports 2</v>
      </c>
      <c r="D1711" s="1">
        <v>5115000</v>
      </c>
      <c r="E1711" t="s">
        <v>149</v>
      </c>
    </row>
    <row r="1712" spans="1:6" hidden="1" x14ac:dyDescent="0.25">
      <c r="A1712" s="58" t="s">
        <v>114</v>
      </c>
      <c r="B1712" s="3" t="s">
        <v>197</v>
      </c>
      <c r="C1712" t="str">
        <f t="shared" si="31"/>
        <v>TaiwanFox Sports 3</v>
      </c>
      <c r="D1712" s="1">
        <v>5115000</v>
      </c>
      <c r="E1712" t="s">
        <v>149</v>
      </c>
    </row>
    <row r="1713" spans="1:6" hidden="1" x14ac:dyDescent="0.25">
      <c r="A1713" s="58" t="s">
        <v>114</v>
      </c>
      <c r="B1713" s="3" t="s">
        <v>1499</v>
      </c>
      <c r="C1713" t="str">
        <f t="shared" si="31"/>
        <v>TaiwanFOX Sports Taiwan</v>
      </c>
      <c r="D1713" s="1">
        <v>5115000</v>
      </c>
      <c r="E1713" t="s">
        <v>149</v>
      </c>
      <c r="F1713" t="s">
        <v>983</v>
      </c>
    </row>
    <row r="1714" spans="1:6" hidden="1" x14ac:dyDescent="0.25">
      <c r="A1714" s="103" t="s">
        <v>114</v>
      </c>
      <c r="B1714" s="104" t="s">
        <v>1500</v>
      </c>
      <c r="C1714" t="str">
        <f t="shared" si="31"/>
        <v>TaiwanFTV</v>
      </c>
      <c r="D1714" s="1">
        <v>7241278</v>
      </c>
      <c r="E1714" t="s">
        <v>142</v>
      </c>
      <c r="F1714" t="s">
        <v>1498</v>
      </c>
    </row>
    <row r="1715" spans="1:6" hidden="1" x14ac:dyDescent="0.25">
      <c r="A1715" s="129" t="s">
        <v>114</v>
      </c>
      <c r="B1715" s="136" t="s">
        <v>1501</v>
      </c>
      <c r="C1715" t="str">
        <f t="shared" si="31"/>
        <v>TaiwanSino Catch Inc</v>
      </c>
      <c r="D1715" s="1">
        <v>1334000</v>
      </c>
      <c r="E1715" t="s">
        <v>149</v>
      </c>
      <c r="F1715" t="s">
        <v>1489</v>
      </c>
    </row>
    <row r="1716" spans="1:6" hidden="1" x14ac:dyDescent="0.25">
      <c r="A1716" s="58" t="s">
        <v>114</v>
      </c>
      <c r="B1716" s="3" t="s">
        <v>1502</v>
      </c>
      <c r="C1716" t="str">
        <f t="shared" si="31"/>
        <v>TaiwanSportCast</v>
      </c>
      <c r="D1716" s="1">
        <v>1334000</v>
      </c>
      <c r="E1716" t="s">
        <v>149</v>
      </c>
      <c r="F1716" t="s">
        <v>1489</v>
      </c>
    </row>
    <row r="1717" spans="1:6" hidden="1" x14ac:dyDescent="0.25">
      <c r="A1717" s="58" t="s">
        <v>1503</v>
      </c>
      <c r="B1717" s="3" t="s">
        <v>1504</v>
      </c>
      <c r="C1717" t="str">
        <f t="shared" si="31"/>
        <v>TanzaniaITV</v>
      </c>
      <c r="D1717" s="1">
        <v>3155600</v>
      </c>
      <c r="E1717" t="s">
        <v>142</v>
      </c>
      <c r="F1717" t="s">
        <v>1033</v>
      </c>
    </row>
    <row r="1718" spans="1:6" hidden="1" x14ac:dyDescent="0.25">
      <c r="A1718" s="58" t="s">
        <v>116</v>
      </c>
      <c r="B1718" s="134" t="s">
        <v>455</v>
      </c>
      <c r="C1718" t="str">
        <f t="shared" si="31"/>
        <v>ThailandbeIN Sports</v>
      </c>
      <c r="D1718" s="1">
        <v>1716000</v>
      </c>
      <c r="E1718" t="s">
        <v>149</v>
      </c>
      <c r="F1718" t="s">
        <v>1505</v>
      </c>
    </row>
    <row r="1719" spans="1:6" hidden="1" x14ac:dyDescent="0.25">
      <c r="A1719" s="58" t="s">
        <v>116</v>
      </c>
      <c r="B1719" s="3" t="s">
        <v>1506</v>
      </c>
      <c r="C1719" t="str">
        <f t="shared" si="31"/>
        <v>ThailandChannel 3</v>
      </c>
      <c r="E1719" t="s">
        <v>142</v>
      </c>
    </row>
    <row r="1720" spans="1:6" hidden="1" x14ac:dyDescent="0.25">
      <c r="A1720" s="58" t="s">
        <v>116</v>
      </c>
      <c r="B1720" s="3" t="s">
        <v>477</v>
      </c>
      <c r="C1720" t="str">
        <f t="shared" si="31"/>
        <v>ThailandGolf Channel</v>
      </c>
      <c r="D1720" s="1">
        <v>1716000</v>
      </c>
      <c r="E1720" t="s">
        <v>149</v>
      </c>
      <c r="F1720" t="s">
        <v>1505</v>
      </c>
    </row>
    <row r="1721" spans="1:6" hidden="1" x14ac:dyDescent="0.25">
      <c r="A1721" s="58" t="s">
        <v>116</v>
      </c>
      <c r="B1721" s="3" t="s">
        <v>886</v>
      </c>
      <c r="C1721" t="str">
        <f t="shared" si="31"/>
        <v>ThailandGolf Channel HD</v>
      </c>
      <c r="D1721" s="1">
        <v>1716000</v>
      </c>
      <c r="E1721" t="s">
        <v>149</v>
      </c>
      <c r="F1721" t="s">
        <v>1505</v>
      </c>
    </row>
    <row r="1722" spans="1:6" hidden="1" x14ac:dyDescent="0.25">
      <c r="A1722" s="58" t="s">
        <v>116</v>
      </c>
      <c r="B1722" s="3" t="s">
        <v>1507</v>
      </c>
      <c r="C1722" t="str">
        <f t="shared" si="31"/>
        <v>ThailandGolf Channel Thailand</v>
      </c>
      <c r="D1722" s="1">
        <v>1716000</v>
      </c>
      <c r="E1722" t="s">
        <v>149</v>
      </c>
    </row>
    <row r="1723" spans="1:6" hidden="1" x14ac:dyDescent="0.25">
      <c r="A1723" s="58" t="s">
        <v>116</v>
      </c>
      <c r="B1723" s="3" t="s">
        <v>1508</v>
      </c>
      <c r="C1723" t="str">
        <f t="shared" si="31"/>
        <v>ThailandMCOT HD</v>
      </c>
      <c r="E1723" t="s">
        <v>142</v>
      </c>
    </row>
    <row r="1724" spans="1:6" hidden="1" x14ac:dyDescent="0.25">
      <c r="A1724" s="228" t="s">
        <v>116</v>
      </c>
      <c r="B1724" s="164" t="s">
        <v>1509</v>
      </c>
      <c r="C1724" s="162" t="str">
        <f t="shared" si="31"/>
        <v>ThailandPPTV</v>
      </c>
      <c r="D1724" s="1">
        <v>20000000</v>
      </c>
      <c r="E1724" t="s">
        <v>142</v>
      </c>
      <c r="F1724" s="162"/>
    </row>
    <row r="1725" spans="1:6" hidden="1" x14ac:dyDescent="0.25">
      <c r="A1725" s="3" t="s">
        <v>116</v>
      </c>
      <c r="B1725" s="3" t="s">
        <v>1510</v>
      </c>
      <c r="C1725" t="str">
        <f t="shared" si="31"/>
        <v>ThailandTrue Sport 3</v>
      </c>
      <c r="D1725" s="1">
        <v>1716000</v>
      </c>
      <c r="E1725" t="s">
        <v>149</v>
      </c>
      <c r="F1725" t="s">
        <v>1505</v>
      </c>
    </row>
    <row r="1726" spans="1:6" hidden="1" x14ac:dyDescent="0.25">
      <c r="A1726" s="3" t="s">
        <v>116</v>
      </c>
      <c r="B1726" s="3" t="s">
        <v>1511</v>
      </c>
      <c r="C1726" t="str">
        <f t="shared" si="31"/>
        <v>ThailandTrue Sport 4</v>
      </c>
      <c r="D1726" s="1">
        <v>1716000</v>
      </c>
      <c r="E1726" t="s">
        <v>149</v>
      </c>
      <c r="F1726" t="s">
        <v>1505</v>
      </c>
    </row>
    <row r="1727" spans="1:6" hidden="1" x14ac:dyDescent="0.25">
      <c r="A1727" s="58" t="s">
        <v>116</v>
      </c>
      <c r="B1727" s="3" t="s">
        <v>1512</v>
      </c>
      <c r="C1727" t="str">
        <f t="shared" si="31"/>
        <v>ThailandTrue Tennis HD</v>
      </c>
      <c r="D1727" s="1">
        <v>1716000</v>
      </c>
      <c r="E1727" t="s">
        <v>149</v>
      </c>
      <c r="F1727" t="s">
        <v>1505</v>
      </c>
    </row>
    <row r="1728" spans="1:6" hidden="1" x14ac:dyDescent="0.25">
      <c r="A1728" s="104" t="s">
        <v>116</v>
      </c>
      <c r="B1728" s="104" t="s">
        <v>1513</v>
      </c>
      <c r="C1728" t="str">
        <f t="shared" si="31"/>
        <v>ThailandTrue Visions</v>
      </c>
      <c r="D1728" s="1">
        <v>1716000</v>
      </c>
      <c r="E1728" t="s">
        <v>149</v>
      </c>
      <c r="F1728" t="s">
        <v>1505</v>
      </c>
    </row>
    <row r="1729" spans="1:6" hidden="1" x14ac:dyDescent="0.25">
      <c r="A1729" s="58" t="s">
        <v>116</v>
      </c>
      <c r="B1729" s="3" t="s">
        <v>1514</v>
      </c>
      <c r="C1729" t="str">
        <f t="shared" si="31"/>
        <v>ThailandTruesport</v>
      </c>
      <c r="D1729" s="1">
        <v>1716000</v>
      </c>
      <c r="E1729" t="s">
        <v>149</v>
      </c>
      <c r="F1729" t="s">
        <v>1505</v>
      </c>
    </row>
    <row r="1730" spans="1:6" hidden="1" x14ac:dyDescent="0.25">
      <c r="A1730" s="58" t="s">
        <v>116</v>
      </c>
      <c r="B1730" s="3" t="s">
        <v>1515</v>
      </c>
      <c r="C1730" t="str">
        <f t="shared" si="31"/>
        <v>ThailandTrueVisions</v>
      </c>
      <c r="D1730" s="1">
        <v>1716000</v>
      </c>
      <c r="E1730" t="s">
        <v>149</v>
      </c>
      <c r="F1730" t="s">
        <v>1505</v>
      </c>
    </row>
    <row r="1731" spans="1:6" hidden="1" x14ac:dyDescent="0.25">
      <c r="A1731" s="58" t="s">
        <v>1516</v>
      </c>
      <c r="B1731" s="3" t="s">
        <v>1517</v>
      </c>
      <c r="C1731" t="str">
        <f t="shared" si="31"/>
        <v>TongaTBC</v>
      </c>
      <c r="D1731" s="1">
        <v>5500</v>
      </c>
      <c r="E1731" t="s">
        <v>142</v>
      </c>
      <c r="F1731" t="s">
        <v>986</v>
      </c>
    </row>
    <row r="1732" spans="1:6" hidden="1" x14ac:dyDescent="0.25">
      <c r="A1732" s="129" t="s">
        <v>1518</v>
      </c>
      <c r="B1732" s="137" t="s">
        <v>667</v>
      </c>
      <c r="C1732" t="str">
        <f t="shared" si="31"/>
        <v>Trinidad and TobagoTV6</v>
      </c>
      <c r="D1732" s="57">
        <v>371280.2</v>
      </c>
      <c r="E1732" t="s">
        <v>142</v>
      </c>
      <c r="F1732" t="s">
        <v>1519</v>
      </c>
    </row>
    <row r="1733" spans="1:6" hidden="1" x14ac:dyDescent="0.25">
      <c r="A1733" s="58" t="s">
        <v>1520</v>
      </c>
      <c r="B1733" s="3" t="s">
        <v>1521</v>
      </c>
      <c r="C1733" t="str">
        <f t="shared" si="31"/>
        <v>TurkeyBeIN Sports 3</v>
      </c>
      <c r="D1733" s="1">
        <v>2929000</v>
      </c>
      <c r="E1733" t="s">
        <v>149</v>
      </c>
      <c r="F1733" s="118" t="s">
        <v>1522</v>
      </c>
    </row>
    <row r="1734" spans="1:6" hidden="1" x14ac:dyDescent="0.25">
      <c r="A1734" s="222" t="s">
        <v>1520</v>
      </c>
      <c r="B1734" s="177" t="s">
        <v>161</v>
      </c>
      <c r="C1734" s="175" t="str">
        <f t="shared" si="31"/>
        <v>TurkeyDMAX</v>
      </c>
      <c r="D1734" s="176">
        <v>853000</v>
      </c>
      <c r="E1734" s="175" t="s">
        <v>142</v>
      </c>
      <c r="F1734" s="175"/>
    </row>
    <row r="1735" spans="1:6" hidden="1" x14ac:dyDescent="0.25">
      <c r="A1735" s="220" t="s">
        <v>1520</v>
      </c>
      <c r="B1735" s="145" t="s">
        <v>268</v>
      </c>
      <c r="C1735" s="11" t="str">
        <f t="shared" si="31"/>
        <v>TurkeyEurosport 1</v>
      </c>
      <c r="D1735" s="1">
        <v>2473000</v>
      </c>
      <c r="E1735" t="s">
        <v>149</v>
      </c>
      <c r="F1735" s="11"/>
    </row>
    <row r="1736" spans="1:6" hidden="1" x14ac:dyDescent="0.25">
      <c r="A1736" s="58" t="s">
        <v>1520</v>
      </c>
      <c r="B1736" s="3" t="s">
        <v>269</v>
      </c>
      <c r="C1736" t="str">
        <f t="shared" si="31"/>
        <v>TurkeyEurosport 2</v>
      </c>
      <c r="D1736" s="1">
        <v>1703000</v>
      </c>
      <c r="E1736" t="s">
        <v>149</v>
      </c>
    </row>
    <row r="1737" spans="1:6" hidden="1" x14ac:dyDescent="0.25">
      <c r="A1737" s="103" t="s">
        <v>1520</v>
      </c>
      <c r="B1737" s="104" t="s">
        <v>312</v>
      </c>
      <c r="C1737" t="str">
        <f t="shared" si="31"/>
        <v>TurkeyLig TV 4</v>
      </c>
      <c r="D1737" s="1">
        <v>2929000</v>
      </c>
      <c r="E1737" t="s">
        <v>149</v>
      </c>
      <c r="F1737" t="s">
        <v>1523</v>
      </c>
    </row>
    <row r="1738" spans="1:6" hidden="1" x14ac:dyDescent="0.25">
      <c r="A1738" s="13" t="s">
        <v>1520</v>
      </c>
      <c r="B1738" t="s">
        <v>1524</v>
      </c>
      <c r="C1738" t="str">
        <f t="shared" si="31"/>
        <v>TurkeyNTV Spor</v>
      </c>
      <c r="D1738" s="1">
        <v>6111000</v>
      </c>
      <c r="E1738" t="s">
        <v>149</v>
      </c>
      <c r="F1738" t="s">
        <v>1525</v>
      </c>
    </row>
    <row r="1739" spans="1:6" hidden="1" x14ac:dyDescent="0.25">
      <c r="A1739" s="13" t="s">
        <v>1520</v>
      </c>
      <c r="B1739" t="s">
        <v>1526</v>
      </c>
      <c r="C1739" t="str">
        <f t="shared" si="31"/>
        <v>TurkeyS Sport</v>
      </c>
      <c r="D1739">
        <v>5615000</v>
      </c>
      <c r="E1739" t="s">
        <v>149</v>
      </c>
      <c r="F1739" t="s">
        <v>1527</v>
      </c>
    </row>
    <row r="1740" spans="1:6" hidden="1" x14ac:dyDescent="0.25">
      <c r="A1740" s="13" t="s">
        <v>1520</v>
      </c>
      <c r="B1740" t="s">
        <v>1528</v>
      </c>
      <c r="C1740" t="str">
        <f t="shared" si="31"/>
        <v>TurkeyS Sport 1</v>
      </c>
      <c r="D1740">
        <v>5615000</v>
      </c>
      <c r="E1740" t="s">
        <v>149</v>
      </c>
    </row>
    <row r="1741" spans="1:6" hidden="1" x14ac:dyDescent="0.25">
      <c r="A1741" s="230" t="s">
        <v>1520</v>
      </c>
      <c r="B1741" s="157" t="s">
        <v>1529</v>
      </c>
      <c r="C1741" s="155" t="str">
        <f t="shared" si="31"/>
        <v>TurkeyS Sport 2</v>
      </c>
      <c r="D1741" s="156">
        <v>5615000</v>
      </c>
      <c r="E1741" s="155" t="s">
        <v>149</v>
      </c>
      <c r="F1741" s="155"/>
    </row>
    <row r="1742" spans="1:6" hidden="1" x14ac:dyDescent="0.25">
      <c r="A1742" s="58" t="s">
        <v>1520</v>
      </c>
      <c r="B1742" s="3" t="s">
        <v>1530</v>
      </c>
      <c r="C1742" t="str">
        <f t="shared" si="31"/>
        <v>TurkeySaran</v>
      </c>
      <c r="D1742" s="1">
        <v>6111000</v>
      </c>
      <c r="E1742" t="s">
        <v>149</v>
      </c>
      <c r="F1742" t="s">
        <v>1531</v>
      </c>
    </row>
    <row r="1743" spans="1:6" hidden="1" x14ac:dyDescent="0.25">
      <c r="A1743" s="3" t="s">
        <v>1520</v>
      </c>
      <c r="B1743" s="3" t="s">
        <v>1532</v>
      </c>
      <c r="C1743" t="str">
        <f t="shared" si="31"/>
        <v>TurkeyTaraftar 204</v>
      </c>
      <c r="D1743" s="1">
        <v>2929000</v>
      </c>
      <c r="E1743" t="s">
        <v>149</v>
      </c>
      <c r="F1743" t="s">
        <v>1523</v>
      </c>
    </row>
    <row r="1744" spans="1:6" hidden="1" x14ac:dyDescent="0.25">
      <c r="A1744" s="58" t="s">
        <v>1520</v>
      </c>
      <c r="B1744" s="3" t="s">
        <v>1533</v>
      </c>
      <c r="C1744" t="str">
        <f t="shared" si="31"/>
        <v>TurkeyTaraftar 205</v>
      </c>
      <c r="D1744" s="1">
        <v>2929000</v>
      </c>
      <c r="E1744" t="s">
        <v>149</v>
      </c>
      <c r="F1744" t="s">
        <v>1523</v>
      </c>
    </row>
    <row r="1745" spans="1:6" hidden="1" x14ac:dyDescent="0.25">
      <c r="A1745" s="58" t="s">
        <v>1520</v>
      </c>
      <c r="B1745" s="3" t="s">
        <v>1534</v>
      </c>
      <c r="C1745" t="str">
        <f t="shared" si="31"/>
        <v>TurkeyTivibu Spor</v>
      </c>
      <c r="D1745" s="1">
        <v>853000</v>
      </c>
      <c r="E1745" t="s">
        <v>149</v>
      </c>
      <c r="F1745" t="s">
        <v>1535</v>
      </c>
    </row>
    <row r="1746" spans="1:6" hidden="1" x14ac:dyDescent="0.25">
      <c r="A1746" s="58" t="s">
        <v>1520</v>
      </c>
      <c r="B1746" s="3" t="s">
        <v>1536</v>
      </c>
      <c r="C1746" t="str">
        <f t="shared" si="31"/>
        <v>TurkeyTivibu Spor 4</v>
      </c>
      <c r="D1746" s="1">
        <v>853000</v>
      </c>
      <c r="E1746" t="s">
        <v>149</v>
      </c>
    </row>
    <row r="1747" spans="1:6" hidden="1" x14ac:dyDescent="0.25">
      <c r="A1747" s="58" t="s">
        <v>1520</v>
      </c>
      <c r="B1747" s="3" t="s">
        <v>1537</v>
      </c>
      <c r="C1747" t="str">
        <f t="shared" si="31"/>
        <v>TurkeyTRT 2</v>
      </c>
      <c r="D1747" s="1">
        <v>18970185.600000001</v>
      </c>
      <c r="E1747" t="s">
        <v>142</v>
      </c>
    </row>
    <row r="1748" spans="1:6" hidden="1" x14ac:dyDescent="0.25">
      <c r="A1748" s="58" t="s">
        <v>1520</v>
      </c>
      <c r="B1748" s="3" t="s">
        <v>1538</v>
      </c>
      <c r="C1748" t="str">
        <f t="shared" si="31"/>
        <v>TurkeyTRT HABER</v>
      </c>
      <c r="D1748" s="1">
        <v>18970185.600000001</v>
      </c>
      <c r="E1748" t="s">
        <v>142</v>
      </c>
      <c r="F1748" t="s">
        <v>1539</v>
      </c>
    </row>
    <row r="1749" spans="1:6" hidden="1" x14ac:dyDescent="0.25">
      <c r="A1749" s="230" t="s">
        <v>1520</v>
      </c>
      <c r="B1749" s="157" t="s">
        <v>1540</v>
      </c>
      <c r="C1749" s="155" t="str">
        <f t="shared" si="31"/>
        <v>TurkeyTRT SPOR</v>
      </c>
      <c r="D1749" s="156">
        <v>5615000</v>
      </c>
      <c r="E1749" s="155" t="s">
        <v>149</v>
      </c>
      <c r="F1749" s="155"/>
    </row>
    <row r="1750" spans="1:6" hidden="1" x14ac:dyDescent="0.25">
      <c r="A1750" s="230" t="s">
        <v>1520</v>
      </c>
      <c r="B1750" s="157" t="s">
        <v>1541</v>
      </c>
      <c r="C1750" s="155" t="str">
        <f t="shared" si="31"/>
        <v>TurkeyTRT Spor Yildiz</v>
      </c>
      <c r="D1750" s="156">
        <v>18970185.600000001</v>
      </c>
      <c r="E1750" s="155" t="s">
        <v>142</v>
      </c>
      <c r="F1750" s="155"/>
    </row>
    <row r="1751" spans="1:6" hidden="1" x14ac:dyDescent="0.25">
      <c r="A1751" s="58" t="s">
        <v>119</v>
      </c>
      <c r="B1751" s="3" t="s">
        <v>1542</v>
      </c>
      <c r="C1751" t="str">
        <f t="shared" si="31"/>
        <v>UkraineFirst Automotive Channel</v>
      </c>
      <c r="D1751">
        <v>2766305</v>
      </c>
      <c r="E1751" t="s">
        <v>149</v>
      </c>
      <c r="F1751" t="s">
        <v>1543</v>
      </c>
    </row>
    <row r="1752" spans="1:6" hidden="1" x14ac:dyDescent="0.25">
      <c r="A1752" s="58" t="s">
        <v>119</v>
      </c>
      <c r="B1752" s="3" t="s">
        <v>304</v>
      </c>
      <c r="C1752" t="str">
        <f t="shared" si="31"/>
        <v>UkraineSport 1</v>
      </c>
      <c r="D1752" s="1">
        <v>2766000</v>
      </c>
      <c r="E1752" t="s">
        <v>149</v>
      </c>
      <c r="F1752" s="118" t="s">
        <v>1544</v>
      </c>
    </row>
    <row r="1753" spans="1:6" hidden="1" x14ac:dyDescent="0.25">
      <c r="A1753" s="223" t="s">
        <v>120</v>
      </c>
      <c r="B1753" s="144" t="s">
        <v>1073</v>
      </c>
      <c r="C1753" s="11" t="str">
        <f t="shared" si="31"/>
        <v>United Arab EmiratesBeIN Sports</v>
      </c>
      <c r="D1753" s="148">
        <v>38473.353847070059</v>
      </c>
      <c r="E1753" t="s">
        <v>149</v>
      </c>
      <c r="F1753" s="11"/>
    </row>
    <row r="1754" spans="1:6" hidden="1" x14ac:dyDescent="0.25">
      <c r="A1754" s="228" t="s">
        <v>120</v>
      </c>
      <c r="B1754" s="164" t="s">
        <v>1264</v>
      </c>
      <c r="C1754" s="162" t="str">
        <f t="shared" si="31"/>
        <v>United Arab EmiratesBeIN Sports 1 HD</v>
      </c>
      <c r="D1754" s="148">
        <v>38473.353847070059</v>
      </c>
      <c r="E1754" t="s">
        <v>149</v>
      </c>
      <c r="F1754" s="162"/>
    </row>
    <row r="1755" spans="1:6" hidden="1" x14ac:dyDescent="0.25">
      <c r="A1755" s="223" t="s">
        <v>120</v>
      </c>
      <c r="B1755" s="144" t="s">
        <v>1545</v>
      </c>
      <c r="C1755" s="11" t="str">
        <f t="shared" si="31"/>
        <v>United Arab EmiratesBEIN SPORTS 11 HD EN</v>
      </c>
      <c r="D1755" s="148">
        <v>38473.353847070059</v>
      </c>
      <c r="E1755" t="s">
        <v>149</v>
      </c>
      <c r="F1755" s="11"/>
    </row>
    <row r="1756" spans="1:6" hidden="1" x14ac:dyDescent="0.25">
      <c r="A1756" s="229" t="s">
        <v>120</v>
      </c>
      <c r="B1756" s="161" t="s">
        <v>1280</v>
      </c>
      <c r="C1756" s="162" t="str">
        <f t="shared" si="31"/>
        <v>United Arab EmiratesbeIN Sports 5 HD</v>
      </c>
      <c r="D1756" s="148">
        <v>38473.353847070059</v>
      </c>
      <c r="E1756" t="s">
        <v>149</v>
      </c>
      <c r="F1756" s="162"/>
    </row>
    <row r="1757" spans="1:6" hidden="1" x14ac:dyDescent="0.25">
      <c r="A1757" s="220" t="s">
        <v>120</v>
      </c>
      <c r="B1757" s="145" t="s">
        <v>1546</v>
      </c>
      <c r="C1757" s="11" t="str">
        <f t="shared" si="31"/>
        <v>United Arab EmiratesbeIN Sports 6 HD</v>
      </c>
      <c r="D1757" s="148">
        <v>38473.353847070059</v>
      </c>
      <c r="E1757" t="s">
        <v>149</v>
      </c>
      <c r="F1757" s="11"/>
    </row>
    <row r="1758" spans="1:6" hidden="1" x14ac:dyDescent="0.25">
      <c r="A1758" s="228" t="s">
        <v>120</v>
      </c>
      <c r="B1758" s="164" t="s">
        <v>1547</v>
      </c>
      <c r="C1758" s="162" t="str">
        <f t="shared" si="31"/>
        <v>United Arab EmiratesbeIN Sports 7 HD</v>
      </c>
      <c r="D1758" s="148">
        <v>38473.353847070059</v>
      </c>
      <c r="E1758" t="s">
        <v>149</v>
      </c>
      <c r="F1758" s="162"/>
    </row>
    <row r="1759" spans="1:6" hidden="1" x14ac:dyDescent="0.25">
      <c r="A1759" s="229" t="s">
        <v>120</v>
      </c>
      <c r="B1759" s="161" t="s">
        <v>1548</v>
      </c>
      <c r="C1759" s="162" t="str">
        <f t="shared" si="31"/>
        <v>United Arab EmiratesbeIN Sports News HD</v>
      </c>
      <c r="D1759" s="148">
        <v>38473.353847070059</v>
      </c>
      <c r="E1759" t="s">
        <v>149</v>
      </c>
      <c r="F1759" s="162"/>
    </row>
    <row r="1760" spans="1:6" hidden="1" x14ac:dyDescent="0.25">
      <c r="A1760" s="232" t="s">
        <v>120</v>
      </c>
      <c r="B1760" s="149" t="s">
        <v>1549</v>
      </c>
      <c r="C1760" s="150" t="str">
        <f t="shared" si="31"/>
        <v>United Arab EmiratesDubai Sports 2</v>
      </c>
      <c r="D1760" s="1">
        <v>967000</v>
      </c>
      <c r="E1760" t="s">
        <v>142</v>
      </c>
      <c r="F1760" s="150"/>
    </row>
    <row r="1761" spans="1:6" hidden="1" x14ac:dyDescent="0.25">
      <c r="A1761" s="58" t="s">
        <v>120</v>
      </c>
      <c r="B1761" s="134" t="s">
        <v>1295</v>
      </c>
      <c r="C1761" t="str">
        <f t="shared" si="31"/>
        <v>United Arab EmiratesDubai Sports Channel</v>
      </c>
      <c r="D1761" s="1">
        <v>967000</v>
      </c>
      <c r="E1761" t="s">
        <v>142</v>
      </c>
    </row>
    <row r="1762" spans="1:6" hidden="1" x14ac:dyDescent="0.25">
      <c r="A1762" s="58" t="s">
        <v>120</v>
      </c>
      <c r="B1762" s="3" t="s">
        <v>1296</v>
      </c>
      <c r="C1762" t="str">
        <f t="shared" ref="C1762:C1825" si="32">CONCATENATE(A1762,B1762)</f>
        <v>United Arab EmiratesMBC ACTION</v>
      </c>
      <c r="D1762" s="1">
        <v>1045714</v>
      </c>
      <c r="E1762" t="s">
        <v>142</v>
      </c>
    </row>
    <row r="1763" spans="1:6" hidden="1" x14ac:dyDescent="0.25">
      <c r="A1763" s="58" t="s">
        <v>120</v>
      </c>
      <c r="B1763" s="3" t="s">
        <v>1301</v>
      </c>
      <c r="C1763" t="str">
        <f t="shared" si="32"/>
        <v>United Arab EmiratesYAS Sport</v>
      </c>
      <c r="D1763" s="1">
        <v>340230</v>
      </c>
      <c r="E1763" t="s">
        <v>149</v>
      </c>
    </row>
    <row r="1764" spans="1:6" x14ac:dyDescent="0.25">
      <c r="A1764" s="223" t="s">
        <v>121</v>
      </c>
      <c r="B1764" s="144" t="s">
        <v>898</v>
      </c>
      <c r="C1764" s="11" t="str">
        <f t="shared" si="32"/>
        <v>United KingdomBBC 1</v>
      </c>
      <c r="D1764" s="1">
        <v>26200000</v>
      </c>
      <c r="E1764" t="s">
        <v>142</v>
      </c>
      <c r="F1764" s="11"/>
    </row>
    <row r="1765" spans="1:6" x14ac:dyDescent="0.25">
      <c r="A1765" s="58" t="s">
        <v>121</v>
      </c>
      <c r="B1765" s="134" t="s">
        <v>899</v>
      </c>
      <c r="C1765" t="str">
        <f t="shared" si="32"/>
        <v>United KingdomBBC 2</v>
      </c>
      <c r="D1765" s="1">
        <v>26200000</v>
      </c>
      <c r="E1765" t="s">
        <v>142</v>
      </c>
      <c r="F1765" t="s">
        <v>1550</v>
      </c>
    </row>
    <row r="1766" spans="1:6" x14ac:dyDescent="0.25">
      <c r="A1766" s="58" t="s">
        <v>121</v>
      </c>
      <c r="B1766" s="134" t="s">
        <v>1551</v>
      </c>
      <c r="C1766" t="str">
        <f t="shared" si="32"/>
        <v>United KingdomBBC Red Button</v>
      </c>
      <c r="D1766" s="1">
        <v>26200000</v>
      </c>
      <c r="E1766" t="s">
        <v>142</v>
      </c>
      <c r="F1766" t="s">
        <v>1550</v>
      </c>
    </row>
    <row r="1767" spans="1:6" x14ac:dyDescent="0.25">
      <c r="A1767" s="220" t="s">
        <v>121</v>
      </c>
      <c r="B1767" s="145" t="s">
        <v>1552</v>
      </c>
      <c r="C1767" s="11" t="str">
        <f t="shared" si="32"/>
        <v>United KingdomBBC Scotland</v>
      </c>
      <c r="D1767" s="1">
        <v>26200000</v>
      </c>
      <c r="E1767" t="s">
        <v>142</v>
      </c>
      <c r="F1767" s="11"/>
    </row>
    <row r="1768" spans="1:6" x14ac:dyDescent="0.25">
      <c r="A1768" s="58" t="s">
        <v>121</v>
      </c>
      <c r="B1768" s="130" t="s">
        <v>900</v>
      </c>
      <c r="C1768" t="str">
        <f t="shared" si="32"/>
        <v>United KingdomBBC1</v>
      </c>
      <c r="D1768" s="1">
        <v>26200000</v>
      </c>
      <c r="E1768" t="s">
        <v>142</v>
      </c>
      <c r="F1768" t="s">
        <v>1550</v>
      </c>
    </row>
    <row r="1769" spans="1:6" x14ac:dyDescent="0.25">
      <c r="A1769" s="129" t="s">
        <v>121</v>
      </c>
      <c r="B1769" s="3" t="s">
        <v>902</v>
      </c>
      <c r="C1769" t="str">
        <f t="shared" si="32"/>
        <v>United KingdomBBC2</v>
      </c>
      <c r="D1769" s="1">
        <v>26200000</v>
      </c>
      <c r="E1769" t="s">
        <v>142</v>
      </c>
      <c r="F1769" t="s">
        <v>1550</v>
      </c>
    </row>
    <row r="1770" spans="1:6" x14ac:dyDescent="0.25">
      <c r="A1770" s="58" t="s">
        <v>121</v>
      </c>
      <c r="B1770" s="3" t="s">
        <v>1553</v>
      </c>
      <c r="C1770" t="str">
        <f t="shared" si="32"/>
        <v>United KingdomBBC4</v>
      </c>
      <c r="D1770" s="1">
        <v>19440400</v>
      </c>
      <c r="E1770" t="s">
        <v>142</v>
      </c>
      <c r="F1770" t="s">
        <v>1550</v>
      </c>
    </row>
    <row r="1771" spans="1:6" x14ac:dyDescent="0.25">
      <c r="A1771" s="58" t="s">
        <v>121</v>
      </c>
      <c r="B1771" s="3" t="s">
        <v>1554</v>
      </c>
      <c r="C1771" t="str">
        <f t="shared" si="32"/>
        <v>United KingdomBT Sport 1</v>
      </c>
      <c r="D1771" s="1">
        <v>1854000</v>
      </c>
      <c r="E1771" t="s">
        <v>149</v>
      </c>
      <c r="F1771" t="s">
        <v>1555</v>
      </c>
    </row>
    <row r="1772" spans="1:6" x14ac:dyDescent="0.25">
      <c r="A1772" s="58" t="s">
        <v>121</v>
      </c>
      <c r="B1772" s="3" t="s">
        <v>1556</v>
      </c>
      <c r="C1772" t="str">
        <f t="shared" si="32"/>
        <v>United KingdomBT Sport 2</v>
      </c>
      <c r="D1772" s="1">
        <v>1854000</v>
      </c>
      <c r="E1772" t="s">
        <v>149</v>
      </c>
      <c r="F1772" t="s">
        <v>1555</v>
      </c>
    </row>
    <row r="1773" spans="1:6" x14ac:dyDescent="0.25">
      <c r="A1773" s="58" t="s">
        <v>121</v>
      </c>
      <c r="B1773" s="3" t="s">
        <v>1557</v>
      </c>
      <c r="C1773" t="str">
        <f t="shared" si="32"/>
        <v>United KingdomBT Sport 3</v>
      </c>
      <c r="D1773" s="1">
        <v>1854000</v>
      </c>
      <c r="E1773" t="s">
        <v>149</v>
      </c>
      <c r="F1773" t="s">
        <v>1555</v>
      </c>
    </row>
    <row r="1774" spans="1:6" x14ac:dyDescent="0.25">
      <c r="A1774" s="129" t="s">
        <v>121</v>
      </c>
      <c r="B1774" s="3" t="s">
        <v>1558</v>
      </c>
      <c r="C1774" t="str">
        <f t="shared" si="32"/>
        <v>United KingdomBT Sport//ESPN</v>
      </c>
      <c r="D1774" s="1">
        <v>1854000</v>
      </c>
      <c r="E1774" t="s">
        <v>149</v>
      </c>
      <c r="F1774" t="s">
        <v>1555</v>
      </c>
    </row>
    <row r="1775" spans="1:6" x14ac:dyDescent="0.25">
      <c r="A1775" s="3" t="s">
        <v>121</v>
      </c>
      <c r="B1775" s="3" t="s">
        <v>1559</v>
      </c>
      <c r="C1775" t="str">
        <f t="shared" si="32"/>
        <v>United KingdomBT Sport/ESPN</v>
      </c>
      <c r="D1775" s="1">
        <v>1854000</v>
      </c>
      <c r="E1775" t="s">
        <v>149</v>
      </c>
      <c r="F1775" t="s">
        <v>1555</v>
      </c>
    </row>
    <row r="1776" spans="1:6" x14ac:dyDescent="0.25">
      <c r="A1776" s="58" t="s">
        <v>121</v>
      </c>
      <c r="B1776" s="189" t="s">
        <v>1560</v>
      </c>
      <c r="C1776" s="184" t="str">
        <f t="shared" si="32"/>
        <v>United KingdomCH4 (Stagger)</v>
      </c>
      <c r="D1776" s="1">
        <v>25754600</v>
      </c>
      <c r="E1776" t="s">
        <v>142</v>
      </c>
    </row>
    <row r="1777" spans="1:6" x14ac:dyDescent="0.25">
      <c r="A1777" s="58" t="s">
        <v>121</v>
      </c>
      <c r="B1777" s="3" t="s">
        <v>904</v>
      </c>
      <c r="C1777" t="str">
        <f t="shared" si="32"/>
        <v>United KingdomChannel 4</v>
      </c>
      <c r="D1777" s="1">
        <v>25754600</v>
      </c>
      <c r="E1777" t="s">
        <v>142</v>
      </c>
      <c r="F1777" t="s">
        <v>1561</v>
      </c>
    </row>
    <row r="1778" spans="1:6" x14ac:dyDescent="0.25">
      <c r="A1778" s="58" t="s">
        <v>121</v>
      </c>
      <c r="B1778" s="3" t="s">
        <v>221</v>
      </c>
      <c r="C1778" t="str">
        <f t="shared" si="32"/>
        <v>United KingdomEurosport</v>
      </c>
      <c r="D1778" s="51">
        <v>11485000</v>
      </c>
      <c r="E1778" s="51" t="s">
        <v>149</v>
      </c>
    </row>
    <row r="1779" spans="1:6" x14ac:dyDescent="0.25">
      <c r="A1779" s="220" t="s">
        <v>121</v>
      </c>
      <c r="B1779" s="145" t="s">
        <v>268</v>
      </c>
      <c r="C1779" s="11" t="str">
        <f t="shared" si="32"/>
        <v>United KingdomEurosport 1</v>
      </c>
      <c r="D1779" s="1">
        <v>11485000</v>
      </c>
      <c r="E1779" t="s">
        <v>149</v>
      </c>
      <c r="F1779" s="11"/>
    </row>
    <row r="1780" spans="1:6" x14ac:dyDescent="0.25">
      <c r="A1780" s="58" t="s">
        <v>121</v>
      </c>
      <c r="B1780" s="3" t="s">
        <v>269</v>
      </c>
      <c r="C1780" t="str">
        <f t="shared" si="32"/>
        <v>United KingdomEurosport 2</v>
      </c>
      <c r="D1780" s="123">
        <v>11412000</v>
      </c>
      <c r="E1780" s="51" t="s">
        <v>149</v>
      </c>
    </row>
    <row r="1781" spans="1:6" x14ac:dyDescent="0.25">
      <c r="A1781" s="58" t="s">
        <v>121</v>
      </c>
      <c r="B1781" s="3" t="s">
        <v>245</v>
      </c>
      <c r="C1781" t="str">
        <f t="shared" si="32"/>
        <v>United KingdomHorse and Country</v>
      </c>
      <c r="D1781" s="51">
        <v>10500000</v>
      </c>
      <c r="E1781" s="51" t="s">
        <v>149</v>
      </c>
    </row>
    <row r="1782" spans="1:6" x14ac:dyDescent="0.25">
      <c r="A1782" s="228" t="s">
        <v>121</v>
      </c>
      <c r="B1782" s="164" t="s">
        <v>1504</v>
      </c>
      <c r="C1782" s="162" t="str">
        <f t="shared" si="32"/>
        <v>United KingdomITV</v>
      </c>
      <c r="D1782" s="1">
        <v>26281530</v>
      </c>
      <c r="E1782" t="s">
        <v>142</v>
      </c>
      <c r="F1782" s="162"/>
    </row>
    <row r="1783" spans="1:6" x14ac:dyDescent="0.25">
      <c r="A1783" s="229" t="s">
        <v>121</v>
      </c>
      <c r="B1783" s="161" t="s">
        <v>1562</v>
      </c>
      <c r="C1783" s="162" t="str">
        <f t="shared" si="32"/>
        <v>United KingdomITV HD</v>
      </c>
      <c r="D1783" s="1">
        <v>26281530</v>
      </c>
      <c r="E1783" t="s">
        <v>142</v>
      </c>
      <c r="F1783" s="162"/>
    </row>
    <row r="1784" spans="1:6" x14ac:dyDescent="0.25">
      <c r="A1784" s="58" t="s">
        <v>121</v>
      </c>
      <c r="B1784" s="3" t="s">
        <v>1563</v>
      </c>
      <c r="C1784" t="str">
        <f t="shared" si="32"/>
        <v>United KingdomITV1</v>
      </c>
      <c r="D1784" s="1">
        <v>26281530</v>
      </c>
      <c r="E1784" t="s">
        <v>142</v>
      </c>
      <c r="F1784" t="s">
        <v>1564</v>
      </c>
    </row>
    <row r="1785" spans="1:6" x14ac:dyDescent="0.25">
      <c r="A1785" s="228" t="s">
        <v>121</v>
      </c>
      <c r="B1785" s="164" t="s">
        <v>1565</v>
      </c>
      <c r="C1785" s="162" t="str">
        <f t="shared" si="32"/>
        <v>United KingdomITV3</v>
      </c>
      <c r="D1785" s="1">
        <v>21582711</v>
      </c>
      <c r="E1785" t="s">
        <v>142</v>
      </c>
      <c r="F1785" s="162"/>
    </row>
    <row r="1786" spans="1:6" x14ac:dyDescent="0.25">
      <c r="A1786" s="58" t="s">
        <v>121</v>
      </c>
      <c r="B1786" s="3" t="s">
        <v>1566</v>
      </c>
      <c r="C1786" t="str">
        <f t="shared" si="32"/>
        <v>United KingdomITV4</v>
      </c>
      <c r="D1786" s="1">
        <v>21582711</v>
      </c>
      <c r="E1786" t="s">
        <v>142</v>
      </c>
      <c r="F1786" t="s">
        <v>1567</v>
      </c>
    </row>
    <row r="1787" spans="1:6" x14ac:dyDescent="0.25">
      <c r="A1787" s="58" t="s">
        <v>121</v>
      </c>
      <c r="B1787" s="3" t="s">
        <v>728</v>
      </c>
      <c r="C1787" t="str">
        <f t="shared" si="32"/>
        <v>United KingdomMotors TV</v>
      </c>
      <c r="D1787" s="1">
        <v>14310000</v>
      </c>
      <c r="E1787" t="s">
        <v>149</v>
      </c>
      <c r="F1787" t="s">
        <v>1568</v>
      </c>
    </row>
    <row r="1788" spans="1:6" x14ac:dyDescent="0.25">
      <c r="A1788" s="58" t="s">
        <v>121</v>
      </c>
      <c r="B1788" s="3" t="s">
        <v>911</v>
      </c>
      <c r="C1788" t="str">
        <f t="shared" si="32"/>
        <v>United KingdomPick</v>
      </c>
      <c r="D1788" s="1">
        <v>17653755</v>
      </c>
      <c r="E1788" t="s">
        <v>142</v>
      </c>
    </row>
    <row r="1789" spans="1:6" x14ac:dyDescent="0.25">
      <c r="A1789" s="58" t="s">
        <v>121</v>
      </c>
      <c r="B1789" s="3" t="s">
        <v>1569</v>
      </c>
      <c r="C1789" t="str">
        <f t="shared" si="32"/>
        <v>United KingdomQuest</v>
      </c>
      <c r="D1789" s="1">
        <v>13700000</v>
      </c>
      <c r="E1789" t="s">
        <v>142</v>
      </c>
      <c r="F1789" t="s">
        <v>639</v>
      </c>
    </row>
    <row r="1790" spans="1:6" x14ac:dyDescent="0.25">
      <c r="A1790" s="104" t="s">
        <v>121</v>
      </c>
      <c r="B1790" s="104" t="s">
        <v>921</v>
      </c>
      <c r="C1790" t="str">
        <f t="shared" si="32"/>
        <v>United KingdomSky 1</v>
      </c>
      <c r="D1790" s="1">
        <v>14310000</v>
      </c>
      <c r="E1790" t="s">
        <v>149</v>
      </c>
      <c r="F1790" t="s">
        <v>1570</v>
      </c>
    </row>
    <row r="1791" spans="1:6" x14ac:dyDescent="0.25">
      <c r="A1791" s="13" t="s">
        <v>121</v>
      </c>
      <c r="B1791" t="s">
        <v>923</v>
      </c>
      <c r="C1791" t="str">
        <f t="shared" si="32"/>
        <v>United KingdomSky Sports 1</v>
      </c>
      <c r="D1791" s="1">
        <v>14310000</v>
      </c>
      <c r="E1791" t="s">
        <v>149</v>
      </c>
      <c r="F1791" t="s">
        <v>1570</v>
      </c>
    </row>
    <row r="1792" spans="1:6" x14ac:dyDescent="0.25">
      <c r="A1792" s="13" t="s">
        <v>121</v>
      </c>
      <c r="B1792" t="s">
        <v>924</v>
      </c>
      <c r="C1792" t="str">
        <f t="shared" si="32"/>
        <v>United KingdomSky Sports 2</v>
      </c>
      <c r="D1792" s="1">
        <v>14310000</v>
      </c>
      <c r="E1792" t="s">
        <v>149</v>
      </c>
      <c r="F1792" t="s">
        <v>1570</v>
      </c>
    </row>
    <row r="1793" spans="1:6" x14ac:dyDescent="0.25">
      <c r="A1793" s="13" t="s">
        <v>121</v>
      </c>
      <c r="B1793" t="s">
        <v>925</v>
      </c>
      <c r="C1793" t="str">
        <f t="shared" si="32"/>
        <v>United KingdomSky Sports 3</v>
      </c>
      <c r="D1793" s="1">
        <v>14310000</v>
      </c>
      <c r="E1793" t="s">
        <v>149</v>
      </c>
      <c r="F1793" t="s">
        <v>1570</v>
      </c>
    </row>
    <row r="1794" spans="1:6" x14ac:dyDescent="0.25">
      <c r="A1794" s="13" t="s">
        <v>121</v>
      </c>
      <c r="B1794" t="s">
        <v>926</v>
      </c>
      <c r="C1794" t="str">
        <f t="shared" si="32"/>
        <v>United KingdomSky Sports 4</v>
      </c>
      <c r="D1794" s="1">
        <v>14310000</v>
      </c>
      <c r="E1794" t="s">
        <v>149</v>
      </c>
      <c r="F1794" t="s">
        <v>1570</v>
      </c>
    </row>
    <row r="1795" spans="1:6" x14ac:dyDescent="0.25">
      <c r="A1795" s="13" t="s">
        <v>121</v>
      </c>
      <c r="B1795" t="s">
        <v>927</v>
      </c>
      <c r="C1795" t="str">
        <f t="shared" si="32"/>
        <v>United KingdomSky Sports 5</v>
      </c>
      <c r="D1795" s="1">
        <v>14310000</v>
      </c>
      <c r="E1795" t="s">
        <v>149</v>
      </c>
      <c r="F1795" t="s">
        <v>1570</v>
      </c>
    </row>
    <row r="1796" spans="1:6" x14ac:dyDescent="0.25">
      <c r="A1796" t="s">
        <v>121</v>
      </c>
      <c r="B1796" t="s">
        <v>1571</v>
      </c>
      <c r="C1796" t="str">
        <f t="shared" si="32"/>
        <v>United KingdomSky Sports Action</v>
      </c>
      <c r="D1796" s="1">
        <v>14310000</v>
      </c>
      <c r="E1796" t="s">
        <v>149</v>
      </c>
      <c r="F1796" t="s">
        <v>1570</v>
      </c>
    </row>
    <row r="1797" spans="1:6" x14ac:dyDescent="0.25">
      <c r="A1797" t="s">
        <v>121</v>
      </c>
      <c r="B1797" t="s">
        <v>928</v>
      </c>
      <c r="C1797" t="str">
        <f t="shared" si="32"/>
        <v>United KingdomSky Sports Arena</v>
      </c>
      <c r="D1797" s="1">
        <v>14310000</v>
      </c>
      <c r="E1797" t="s">
        <v>149</v>
      </c>
      <c r="F1797" t="s">
        <v>1570</v>
      </c>
    </row>
    <row r="1798" spans="1:6" x14ac:dyDescent="0.25">
      <c r="A1798" s="13" t="s">
        <v>121</v>
      </c>
      <c r="B1798" t="s">
        <v>929</v>
      </c>
      <c r="C1798" t="str">
        <f t="shared" si="32"/>
        <v>United KingdomSky Sports F1</v>
      </c>
      <c r="D1798" s="1">
        <v>14310000</v>
      </c>
      <c r="E1798" t="s">
        <v>149</v>
      </c>
      <c r="F1798" t="s">
        <v>1570</v>
      </c>
    </row>
    <row r="1799" spans="1:6" x14ac:dyDescent="0.25">
      <c r="A1799" s="13" t="s">
        <v>121</v>
      </c>
      <c r="B1799" t="s">
        <v>930</v>
      </c>
      <c r="C1799" t="str">
        <f t="shared" si="32"/>
        <v>United KingdomSky Sports Golf</v>
      </c>
      <c r="D1799" s="1">
        <v>14310000</v>
      </c>
      <c r="E1799" t="s">
        <v>149</v>
      </c>
      <c r="F1799" t="s">
        <v>1570</v>
      </c>
    </row>
    <row r="1800" spans="1:6" x14ac:dyDescent="0.25">
      <c r="A1800" t="s">
        <v>121</v>
      </c>
      <c r="B1800" t="s">
        <v>931</v>
      </c>
      <c r="C1800" t="str">
        <f t="shared" si="32"/>
        <v>United KingdomSky Sports Main Event</v>
      </c>
      <c r="D1800" s="1">
        <v>14310000</v>
      </c>
      <c r="E1800" t="s">
        <v>149</v>
      </c>
      <c r="F1800" t="s">
        <v>1570</v>
      </c>
    </row>
    <row r="1801" spans="1:6" x14ac:dyDescent="0.25">
      <c r="A1801" s="13" t="s">
        <v>121</v>
      </c>
      <c r="B1801" t="s">
        <v>932</v>
      </c>
      <c r="C1801" t="str">
        <f t="shared" si="32"/>
        <v>United KingdomSky Sports Mix</v>
      </c>
      <c r="D1801" s="1">
        <v>14310000</v>
      </c>
      <c r="E1801" t="s">
        <v>149</v>
      </c>
      <c r="F1801" t="s">
        <v>1570</v>
      </c>
    </row>
    <row r="1802" spans="1:6" hidden="1" x14ac:dyDescent="0.25">
      <c r="A1802" s="13" t="s">
        <v>122</v>
      </c>
      <c r="B1802" t="s">
        <v>212</v>
      </c>
      <c r="C1802" t="str">
        <f t="shared" si="32"/>
        <v>United StatesABC</v>
      </c>
      <c r="D1802" s="1">
        <v>116400000</v>
      </c>
      <c r="E1802" t="s">
        <v>142</v>
      </c>
      <c r="F1802" t="s">
        <v>1572</v>
      </c>
    </row>
    <row r="1803" spans="1:6" hidden="1" x14ac:dyDescent="0.25">
      <c r="A1803" s="13" t="s">
        <v>122</v>
      </c>
      <c r="B1803" t="s">
        <v>1573</v>
      </c>
      <c r="C1803" t="str">
        <f t="shared" si="32"/>
        <v>United StatesAFN Sports</v>
      </c>
      <c r="E1803" t="s">
        <v>149</v>
      </c>
    </row>
    <row r="1804" spans="1:6" hidden="1" x14ac:dyDescent="0.25">
      <c r="A1804" s="13" t="s">
        <v>122</v>
      </c>
      <c r="B1804" t="s">
        <v>1574</v>
      </c>
      <c r="C1804" t="str">
        <f t="shared" si="32"/>
        <v>United StatesAFN Sports 2</v>
      </c>
      <c r="E1804" t="s">
        <v>149</v>
      </c>
    </row>
    <row r="1805" spans="1:6" hidden="1" x14ac:dyDescent="0.25">
      <c r="A1805" t="s">
        <v>122</v>
      </c>
      <c r="B1805" t="s">
        <v>1073</v>
      </c>
      <c r="C1805" t="str">
        <f t="shared" si="32"/>
        <v>United StatesBeIN Sports</v>
      </c>
      <c r="D1805" s="1">
        <v>14731492</v>
      </c>
      <c r="E1805" t="s">
        <v>149</v>
      </c>
      <c r="F1805" t="s">
        <v>1575</v>
      </c>
    </row>
    <row r="1806" spans="1:6" hidden="1" x14ac:dyDescent="0.25">
      <c r="A1806" t="s">
        <v>122</v>
      </c>
      <c r="B1806" t="s">
        <v>1576</v>
      </c>
      <c r="C1806" t="str">
        <f t="shared" si="32"/>
        <v>United StatesBeIN Sports Espanol</v>
      </c>
      <c r="D1806" s="1">
        <v>14731492</v>
      </c>
      <c r="E1806" t="s">
        <v>149</v>
      </c>
      <c r="F1806" t="s">
        <v>1575</v>
      </c>
    </row>
    <row r="1807" spans="1:6" hidden="1" x14ac:dyDescent="0.25">
      <c r="A1807" s="13" t="s">
        <v>122</v>
      </c>
      <c r="B1807" t="s">
        <v>1577</v>
      </c>
      <c r="C1807" t="str">
        <f t="shared" si="32"/>
        <v>United StatesCBS</v>
      </c>
      <c r="D1807" s="1">
        <v>114848000</v>
      </c>
      <c r="E1807" t="s">
        <v>142</v>
      </c>
    </row>
    <row r="1808" spans="1:6" hidden="1" x14ac:dyDescent="0.25">
      <c r="A1808" s="13" t="s">
        <v>122</v>
      </c>
      <c r="B1808" t="s">
        <v>1213</v>
      </c>
      <c r="C1808" t="str">
        <f t="shared" si="32"/>
        <v>United StatesCNBC</v>
      </c>
      <c r="D1808" s="1">
        <v>94749600</v>
      </c>
      <c r="E1808" t="s">
        <v>149</v>
      </c>
      <c r="F1808" t="s">
        <v>1578</v>
      </c>
    </row>
    <row r="1809" spans="1:6" hidden="1" x14ac:dyDescent="0.25">
      <c r="A1809" s="13" t="s">
        <v>122</v>
      </c>
      <c r="B1809" t="s">
        <v>466</v>
      </c>
      <c r="C1809" t="str">
        <f t="shared" si="32"/>
        <v>United StatesDiscovery Velocity</v>
      </c>
      <c r="D1809" s="1">
        <v>68908800</v>
      </c>
      <c r="E1809" t="s">
        <v>149</v>
      </c>
      <c r="F1809" t="s">
        <v>1579</v>
      </c>
    </row>
    <row r="1810" spans="1:6" hidden="1" x14ac:dyDescent="0.25">
      <c r="A1810" s="13" t="s">
        <v>122</v>
      </c>
      <c r="B1810" s="54" t="s">
        <v>183</v>
      </c>
      <c r="C1810" t="str">
        <f t="shared" si="32"/>
        <v>United StatesESPN</v>
      </c>
      <c r="D1810" s="1">
        <v>93000000</v>
      </c>
      <c r="E1810" t="s">
        <v>149</v>
      </c>
    </row>
    <row r="1811" spans="1:6" hidden="1" x14ac:dyDescent="0.25">
      <c r="A1811" s="13" t="s">
        <v>122</v>
      </c>
      <c r="B1811" t="s">
        <v>185</v>
      </c>
      <c r="C1811" t="str">
        <f t="shared" si="32"/>
        <v>United StatesESPN 2</v>
      </c>
      <c r="D1811" s="1">
        <v>93000000</v>
      </c>
      <c r="E1811" t="s">
        <v>149</v>
      </c>
    </row>
    <row r="1812" spans="1:6" hidden="1" x14ac:dyDescent="0.25">
      <c r="A1812" s="13" t="s">
        <v>122</v>
      </c>
      <c r="B1812" t="s">
        <v>186</v>
      </c>
      <c r="C1812" t="str">
        <f t="shared" si="32"/>
        <v>United StatesESPN 3</v>
      </c>
      <c r="D1812" s="1">
        <v>93000000</v>
      </c>
      <c r="E1812" t="s">
        <v>149</v>
      </c>
    </row>
    <row r="1813" spans="1:6" hidden="1" x14ac:dyDescent="0.25">
      <c r="A1813" s="13" t="s">
        <v>122</v>
      </c>
      <c r="B1813" t="s">
        <v>187</v>
      </c>
      <c r="C1813" t="str">
        <f t="shared" si="32"/>
        <v>United StatesESPN Deportes</v>
      </c>
      <c r="D1813" s="1">
        <v>38400000</v>
      </c>
      <c r="E1813" t="s">
        <v>149</v>
      </c>
      <c r="F1813" t="s">
        <v>1580</v>
      </c>
    </row>
    <row r="1814" spans="1:6" hidden="1" x14ac:dyDescent="0.25">
      <c r="A1814" s="13" t="s">
        <v>122</v>
      </c>
      <c r="B1814" s="40" t="s">
        <v>220</v>
      </c>
      <c r="C1814" t="str">
        <f t="shared" si="32"/>
        <v>United StatesESPN2</v>
      </c>
      <c r="D1814" s="1">
        <v>93000000</v>
      </c>
      <c r="E1814" t="s">
        <v>149</v>
      </c>
    </row>
    <row r="1815" spans="1:6" hidden="1" x14ac:dyDescent="0.25">
      <c r="A1815" s="13" t="s">
        <v>122</v>
      </c>
      <c r="B1815" t="s">
        <v>1581</v>
      </c>
      <c r="C1815" t="str">
        <f t="shared" si="32"/>
        <v>United StatesESPNEWS</v>
      </c>
      <c r="D1815" s="1">
        <v>70167920</v>
      </c>
      <c r="E1815" t="s">
        <v>149</v>
      </c>
      <c r="F1815" t="s">
        <v>1582</v>
      </c>
    </row>
    <row r="1816" spans="1:6" hidden="1" x14ac:dyDescent="0.25">
      <c r="A1816" s="13" t="s">
        <v>122</v>
      </c>
      <c r="B1816" t="s">
        <v>1583</v>
      </c>
      <c r="C1816" t="str">
        <f t="shared" si="32"/>
        <v>United StatesESPNU</v>
      </c>
      <c r="D1816" s="1">
        <v>70167920</v>
      </c>
      <c r="E1816" t="s">
        <v>149</v>
      </c>
      <c r="F1816" t="s">
        <v>1584</v>
      </c>
    </row>
    <row r="1817" spans="1:6" hidden="1" x14ac:dyDescent="0.25">
      <c r="A1817" s="13" t="s">
        <v>122</v>
      </c>
      <c r="B1817" t="s">
        <v>1585</v>
      </c>
      <c r="C1817" t="str">
        <f t="shared" si="32"/>
        <v>United StatesFOX</v>
      </c>
      <c r="D1817" s="1">
        <v>116400000</v>
      </c>
      <c r="E1817" t="s">
        <v>142</v>
      </c>
      <c r="F1817" t="s">
        <v>1572</v>
      </c>
    </row>
    <row r="1818" spans="1:6" hidden="1" x14ac:dyDescent="0.25">
      <c r="A1818" s="13" t="s">
        <v>122</v>
      </c>
      <c r="B1818" t="s">
        <v>1586</v>
      </c>
      <c r="C1818" t="str">
        <f t="shared" si="32"/>
        <v>United StatesFOX DEPORTES</v>
      </c>
      <c r="D1818" s="1">
        <v>21999600</v>
      </c>
      <c r="E1818" t="s">
        <v>149</v>
      </c>
      <c r="F1818" t="s">
        <v>1587</v>
      </c>
    </row>
    <row r="1819" spans="1:6" hidden="1" x14ac:dyDescent="0.25">
      <c r="A1819" s="13" t="s">
        <v>122</v>
      </c>
      <c r="B1819" t="s">
        <v>468</v>
      </c>
      <c r="C1819" t="str">
        <f t="shared" si="32"/>
        <v>United StatesFox Sports 1</v>
      </c>
      <c r="D1819" s="1">
        <v>85953036</v>
      </c>
      <c r="E1819" t="s">
        <v>149</v>
      </c>
      <c r="F1819" t="s">
        <v>1588</v>
      </c>
    </row>
    <row r="1820" spans="1:6" hidden="1" x14ac:dyDescent="0.25">
      <c r="A1820" s="13" t="s">
        <v>122</v>
      </c>
      <c r="B1820" t="s">
        <v>195</v>
      </c>
      <c r="C1820" t="str">
        <f t="shared" si="32"/>
        <v>United StatesFox Sports 2</v>
      </c>
      <c r="D1820" s="1">
        <v>40134616</v>
      </c>
      <c r="E1820" t="s">
        <v>149</v>
      </c>
      <c r="F1820" t="s">
        <v>1589</v>
      </c>
    </row>
    <row r="1821" spans="1:6" hidden="1" x14ac:dyDescent="0.25">
      <c r="A1821" s="13" t="s">
        <v>122</v>
      </c>
      <c r="B1821" t="s">
        <v>477</v>
      </c>
      <c r="C1821" t="str">
        <f t="shared" si="32"/>
        <v>United StatesGolf Channel</v>
      </c>
      <c r="D1821" s="1">
        <v>80665200</v>
      </c>
      <c r="E1821" t="s">
        <v>149</v>
      </c>
    </row>
    <row r="1822" spans="1:6" hidden="1" x14ac:dyDescent="0.25">
      <c r="A1822" s="13" t="s">
        <v>122</v>
      </c>
      <c r="B1822" t="s">
        <v>1121</v>
      </c>
      <c r="C1822" t="str">
        <f t="shared" si="32"/>
        <v>United StatesNBC</v>
      </c>
      <c r="D1822" s="1">
        <v>116400000</v>
      </c>
      <c r="E1822" s="19" t="s">
        <v>142</v>
      </c>
      <c r="F1822" t="s">
        <v>1590</v>
      </c>
    </row>
    <row r="1823" spans="1:6" hidden="1" x14ac:dyDescent="0.25">
      <c r="A1823" s="211" t="s">
        <v>122</v>
      </c>
      <c r="B1823" s="166" t="s">
        <v>1591</v>
      </c>
      <c r="C1823" s="162" t="str">
        <f t="shared" si="32"/>
        <v>United StatesNBC Sports</v>
      </c>
      <c r="D1823" s="1">
        <f>115996000*0.695</f>
        <v>80617220</v>
      </c>
      <c r="E1823" t="s">
        <v>149</v>
      </c>
      <c r="F1823" s="162"/>
    </row>
    <row r="1824" spans="1:6" hidden="1" x14ac:dyDescent="0.25">
      <c r="A1824" s="13" t="s">
        <v>122</v>
      </c>
      <c r="B1824" t="s">
        <v>1592</v>
      </c>
      <c r="C1824" t="str">
        <f t="shared" si="32"/>
        <v>United StatesNBC Sports Network</v>
      </c>
      <c r="D1824" s="1">
        <f>115996000*0.695</f>
        <v>80617220</v>
      </c>
      <c r="E1824" t="s">
        <v>149</v>
      </c>
      <c r="F1824" t="s">
        <v>1593</v>
      </c>
    </row>
    <row r="1825" spans="1:6" hidden="1" x14ac:dyDescent="0.25">
      <c r="A1825" s="13" t="s">
        <v>122</v>
      </c>
      <c r="B1825" t="s">
        <v>479</v>
      </c>
      <c r="C1825" t="str">
        <f t="shared" si="32"/>
        <v>United StatesPBS</v>
      </c>
      <c r="D1825" s="1">
        <v>116400000</v>
      </c>
      <c r="E1825" t="s">
        <v>142</v>
      </c>
      <c r="F1825" t="s">
        <v>1572</v>
      </c>
    </row>
    <row r="1826" spans="1:6" hidden="1" x14ac:dyDescent="0.25">
      <c r="A1826" s="13" t="s">
        <v>122</v>
      </c>
      <c r="B1826" t="s">
        <v>1594</v>
      </c>
      <c r="C1826" t="str">
        <f t="shared" ref="C1826:C1868" si="33">CONCATENATE(A1826,B1826)</f>
        <v>United StatesTennis Channel</v>
      </c>
      <c r="D1826" s="1">
        <v>34000000</v>
      </c>
      <c r="E1826" t="s">
        <v>149</v>
      </c>
    </row>
    <row r="1827" spans="1:6" hidden="1" x14ac:dyDescent="0.25">
      <c r="A1827" s="13" t="s">
        <v>122</v>
      </c>
      <c r="B1827" t="s">
        <v>491</v>
      </c>
      <c r="C1827" t="str">
        <f t="shared" si="33"/>
        <v>United StatesTHE GOLF CHANNEL</v>
      </c>
      <c r="D1827" s="1">
        <v>80665200</v>
      </c>
      <c r="E1827" t="s">
        <v>149</v>
      </c>
      <c r="F1827" t="s">
        <v>1595</v>
      </c>
    </row>
    <row r="1828" spans="1:6" hidden="1" x14ac:dyDescent="0.25">
      <c r="A1828" s="13" t="s">
        <v>122</v>
      </c>
      <c r="B1828" t="s">
        <v>1596</v>
      </c>
      <c r="C1828" t="str">
        <f t="shared" si="33"/>
        <v>United StatesTHE TENNIS CHANNEL</v>
      </c>
      <c r="D1828" s="1">
        <v>34000000</v>
      </c>
      <c r="E1828" t="s">
        <v>149</v>
      </c>
    </row>
    <row r="1829" spans="1:6" hidden="1" x14ac:dyDescent="0.25">
      <c r="A1829" s="13" t="s">
        <v>122</v>
      </c>
      <c r="B1829" t="s">
        <v>1597</v>
      </c>
      <c r="C1829" t="str">
        <f t="shared" si="33"/>
        <v>United StatesUniMás</v>
      </c>
      <c r="D1829" s="1">
        <v>38400000</v>
      </c>
      <c r="E1829" t="s">
        <v>149</v>
      </c>
    </row>
    <row r="1830" spans="1:6" hidden="1" x14ac:dyDescent="0.25">
      <c r="A1830" s="13" t="s">
        <v>122</v>
      </c>
      <c r="B1830" t="s">
        <v>1598</v>
      </c>
      <c r="C1830" t="str">
        <f t="shared" si="33"/>
        <v>United StatesUniversal HD</v>
      </c>
      <c r="D1830" s="1">
        <v>55000000</v>
      </c>
      <c r="E1830" t="s">
        <v>149</v>
      </c>
      <c r="F1830" t="s">
        <v>1599</v>
      </c>
    </row>
    <row r="1831" spans="1:6" hidden="1" x14ac:dyDescent="0.25">
      <c r="A1831" s="13" t="s">
        <v>122</v>
      </c>
      <c r="B1831" t="s">
        <v>1600</v>
      </c>
      <c r="C1831" t="str">
        <f t="shared" si="33"/>
        <v>United StatesUNIVERSO</v>
      </c>
      <c r="D1831" s="1">
        <v>43476100</v>
      </c>
      <c r="E1831" t="s">
        <v>149</v>
      </c>
      <c r="F1831" t="s">
        <v>1601</v>
      </c>
    </row>
    <row r="1832" spans="1:6" hidden="1" x14ac:dyDescent="0.25">
      <c r="A1832" s="13" t="s">
        <v>122</v>
      </c>
      <c r="B1832" t="s">
        <v>1360</v>
      </c>
      <c r="C1832" t="str">
        <f t="shared" si="33"/>
        <v>United StatesUnivision</v>
      </c>
      <c r="D1832" s="1">
        <v>116400000</v>
      </c>
      <c r="E1832" t="s">
        <v>142</v>
      </c>
    </row>
    <row r="1833" spans="1:6" hidden="1" x14ac:dyDescent="0.25">
      <c r="A1833" s="13" t="s">
        <v>122</v>
      </c>
      <c r="B1833" t="s">
        <v>1602</v>
      </c>
      <c r="C1833" t="str">
        <f t="shared" si="33"/>
        <v>United StatesUNIVISION DEPORTES</v>
      </c>
      <c r="D1833" s="1">
        <v>38400000</v>
      </c>
      <c r="E1833" t="s">
        <v>149</v>
      </c>
    </row>
    <row r="1834" spans="1:6" hidden="1" x14ac:dyDescent="0.25">
      <c r="A1834" s="13" t="s">
        <v>122</v>
      </c>
      <c r="B1834" t="s">
        <v>1603</v>
      </c>
      <c r="C1834" s="112" t="str">
        <f t="shared" si="33"/>
        <v>United StatesVelocity</v>
      </c>
      <c r="D1834" s="1">
        <v>68908800</v>
      </c>
      <c r="E1834" t="s">
        <v>149</v>
      </c>
      <c r="F1834" t="s">
        <v>1579</v>
      </c>
    </row>
    <row r="1835" spans="1:6" hidden="1" x14ac:dyDescent="0.25">
      <c r="A1835" s="13" t="s">
        <v>123</v>
      </c>
      <c r="B1835" t="s">
        <v>183</v>
      </c>
      <c r="C1835" t="str">
        <f t="shared" si="33"/>
        <v>UruguayESPN</v>
      </c>
      <c r="D1835" s="1">
        <v>830704</v>
      </c>
      <c r="E1835" t="s">
        <v>149</v>
      </c>
    </row>
    <row r="1836" spans="1:6" hidden="1" x14ac:dyDescent="0.25">
      <c r="A1836" s="13" t="s">
        <v>123</v>
      </c>
      <c r="B1836" t="s">
        <v>185</v>
      </c>
      <c r="C1836" t="str">
        <f t="shared" si="33"/>
        <v>UruguayESPN 2</v>
      </c>
      <c r="D1836" s="1">
        <v>830704</v>
      </c>
      <c r="E1836" t="s">
        <v>149</v>
      </c>
    </row>
    <row r="1837" spans="1:6" hidden="1" x14ac:dyDescent="0.25">
      <c r="A1837" s="13" t="s">
        <v>123</v>
      </c>
      <c r="B1837" t="s">
        <v>186</v>
      </c>
      <c r="C1837" t="str">
        <f t="shared" si="33"/>
        <v>UruguayESPN 3</v>
      </c>
      <c r="D1837" s="1">
        <v>830704</v>
      </c>
      <c r="E1837" t="s">
        <v>149</v>
      </c>
    </row>
    <row r="1838" spans="1:6" hidden="1" x14ac:dyDescent="0.25">
      <c r="A1838" s="13" t="s">
        <v>123</v>
      </c>
      <c r="B1838" t="s">
        <v>189</v>
      </c>
      <c r="C1838" t="str">
        <f t="shared" si="33"/>
        <v>UruguayESPN HD</v>
      </c>
      <c r="D1838" s="1">
        <v>830704</v>
      </c>
      <c r="E1838" t="s">
        <v>149</v>
      </c>
    </row>
    <row r="1839" spans="1:6" hidden="1" x14ac:dyDescent="0.25">
      <c r="A1839" s="13" t="s">
        <v>123</v>
      </c>
      <c r="B1839" t="s">
        <v>190</v>
      </c>
      <c r="C1839" t="str">
        <f t="shared" si="33"/>
        <v>UruguayESPN Internacional</v>
      </c>
      <c r="D1839" s="1">
        <v>830704</v>
      </c>
      <c r="E1839" t="s">
        <v>149</v>
      </c>
    </row>
    <row r="1840" spans="1:6" hidden="1" x14ac:dyDescent="0.25">
      <c r="A1840" s="13" t="s">
        <v>123</v>
      </c>
      <c r="B1840" t="s">
        <v>192</v>
      </c>
      <c r="C1840" t="str">
        <f t="shared" si="33"/>
        <v>UruguayESPN+</v>
      </c>
      <c r="D1840" s="1">
        <v>830704</v>
      </c>
      <c r="E1840" t="s">
        <v>149</v>
      </c>
    </row>
    <row r="1841" spans="1:6" hidden="1" x14ac:dyDescent="0.25">
      <c r="A1841" s="13" t="s">
        <v>1604</v>
      </c>
      <c r="B1841" t="s">
        <v>1605</v>
      </c>
      <c r="C1841" t="str">
        <f t="shared" si="33"/>
        <v>VanuatuVBTC</v>
      </c>
      <c r="D1841" s="1">
        <v>14200</v>
      </c>
      <c r="E1841" t="s">
        <v>142</v>
      </c>
      <c r="F1841" t="s">
        <v>986</v>
      </c>
    </row>
    <row r="1842" spans="1:6" hidden="1" x14ac:dyDescent="0.25">
      <c r="A1842" s="13" t="s">
        <v>125</v>
      </c>
      <c r="B1842" t="s">
        <v>183</v>
      </c>
      <c r="C1842" t="str">
        <f t="shared" si="33"/>
        <v>VenezuelaESPN</v>
      </c>
      <c r="D1842" s="1">
        <v>2810310</v>
      </c>
      <c r="E1842" t="s">
        <v>149</v>
      </c>
    </row>
    <row r="1843" spans="1:6" hidden="1" x14ac:dyDescent="0.25">
      <c r="A1843" s="13" t="s">
        <v>125</v>
      </c>
      <c r="B1843" t="s">
        <v>185</v>
      </c>
      <c r="C1843" t="str">
        <f t="shared" si="33"/>
        <v>VenezuelaESPN 2</v>
      </c>
      <c r="D1843" s="1">
        <v>2810310</v>
      </c>
      <c r="E1843" t="s">
        <v>149</v>
      </c>
    </row>
    <row r="1844" spans="1:6" hidden="1" x14ac:dyDescent="0.25">
      <c r="A1844" s="13" t="s">
        <v>125</v>
      </c>
      <c r="B1844" t="s">
        <v>186</v>
      </c>
      <c r="C1844" t="str">
        <f t="shared" si="33"/>
        <v>VenezuelaESPN 3</v>
      </c>
      <c r="D1844" s="1">
        <v>2810310</v>
      </c>
      <c r="E1844" t="s">
        <v>149</v>
      </c>
    </row>
    <row r="1845" spans="1:6" hidden="1" x14ac:dyDescent="0.25">
      <c r="A1845" s="13" t="s">
        <v>125</v>
      </c>
      <c r="B1845" t="s">
        <v>189</v>
      </c>
      <c r="C1845" t="str">
        <f t="shared" si="33"/>
        <v>VenezuelaESPN HD</v>
      </c>
      <c r="D1845" s="1">
        <v>2810310</v>
      </c>
      <c r="E1845" t="s">
        <v>149</v>
      </c>
    </row>
    <row r="1846" spans="1:6" hidden="1" x14ac:dyDescent="0.25">
      <c r="A1846" s="13" t="s">
        <v>125</v>
      </c>
      <c r="B1846" t="s">
        <v>190</v>
      </c>
      <c r="C1846" t="str">
        <f t="shared" si="33"/>
        <v>VenezuelaESPN Internacional</v>
      </c>
      <c r="D1846" s="1">
        <v>2810310</v>
      </c>
      <c r="E1846" t="s">
        <v>149</v>
      </c>
    </row>
    <row r="1847" spans="1:6" hidden="1" x14ac:dyDescent="0.25">
      <c r="A1847" s="13" t="s">
        <v>125</v>
      </c>
      <c r="B1847" t="s">
        <v>192</v>
      </c>
      <c r="C1847" t="str">
        <f t="shared" si="33"/>
        <v>VenezuelaESPN+</v>
      </c>
      <c r="D1847" s="1">
        <v>2810310</v>
      </c>
      <c r="E1847" t="s">
        <v>149</v>
      </c>
    </row>
    <row r="1848" spans="1:6" hidden="1" x14ac:dyDescent="0.25">
      <c r="A1848" s="13" t="s">
        <v>126</v>
      </c>
      <c r="B1848" s="54" t="s">
        <v>194</v>
      </c>
      <c r="C1848" t="str">
        <f t="shared" si="33"/>
        <v>VietnamFox Sports</v>
      </c>
      <c r="D1848" s="1">
        <v>6225000</v>
      </c>
      <c r="E1848" t="s">
        <v>149</v>
      </c>
    </row>
    <row r="1849" spans="1:6" hidden="1" x14ac:dyDescent="0.25">
      <c r="A1849" s="203" t="s">
        <v>126</v>
      </c>
      <c r="B1849" s="147" t="s">
        <v>468</v>
      </c>
      <c r="C1849" s="11" t="str">
        <f t="shared" si="33"/>
        <v>VietnamFox Sports 1</v>
      </c>
      <c r="D1849" s="1">
        <v>6225000</v>
      </c>
      <c r="E1849" t="s">
        <v>149</v>
      </c>
      <c r="F1849" s="11"/>
    </row>
    <row r="1850" spans="1:6" hidden="1" x14ac:dyDescent="0.25">
      <c r="A1850" s="13" t="s">
        <v>126</v>
      </c>
      <c r="B1850" s="55" t="s">
        <v>195</v>
      </c>
      <c r="C1850" t="str">
        <f t="shared" si="33"/>
        <v>VietnamFox Sports 2</v>
      </c>
      <c r="D1850" s="1">
        <v>6225000</v>
      </c>
      <c r="E1850" t="s">
        <v>149</v>
      </c>
    </row>
    <row r="1851" spans="1:6" hidden="1" x14ac:dyDescent="0.25">
      <c r="A1851" s="203" t="s">
        <v>126</v>
      </c>
      <c r="B1851" s="147" t="s">
        <v>197</v>
      </c>
      <c r="C1851" s="11" t="str">
        <f t="shared" si="33"/>
        <v>VietnamFox Sports 3</v>
      </c>
      <c r="D1851" s="1">
        <v>6225000</v>
      </c>
      <c r="E1851" t="s">
        <v>149</v>
      </c>
      <c r="F1851" s="11"/>
    </row>
    <row r="1852" spans="1:6" hidden="1" x14ac:dyDescent="0.25">
      <c r="A1852" s="13" t="s">
        <v>126</v>
      </c>
      <c r="B1852" t="s">
        <v>1606</v>
      </c>
      <c r="C1852" t="str">
        <f t="shared" si="33"/>
        <v>VietnamK+ PC HD</v>
      </c>
      <c r="D1852" s="1">
        <v>830000</v>
      </c>
      <c r="E1852" t="s">
        <v>149</v>
      </c>
      <c r="F1852" t="s">
        <v>1607</v>
      </c>
    </row>
    <row r="1853" spans="1:6" hidden="1" x14ac:dyDescent="0.25">
      <c r="A1853" t="s">
        <v>126</v>
      </c>
      <c r="B1853" t="s">
        <v>1608</v>
      </c>
      <c r="C1853" t="str">
        <f t="shared" si="33"/>
        <v>VietnamK+PC</v>
      </c>
      <c r="D1853" s="1">
        <v>830000</v>
      </c>
      <c r="E1853" t="s">
        <v>149</v>
      </c>
      <c r="F1853" t="s">
        <v>1607</v>
      </c>
    </row>
    <row r="1854" spans="1:6" hidden="1" x14ac:dyDescent="0.25">
      <c r="A1854" s="13" t="s">
        <v>126</v>
      </c>
      <c r="B1854" t="s">
        <v>1609</v>
      </c>
      <c r="C1854" t="str">
        <f t="shared" si="33"/>
        <v>VietnamK+PC HD</v>
      </c>
      <c r="D1854" s="1">
        <v>830000</v>
      </c>
      <c r="E1854" t="s">
        <v>149</v>
      </c>
    </row>
    <row r="1855" spans="1:6" hidden="1" x14ac:dyDescent="0.25">
      <c r="A1855" s="213" t="s">
        <v>126</v>
      </c>
      <c r="B1855" s="150" t="s">
        <v>1610</v>
      </c>
      <c r="C1855" s="150" t="str">
        <f t="shared" si="33"/>
        <v>VietnamK+PCHD</v>
      </c>
      <c r="D1855" s="1">
        <v>830000</v>
      </c>
      <c r="E1855" t="s">
        <v>149</v>
      </c>
      <c r="F1855" s="150"/>
    </row>
    <row r="1856" spans="1:6" hidden="1" x14ac:dyDescent="0.25">
      <c r="A1856" s="13" t="s">
        <v>126</v>
      </c>
      <c r="B1856" t="s">
        <v>1611</v>
      </c>
      <c r="C1856" t="str">
        <f t="shared" si="33"/>
        <v>VietnamK+PM</v>
      </c>
      <c r="D1856" s="1">
        <v>830000</v>
      </c>
      <c r="E1856" t="s">
        <v>149</v>
      </c>
      <c r="F1856" t="s">
        <v>1607</v>
      </c>
    </row>
    <row r="1857" spans="1:6" hidden="1" x14ac:dyDescent="0.25">
      <c r="A1857" s="13" t="s">
        <v>126</v>
      </c>
      <c r="B1857" t="s">
        <v>1612</v>
      </c>
      <c r="C1857" t="str">
        <f t="shared" si="33"/>
        <v>VietnamK+PM HD</v>
      </c>
      <c r="D1857" s="1">
        <v>830000</v>
      </c>
      <c r="E1857" t="s">
        <v>149</v>
      </c>
      <c r="F1857" t="s">
        <v>1607</v>
      </c>
    </row>
    <row r="1858" spans="1:6" hidden="1" x14ac:dyDescent="0.25">
      <c r="A1858" s="13" t="s">
        <v>126</v>
      </c>
      <c r="B1858" t="s">
        <v>1613</v>
      </c>
      <c r="C1858" t="str">
        <f t="shared" si="33"/>
        <v>VietnamSCTV</v>
      </c>
      <c r="D1858" s="1">
        <v>1244000</v>
      </c>
      <c r="E1858" t="s">
        <v>149</v>
      </c>
      <c r="F1858" t="s">
        <v>1614</v>
      </c>
    </row>
    <row r="1859" spans="1:6" hidden="1" x14ac:dyDescent="0.25">
      <c r="A1859" s="13" t="s">
        <v>126</v>
      </c>
      <c r="B1859" t="s">
        <v>1615</v>
      </c>
      <c r="C1859" t="str">
        <f t="shared" si="33"/>
        <v>VietnamSCTV HD</v>
      </c>
      <c r="D1859" s="1">
        <v>1244000</v>
      </c>
      <c r="E1859" t="s">
        <v>149</v>
      </c>
      <c r="F1859" t="s">
        <v>1614</v>
      </c>
    </row>
    <row r="1860" spans="1:6" hidden="1" x14ac:dyDescent="0.25">
      <c r="A1860" s="202" t="s">
        <v>126</v>
      </c>
      <c r="B1860" s="175" t="s">
        <v>1616</v>
      </c>
      <c r="C1860" s="175" t="str">
        <f t="shared" si="33"/>
        <v>VietnamSports HD TV</v>
      </c>
      <c r="D1860" s="176">
        <v>830000</v>
      </c>
      <c r="E1860" s="175" t="s">
        <v>149</v>
      </c>
      <c r="F1860" s="175"/>
    </row>
    <row r="1861" spans="1:6" hidden="1" x14ac:dyDescent="0.25">
      <c r="A1861" s="205" t="s">
        <v>126</v>
      </c>
      <c r="B1861" s="11" t="s">
        <v>1617</v>
      </c>
      <c r="C1861" s="11" t="str">
        <f t="shared" si="33"/>
        <v>VietnamThe Thao TV</v>
      </c>
      <c r="D1861" s="142"/>
      <c r="E1861" t="s">
        <v>149</v>
      </c>
      <c r="F1861" s="11"/>
    </row>
    <row r="1862" spans="1:6" hidden="1" x14ac:dyDescent="0.25">
      <c r="A1862" s="13" t="s">
        <v>126</v>
      </c>
      <c r="B1862" t="s">
        <v>1618</v>
      </c>
      <c r="C1862" t="str">
        <f t="shared" si="33"/>
        <v>VietnamVTC3</v>
      </c>
      <c r="D1862" s="1">
        <v>1553000</v>
      </c>
      <c r="E1862" t="s">
        <v>149</v>
      </c>
      <c r="F1862" t="s">
        <v>1619</v>
      </c>
    </row>
    <row r="1863" spans="1:6" hidden="1" x14ac:dyDescent="0.25">
      <c r="A1863" s="13" t="s">
        <v>126</v>
      </c>
      <c r="B1863" t="s">
        <v>790</v>
      </c>
      <c r="C1863" t="str">
        <f t="shared" si="33"/>
        <v>VietnamVTV</v>
      </c>
      <c r="D1863" s="1">
        <v>2263200</v>
      </c>
      <c r="E1863" t="s">
        <v>142</v>
      </c>
      <c r="F1863" t="s">
        <v>1620</v>
      </c>
    </row>
    <row r="1864" spans="1:6" hidden="1" x14ac:dyDescent="0.25">
      <c r="A1864" s="13" t="s">
        <v>126</v>
      </c>
      <c r="B1864" t="s">
        <v>1621</v>
      </c>
      <c r="C1864" t="str">
        <f t="shared" si="33"/>
        <v>VietnamVTV Cab 23</v>
      </c>
      <c r="D1864" s="1">
        <v>1553000</v>
      </c>
      <c r="E1864" t="s">
        <v>149</v>
      </c>
    </row>
    <row r="1865" spans="1:6" hidden="1" x14ac:dyDescent="0.25">
      <c r="A1865" s="13" t="s">
        <v>126</v>
      </c>
      <c r="B1865" s="40" t="s">
        <v>1622</v>
      </c>
      <c r="C1865" t="str">
        <f t="shared" si="33"/>
        <v>VietnamVTV Cab 3</v>
      </c>
      <c r="D1865" s="1">
        <v>1553000</v>
      </c>
      <c r="E1865" t="s">
        <v>149</v>
      </c>
      <c r="F1865" t="s">
        <v>1619</v>
      </c>
    </row>
    <row r="1866" spans="1:6" hidden="1" x14ac:dyDescent="0.25">
      <c r="A1866" s="224" t="s">
        <v>126</v>
      </c>
      <c r="B1866" s="159" t="s">
        <v>1623</v>
      </c>
      <c r="C1866" s="159" t="str">
        <f t="shared" si="33"/>
        <v>VietnamVTVcab</v>
      </c>
      <c r="D1866" s="1">
        <v>1553000</v>
      </c>
      <c r="E1866" t="s">
        <v>149</v>
      </c>
      <c r="F1866" s="159"/>
    </row>
    <row r="1867" spans="1:6" hidden="1" x14ac:dyDescent="0.25">
      <c r="A1867" s="202" t="s">
        <v>126</v>
      </c>
      <c r="B1867" s="175" t="s">
        <v>1624</v>
      </c>
      <c r="C1867" s="175" t="str">
        <f t="shared" si="33"/>
        <v>VietnamVTVcab 18</v>
      </c>
      <c r="D1867" s="176">
        <v>1553000</v>
      </c>
      <c r="E1867" s="175" t="s">
        <v>149</v>
      </c>
      <c r="F1867" s="175"/>
    </row>
    <row r="1868" spans="1:6" hidden="1" x14ac:dyDescent="0.25">
      <c r="A1868" s="13" t="s">
        <v>126</v>
      </c>
      <c r="B1868" t="s">
        <v>1625</v>
      </c>
      <c r="C1868" t="str">
        <f t="shared" si="33"/>
        <v>VietnamVTVcab 3 - The Thao TV</v>
      </c>
      <c r="D1868" s="1">
        <v>1550000</v>
      </c>
      <c r="E1868" t="s">
        <v>149</v>
      </c>
      <c r="F1868" t="s">
        <v>1626</v>
      </c>
    </row>
    <row r="1869" spans="1:6" x14ac:dyDescent="0.25">
      <c r="D1869"/>
    </row>
    <row r="1870" spans="1:6" x14ac:dyDescent="0.25">
      <c r="D1870"/>
    </row>
    <row r="1871" spans="1:6" x14ac:dyDescent="0.25">
      <c r="D1871"/>
    </row>
    <row r="1872" spans="1:6" x14ac:dyDescent="0.25">
      <c r="D1872"/>
    </row>
    <row r="1873" spans="4:4" x14ac:dyDescent="0.25">
      <c r="D1873"/>
    </row>
    <row r="1874" spans="4:4" x14ac:dyDescent="0.25">
      <c r="D1874"/>
    </row>
    <row r="1875" spans="4:4" x14ac:dyDescent="0.25">
      <c r="D1875"/>
    </row>
    <row r="1876" spans="4:4" x14ac:dyDescent="0.25">
      <c r="D1876"/>
    </row>
    <row r="1877" spans="4:4" x14ac:dyDescent="0.25">
      <c r="D1877"/>
    </row>
    <row r="1878" spans="4:4" x14ac:dyDescent="0.25">
      <c r="D1878"/>
    </row>
    <row r="1879" spans="4:4" x14ac:dyDescent="0.25">
      <c r="D1879"/>
    </row>
    <row r="1880" spans="4:4" x14ac:dyDescent="0.25">
      <c r="D1880"/>
    </row>
    <row r="1881" spans="4:4" x14ac:dyDescent="0.25">
      <c r="D1881"/>
    </row>
    <row r="1882" spans="4:4" x14ac:dyDescent="0.25">
      <c r="D1882"/>
    </row>
    <row r="1883" spans="4:4" x14ac:dyDescent="0.25">
      <c r="D1883"/>
    </row>
    <row r="1884" spans="4:4" x14ac:dyDescent="0.25">
      <c r="D1884"/>
    </row>
  </sheetData>
  <conditionalFormatting sqref="B103">
    <cfRule type="duplicateValues" dxfId="70" priority="23"/>
  </conditionalFormatting>
  <conditionalFormatting sqref="B1167:B1171">
    <cfRule type="duplicateValues" dxfId="69" priority="25"/>
  </conditionalFormatting>
  <conditionalFormatting sqref="B1175:B1183">
    <cfRule type="duplicateValues" dxfId="68" priority="47"/>
  </conditionalFormatting>
  <conditionalFormatting sqref="B1409">
    <cfRule type="duplicateValues" dxfId="67" priority="2"/>
  </conditionalFormatting>
  <conditionalFormatting sqref="C366">
    <cfRule type="duplicateValues" dxfId="66" priority="45"/>
  </conditionalFormatting>
  <conditionalFormatting sqref="C610">
    <cfRule type="duplicateValues" dxfId="65" priority="19"/>
  </conditionalFormatting>
  <conditionalFormatting sqref="C728">
    <cfRule type="duplicateValues" dxfId="64" priority="44"/>
  </conditionalFormatting>
  <conditionalFormatting sqref="C900:C901">
    <cfRule type="duplicateValues" dxfId="63" priority="20"/>
  </conditionalFormatting>
  <conditionalFormatting sqref="C1130">
    <cfRule type="duplicateValues" dxfId="62" priority="43"/>
  </conditionalFormatting>
  <conditionalFormatting sqref="C1136">
    <cfRule type="duplicateValues" dxfId="61" priority="42"/>
  </conditionalFormatting>
  <conditionalFormatting sqref="C1137:C1138">
    <cfRule type="duplicateValues" dxfId="60" priority="41"/>
  </conditionalFormatting>
  <conditionalFormatting sqref="C1144">
    <cfRule type="duplicateValues" dxfId="59" priority="40"/>
  </conditionalFormatting>
  <conditionalFormatting sqref="C1145">
    <cfRule type="duplicateValues" dxfId="58" priority="39"/>
  </conditionalFormatting>
  <conditionalFormatting sqref="C1146">
    <cfRule type="duplicateValues" dxfId="57" priority="38"/>
  </conditionalFormatting>
  <conditionalFormatting sqref="C1147">
    <cfRule type="duplicateValues" dxfId="56" priority="37"/>
  </conditionalFormatting>
  <conditionalFormatting sqref="C1153">
    <cfRule type="duplicateValues" dxfId="55" priority="36"/>
  </conditionalFormatting>
  <conditionalFormatting sqref="C1156">
    <cfRule type="duplicateValues" dxfId="54" priority="35"/>
  </conditionalFormatting>
  <conditionalFormatting sqref="C1158">
    <cfRule type="duplicateValues" dxfId="53" priority="34"/>
  </conditionalFormatting>
  <conditionalFormatting sqref="C1159">
    <cfRule type="duplicateValues" dxfId="52" priority="33"/>
  </conditionalFormatting>
  <conditionalFormatting sqref="C1160">
    <cfRule type="duplicateValues" dxfId="51" priority="32"/>
  </conditionalFormatting>
  <conditionalFormatting sqref="C1161:C1162">
    <cfRule type="duplicateValues" dxfId="50" priority="31"/>
  </conditionalFormatting>
  <conditionalFormatting sqref="C1163">
    <cfRule type="duplicateValues" dxfId="49" priority="30"/>
  </conditionalFormatting>
  <conditionalFormatting sqref="C1164">
    <cfRule type="duplicateValues" dxfId="48" priority="29"/>
  </conditionalFormatting>
  <conditionalFormatting sqref="C1165">
    <cfRule type="duplicateValues" dxfId="47" priority="28"/>
  </conditionalFormatting>
  <conditionalFormatting sqref="C1166">
    <cfRule type="duplicateValues" dxfId="46" priority="27"/>
  </conditionalFormatting>
  <conditionalFormatting sqref="C1167:C1171">
    <cfRule type="duplicateValues" dxfId="45" priority="26"/>
  </conditionalFormatting>
  <conditionalFormatting sqref="C1172">
    <cfRule type="duplicateValues" dxfId="44" priority="24"/>
  </conditionalFormatting>
  <conditionalFormatting sqref="C1234">
    <cfRule type="duplicateValues" dxfId="43" priority="22"/>
  </conditionalFormatting>
  <conditionalFormatting sqref="C1236">
    <cfRule type="duplicateValues" dxfId="42" priority="21"/>
  </conditionalFormatting>
  <conditionalFormatting sqref="C1242">
    <cfRule type="duplicateValues" dxfId="41" priority="18"/>
  </conditionalFormatting>
  <conditionalFormatting sqref="C1243">
    <cfRule type="duplicateValues" dxfId="40" priority="17"/>
  </conditionalFormatting>
  <conditionalFormatting sqref="C1244">
    <cfRule type="duplicateValues" dxfId="39" priority="16"/>
  </conditionalFormatting>
  <conditionalFormatting sqref="C1245">
    <cfRule type="duplicateValues" dxfId="38" priority="15"/>
  </conditionalFormatting>
  <conditionalFormatting sqref="C1246">
    <cfRule type="duplicateValues" dxfId="37" priority="14"/>
  </conditionalFormatting>
  <conditionalFormatting sqref="C1247">
    <cfRule type="duplicateValues" dxfId="36" priority="13"/>
  </conditionalFormatting>
  <conditionalFormatting sqref="C1248">
    <cfRule type="duplicateValues" dxfId="35" priority="12"/>
  </conditionalFormatting>
  <conditionalFormatting sqref="C1250:C1298">
    <cfRule type="duplicateValues" dxfId="34" priority="11"/>
  </conditionalFormatting>
  <conditionalFormatting sqref="C1321:C1337">
    <cfRule type="duplicateValues" dxfId="33" priority="10"/>
  </conditionalFormatting>
  <conditionalFormatting sqref="C1340">
    <cfRule type="duplicateValues" dxfId="32" priority="9"/>
  </conditionalFormatting>
  <conditionalFormatting sqref="C1347:C1349">
    <cfRule type="duplicateValues" dxfId="31" priority="8"/>
  </conditionalFormatting>
  <conditionalFormatting sqref="C1350">
    <cfRule type="duplicateValues" dxfId="30" priority="7"/>
  </conditionalFormatting>
  <conditionalFormatting sqref="C1351">
    <cfRule type="duplicateValues" dxfId="29" priority="5"/>
  </conditionalFormatting>
  <conditionalFormatting sqref="C1352:C1353">
    <cfRule type="duplicateValues" dxfId="28" priority="6"/>
  </conditionalFormatting>
  <conditionalFormatting sqref="C1389">
    <cfRule type="duplicateValues" dxfId="27" priority="4"/>
  </conditionalFormatting>
  <conditionalFormatting sqref="C1398:C1409">
    <cfRule type="duplicateValues" dxfId="26" priority="3"/>
  </conditionalFormatting>
  <conditionalFormatting sqref="C1410">
    <cfRule type="duplicateValues" dxfId="25" priority="1"/>
  </conditionalFormatting>
  <conditionalFormatting sqref="C1885:C1048576 C1390:C1397 C1229:C1231 C1157 C1139:C1143 C1131:C1135 C367:C609 C1148:C1152 C1154:C1155 C1:C365 C729:C899 C1235 C1173:C1227 C1237:C1241 C611:C727 C1249 C1299:C1320 C1338:C1339 C1341:C1346 C1354:C1388 C902:C1129 C1411:C1868">
    <cfRule type="duplicateValues" dxfId="24" priority="46"/>
  </conditionalFormatting>
  <hyperlinks>
    <hyperlink ref="F994" r:id="rId1" xr:uid="{00000000-0004-0000-0100-000000000000}"/>
    <hyperlink ref="F993" r:id="rId2" xr:uid="{00000000-0004-0000-0100-000001000000}"/>
    <hyperlink ref="F1733" r:id="rId3" xr:uid="{00000000-0004-0000-0100-000002000000}"/>
  </hyperlinks>
  <pageMargins left="0.7" right="0.7" top="0.75" bottom="0.75" header="0.3" footer="0.3"/>
  <pageSetup paperSize="9" orientation="portrait" verticalDpi="300" r:id="rId4"/>
  <legacyDrawing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O244"/>
  <sheetViews>
    <sheetView topLeftCell="A13" zoomScale="85" zoomScaleNormal="85" workbookViewId="0">
      <selection activeCell="G5" sqref="G5"/>
    </sheetView>
  </sheetViews>
  <sheetFormatPr defaultRowHeight="15" x14ac:dyDescent="0.25"/>
  <cols>
    <col min="1" max="1" width="30.85546875" bestFit="1" customWidth="1"/>
    <col min="2" max="2" width="15.28515625" bestFit="1" customWidth="1"/>
    <col min="3" max="3" width="23.85546875" bestFit="1" customWidth="1"/>
    <col min="4" max="4" width="17.28515625" bestFit="1" customWidth="1"/>
    <col min="5" max="5" width="13.140625" bestFit="1" customWidth="1"/>
    <col min="6" max="6" width="13.28515625" bestFit="1" customWidth="1"/>
    <col min="7" max="7" width="10.85546875" bestFit="1" customWidth="1"/>
    <col min="8" max="8" width="13.140625" bestFit="1" customWidth="1"/>
    <col min="9" max="9" width="11.7109375" bestFit="1" customWidth="1"/>
    <col min="10" max="10" width="8.85546875" bestFit="1" customWidth="1"/>
    <col min="11" max="11" width="11.85546875" bestFit="1" customWidth="1"/>
    <col min="12" max="12" width="10.85546875" bestFit="1" customWidth="1"/>
    <col min="15" max="15" width="10.5703125" bestFit="1" customWidth="1"/>
  </cols>
  <sheetData>
    <row r="1" spans="1:15" x14ac:dyDescent="0.25">
      <c r="A1" s="6" t="s">
        <v>1627</v>
      </c>
      <c r="B1" t="s">
        <v>1628</v>
      </c>
      <c r="E1" s="200" t="s">
        <v>1629</v>
      </c>
    </row>
    <row r="2" spans="1:15" x14ac:dyDescent="0.25">
      <c r="B2">
        <v>2021</v>
      </c>
      <c r="C2">
        <v>2021</v>
      </c>
      <c r="D2">
        <v>2021</v>
      </c>
    </row>
    <row r="3" spans="1:15" x14ac:dyDescent="0.25">
      <c r="A3" s="6" t="s">
        <v>1630</v>
      </c>
      <c r="B3" t="s">
        <v>1631</v>
      </c>
      <c r="C3" t="s">
        <v>1632</v>
      </c>
      <c r="D3" t="s">
        <v>1633</v>
      </c>
      <c r="E3" t="s">
        <v>1634</v>
      </c>
      <c r="F3" t="s">
        <v>1635</v>
      </c>
      <c r="G3" t="s">
        <v>1636</v>
      </c>
      <c r="H3" t="s">
        <v>1637</v>
      </c>
      <c r="I3" t="s">
        <v>1635</v>
      </c>
      <c r="J3" t="s">
        <v>1636</v>
      </c>
      <c r="K3" t="s">
        <v>1638</v>
      </c>
      <c r="L3" t="s">
        <v>1635</v>
      </c>
      <c r="M3" t="s">
        <v>1636</v>
      </c>
    </row>
    <row r="4" spans="1:15" x14ac:dyDescent="0.25">
      <c r="A4" s="7" t="s">
        <v>122</v>
      </c>
      <c r="B4" s="1">
        <v>28766560</v>
      </c>
      <c r="C4" s="8">
        <v>23.886111111111113</v>
      </c>
      <c r="D4" s="1">
        <v>5989351.8076915145</v>
      </c>
      <c r="E4" s="51">
        <f>VLOOKUP(A4,'Audience 2020 pivot'!$A$3:$D$409,2,FALSE)</f>
        <v>27239119</v>
      </c>
      <c r="F4" s="51">
        <f>B4-E4</f>
        <v>1527441</v>
      </c>
      <c r="G4" s="9">
        <f>B4/E4-1</f>
        <v>5.6075271744288058E-2</v>
      </c>
      <c r="H4" s="198">
        <f>VLOOKUP(A4,'Audience 2020 pivot'!$A$3:$D$409,3,FALSE)</f>
        <v>21.227777777777778</v>
      </c>
      <c r="I4" s="199">
        <f>(C4-H4)*24</f>
        <v>63.80000000000004</v>
      </c>
      <c r="J4" s="9">
        <f>C4/H4-1</f>
        <v>0.12522899764459572</v>
      </c>
      <c r="K4" s="51">
        <f>VLOOKUP(A4,'Audience 2020 pivot'!$A$3:$D$409,4,FALSE)</f>
        <v>7746613.6604094217</v>
      </c>
      <c r="L4" s="51">
        <f>D4-K4</f>
        <v>-1757261.8527179072</v>
      </c>
      <c r="M4" s="9">
        <f>D4/K4-1</f>
        <v>-0.22684258306293703</v>
      </c>
    </row>
    <row r="5" spans="1:15" x14ac:dyDescent="0.25">
      <c r="A5" s="7" t="s">
        <v>24</v>
      </c>
      <c r="B5" s="1">
        <v>28497489</v>
      </c>
      <c r="C5" s="8">
        <v>15.061921296296294</v>
      </c>
      <c r="D5" s="1">
        <v>2247675.7297266652</v>
      </c>
      <c r="E5" s="51">
        <f>VLOOKUP(A5,'Audience 2020 pivot'!$A$3:$D$409,2,FALSE)</f>
        <v>42432460</v>
      </c>
      <c r="F5" s="19">
        <f t="shared" ref="F5:F41" si="0">B5-E5</f>
        <v>-13934971</v>
      </c>
      <c r="G5" s="9">
        <f>B5/E5-1</f>
        <v>-0.32840356180150765</v>
      </c>
      <c r="H5" s="198">
        <f>VLOOKUP(A5,'Audience 2020 pivot'!$A$3:$D$409,3,FALSE)</f>
        <v>14.893958333333332</v>
      </c>
      <c r="I5" s="199">
        <f t="shared" ref="I5:I46" si="1">(C5-H5)*24</f>
        <v>4.0311111111110876</v>
      </c>
      <c r="J5" s="9">
        <f t="shared" ref="J5:J41" si="2">C5/H5-1</f>
        <v>1.1277254790424296E-2</v>
      </c>
      <c r="K5" s="51">
        <f>VLOOKUP(A5,'Audience 2020 pivot'!$A$3:$D$409,4,FALSE)</f>
        <v>3893893.7015669905</v>
      </c>
      <c r="L5" s="51">
        <f t="shared" ref="L5:L41" si="3">D5-K5</f>
        <v>-1646217.9718403253</v>
      </c>
      <c r="M5" s="9">
        <f t="shared" ref="M5:M41" si="4">D5/K5-1</f>
        <v>-0.422769109279447</v>
      </c>
      <c r="O5" s="110"/>
    </row>
    <row r="6" spans="1:15" x14ac:dyDescent="0.25">
      <c r="A6" s="7" t="s">
        <v>56</v>
      </c>
      <c r="B6" s="1">
        <v>14502618</v>
      </c>
      <c r="C6" s="8">
        <v>14.097685185185185</v>
      </c>
      <c r="D6" s="1">
        <v>994020.71465399477</v>
      </c>
      <c r="E6" s="51">
        <f>VLOOKUP(A6,'Audience 2020 pivot'!$A$3:$D$409,2,FALSE)</f>
        <v>18414196</v>
      </c>
      <c r="F6" s="19">
        <f t="shared" si="0"/>
        <v>-3911578</v>
      </c>
      <c r="G6" s="9">
        <f t="shared" ref="G6:G41" si="5">B6/E6-1</f>
        <v>-0.2124218727768511</v>
      </c>
      <c r="H6" s="198">
        <f>VLOOKUP(A6,'Audience 2020 pivot'!$A$3:$D$409,3,FALSE)</f>
        <v>14.919583333333332</v>
      </c>
      <c r="I6" s="199">
        <f t="shared" si="1"/>
        <v>-19.72555555555553</v>
      </c>
      <c r="J6" s="9">
        <f t="shared" si="2"/>
        <v>-5.5088545690941793E-2</v>
      </c>
      <c r="K6" s="51">
        <f>VLOOKUP(A6,'Audience 2020 pivot'!$A$3:$D$409,4,FALSE)</f>
        <v>1425968.8926464992</v>
      </c>
      <c r="L6" s="51">
        <f t="shared" si="3"/>
        <v>-431948.17799250444</v>
      </c>
      <c r="M6" s="9">
        <f t="shared" si="4"/>
        <v>-0.30291556864949465</v>
      </c>
    </row>
    <row r="7" spans="1:15" x14ac:dyDescent="0.25">
      <c r="A7" s="7" t="s">
        <v>35</v>
      </c>
      <c r="B7" s="1">
        <v>11949231</v>
      </c>
      <c r="C7" s="8">
        <v>16.898611111111112</v>
      </c>
      <c r="D7" s="1">
        <v>1853523.1853359491</v>
      </c>
      <c r="E7" s="51">
        <f>VLOOKUP(A7,'Audience 2020 pivot'!$A$3:$D$409,2,FALSE)</f>
        <v>5253000</v>
      </c>
      <c r="F7" s="19">
        <f t="shared" si="0"/>
        <v>6696231</v>
      </c>
      <c r="G7" s="9">
        <f t="shared" si="5"/>
        <v>1.27474414620217</v>
      </c>
      <c r="H7" s="198">
        <f>VLOOKUP(A7,'Audience 2020 pivot'!$A$3:$D$409,3,FALSE)</f>
        <v>14.440972222222223</v>
      </c>
      <c r="I7" s="199">
        <f t="shared" si="1"/>
        <v>58.983333333333334</v>
      </c>
      <c r="J7" s="9">
        <f t="shared" si="2"/>
        <v>0.17018514065881218</v>
      </c>
      <c r="K7" s="51">
        <f>VLOOKUP(A7,'Audience 2020 pivot'!$A$3:$D$409,4,FALSE)</f>
        <v>199745.36630123045</v>
      </c>
      <c r="L7" s="51">
        <f t="shared" si="3"/>
        <v>1653777.8190347187</v>
      </c>
      <c r="M7" s="9">
        <f t="shared" si="4"/>
        <v>8.2794302048574284</v>
      </c>
    </row>
    <row r="8" spans="1:15" x14ac:dyDescent="0.25">
      <c r="A8" s="7" t="s">
        <v>38</v>
      </c>
      <c r="B8" s="1">
        <v>9833675</v>
      </c>
      <c r="C8" s="8">
        <v>13.815659722222222</v>
      </c>
      <c r="D8" s="1">
        <v>344694.4530953184</v>
      </c>
      <c r="E8" s="51">
        <f>VLOOKUP(A8,'Audience 2020 pivot'!$A$3:$D$409,2,FALSE)</f>
        <v>67770247</v>
      </c>
      <c r="F8" s="19">
        <f t="shared" si="0"/>
        <v>-57936572</v>
      </c>
      <c r="G8" s="9">
        <f t="shared" si="5"/>
        <v>-0.85489686941822718</v>
      </c>
      <c r="H8" s="198">
        <f>VLOOKUP(A8,'Audience 2020 pivot'!$A$3:$D$409,3,FALSE)</f>
        <v>17.308333333333334</v>
      </c>
      <c r="I8" s="199">
        <f t="shared" si="1"/>
        <v>-83.824166666666684</v>
      </c>
      <c r="J8" s="9">
        <f t="shared" si="2"/>
        <v>-0.20179144599582732</v>
      </c>
      <c r="K8" s="51">
        <f>VLOOKUP(A8,'Audience 2020 pivot'!$A$3:$D$409,4,FALSE)</f>
        <v>3506155.5276631741</v>
      </c>
      <c r="L8" s="51">
        <f t="shared" si="3"/>
        <v>-3161461.0745678558</v>
      </c>
      <c r="M8" s="9">
        <f t="shared" si="4"/>
        <v>-0.90168877268115522</v>
      </c>
      <c r="O8" s="21">
        <f>L8/L50</f>
        <v>0.46963291423626469</v>
      </c>
    </row>
    <row r="9" spans="1:15" x14ac:dyDescent="0.25">
      <c r="A9" s="7" t="s">
        <v>31</v>
      </c>
      <c r="B9" s="1">
        <v>8758918</v>
      </c>
      <c r="C9" s="8">
        <v>16.545138888888889</v>
      </c>
      <c r="D9" s="1">
        <v>584144.23929966916</v>
      </c>
      <c r="E9" s="51">
        <f>VLOOKUP(A9,'Audience 2020 pivot'!$A$3:$D$409,2,FALSE)</f>
        <v>4866560</v>
      </c>
      <c r="F9" s="19">
        <f t="shared" si="0"/>
        <v>3892358</v>
      </c>
      <c r="G9" s="9">
        <f t="shared" si="5"/>
        <v>0.79981711927932664</v>
      </c>
      <c r="H9" s="198">
        <f>VLOOKUP(A9,'Audience 2020 pivot'!$A$3:$D$409,3,FALSE)</f>
        <v>6.6805555555555562</v>
      </c>
      <c r="I9" s="199">
        <f t="shared" si="1"/>
        <v>236.74999999999997</v>
      </c>
      <c r="J9" s="9">
        <f t="shared" si="2"/>
        <v>1.4766112266112263</v>
      </c>
      <c r="K9" s="51">
        <f>VLOOKUP(A9,'Audience 2020 pivot'!$A$3:$D$409,4,FALSE)</f>
        <v>371771.43672190601</v>
      </c>
      <c r="L9" s="51">
        <f t="shared" si="3"/>
        <v>212372.80257776316</v>
      </c>
      <c r="M9" s="9">
        <f t="shared" si="4"/>
        <v>0.57124561383833017</v>
      </c>
    </row>
    <row r="10" spans="1:15" x14ac:dyDescent="0.25">
      <c r="A10" s="7" t="s">
        <v>121</v>
      </c>
      <c r="B10" s="1">
        <v>6013000</v>
      </c>
      <c r="C10" s="8">
        <v>0.15528935185185186</v>
      </c>
      <c r="D10" s="1">
        <v>431952.20764704118</v>
      </c>
      <c r="E10" s="51" t="e">
        <f>VLOOKUP(A10,'Audience 2020 pivot'!$A$3:$D$409,2,FALSE)</f>
        <v>#N/A</v>
      </c>
      <c r="F10" s="19" t="e">
        <f t="shared" si="0"/>
        <v>#N/A</v>
      </c>
      <c r="G10" s="9" t="e">
        <f t="shared" si="5"/>
        <v>#N/A</v>
      </c>
      <c r="H10" s="198" t="e">
        <f>VLOOKUP(A10,'Audience 2020 pivot'!$A$3:$D$409,3,FALSE)</f>
        <v>#N/A</v>
      </c>
      <c r="I10" s="199" t="e">
        <f t="shared" si="1"/>
        <v>#N/A</v>
      </c>
      <c r="J10" s="9" t="e">
        <f t="shared" si="2"/>
        <v>#N/A</v>
      </c>
      <c r="K10" s="51" t="e">
        <f>VLOOKUP(A10,'Audience 2020 pivot'!$A$3:$D$409,4,FALSE)</f>
        <v>#N/A</v>
      </c>
      <c r="L10" s="51" t="e">
        <f t="shared" si="3"/>
        <v>#N/A</v>
      </c>
      <c r="M10" s="9" t="e">
        <f t="shared" si="4"/>
        <v>#N/A</v>
      </c>
    </row>
    <row r="11" spans="1:15" x14ac:dyDescent="0.25">
      <c r="A11" s="7" t="s">
        <v>89</v>
      </c>
      <c r="B11" s="1">
        <v>5167338</v>
      </c>
      <c r="C11" s="8">
        <v>15.00082175925926</v>
      </c>
      <c r="D11" s="1">
        <v>220043.65806066745</v>
      </c>
      <c r="E11" s="51">
        <f>VLOOKUP(A11,'Audience 2020 pivot'!$A$3:$D$409,2,FALSE)</f>
        <v>4412610</v>
      </c>
      <c r="F11" s="19">
        <f t="shared" si="0"/>
        <v>754728</v>
      </c>
      <c r="G11" s="9">
        <f t="shared" si="5"/>
        <v>0.17103890894504614</v>
      </c>
      <c r="H11" s="198">
        <f>VLOOKUP(A11,'Audience 2020 pivot'!$A$3:$D$409,3,FALSE)</f>
        <v>15.034120370370369</v>
      </c>
      <c r="I11" s="199">
        <f t="shared" si="1"/>
        <v>-0.79916666666660774</v>
      </c>
      <c r="J11" s="9">
        <f t="shared" si="2"/>
        <v>-2.2148692634345046E-3</v>
      </c>
      <c r="K11" s="51">
        <f>VLOOKUP(A11,'Audience 2020 pivot'!$A$3:$D$409,4,FALSE)</f>
        <v>229946.23761848456</v>
      </c>
      <c r="L11" s="51">
        <f t="shared" si="3"/>
        <v>-9902.5795578171092</v>
      </c>
      <c r="M11" s="9">
        <f t="shared" si="4"/>
        <v>-4.3064760095127053E-2</v>
      </c>
    </row>
    <row r="12" spans="1:15" x14ac:dyDescent="0.25">
      <c r="A12" s="7" t="s">
        <v>100</v>
      </c>
      <c r="B12" s="1">
        <v>4861631</v>
      </c>
      <c r="C12" s="8">
        <v>15.635787037037037</v>
      </c>
      <c r="D12" s="1">
        <v>153094.55749359544</v>
      </c>
      <c r="E12" s="51">
        <f>VLOOKUP(A12,'Audience 2020 pivot'!$A$3:$D$409,2,FALSE)</f>
        <v>3528172</v>
      </c>
      <c r="F12" s="19">
        <f t="shared" si="0"/>
        <v>1333459</v>
      </c>
      <c r="G12" s="9">
        <f t="shared" si="5"/>
        <v>0.37794614321524</v>
      </c>
      <c r="H12" s="198">
        <f>VLOOKUP(A12,'Audience 2020 pivot'!$A$3:$D$409,3,FALSE)</f>
        <v>15.431388888888888</v>
      </c>
      <c r="I12" s="199">
        <f t="shared" si="1"/>
        <v>4.9055555555555799</v>
      </c>
      <c r="J12" s="9">
        <f t="shared" si="2"/>
        <v>1.3245609298027761E-2</v>
      </c>
      <c r="K12" s="51">
        <f>VLOOKUP(A12,'Audience 2020 pivot'!$A$3:$D$409,4,FALSE)</f>
        <v>52543.007763781025</v>
      </c>
      <c r="L12" s="51">
        <f t="shared" si="3"/>
        <v>100551.5497298144</v>
      </c>
      <c r="M12" s="9">
        <f t="shared" si="4"/>
        <v>1.9136999195376605</v>
      </c>
    </row>
    <row r="13" spans="1:15" x14ac:dyDescent="0.25">
      <c r="A13" s="7" t="s">
        <v>21</v>
      </c>
      <c r="B13" s="1">
        <v>4582952</v>
      </c>
      <c r="C13" s="8">
        <v>27.326388888888889</v>
      </c>
      <c r="D13" s="1">
        <v>107466.42405814804</v>
      </c>
      <c r="E13" s="51">
        <f>VLOOKUP(A13,'Audience 2020 pivot'!$A$3:$D$409,2,FALSE)</f>
        <v>4590263</v>
      </c>
      <c r="F13" s="19">
        <f t="shared" si="0"/>
        <v>-7311</v>
      </c>
      <c r="G13" s="9">
        <f t="shared" si="5"/>
        <v>-1.5927191971353283E-3</v>
      </c>
      <c r="H13" s="198">
        <f>VLOOKUP(A13,'Audience 2020 pivot'!$A$3:$D$409,3,FALSE)</f>
        <v>27.497916666666665</v>
      </c>
      <c r="I13" s="199">
        <f t="shared" si="1"/>
        <v>-4.1166666666666174</v>
      </c>
      <c r="J13" s="9">
        <f t="shared" si="2"/>
        <v>-6.237846301487382E-3</v>
      </c>
      <c r="K13" s="51">
        <f>VLOOKUP(A13,'Audience 2020 pivot'!$A$3:$D$409,4,FALSE)</f>
        <v>140229.73710450533</v>
      </c>
      <c r="L13" s="51">
        <f t="shared" si="3"/>
        <v>-32763.313046357289</v>
      </c>
      <c r="M13" s="9">
        <f t="shared" si="4"/>
        <v>-0.233640265772877</v>
      </c>
    </row>
    <row r="14" spans="1:15" x14ac:dyDescent="0.25">
      <c r="A14" s="7" t="s">
        <v>111</v>
      </c>
      <c r="B14" s="1">
        <v>4002154</v>
      </c>
      <c r="C14" s="8">
        <v>14.619942129629628</v>
      </c>
      <c r="D14" s="1">
        <v>100484.74154140751</v>
      </c>
      <c r="E14" s="51">
        <f>VLOOKUP(A14,'Audience 2020 pivot'!$A$3:$D$409,2,FALSE)</f>
        <v>2528328</v>
      </c>
      <c r="F14" s="19">
        <f t="shared" si="0"/>
        <v>1473826</v>
      </c>
      <c r="G14" s="9">
        <f t="shared" si="5"/>
        <v>0.58292515844463222</v>
      </c>
      <c r="H14" s="198">
        <f>VLOOKUP(A14,'Audience 2020 pivot'!$A$3:$D$409,3,FALSE)</f>
        <v>17.56429398148148</v>
      </c>
      <c r="I14" s="199">
        <f t="shared" si="1"/>
        <v>-70.664444444444456</v>
      </c>
      <c r="J14" s="9">
        <f t="shared" si="2"/>
        <v>-0.16763280408288339</v>
      </c>
      <c r="K14" s="51">
        <f>VLOOKUP(A14,'Audience 2020 pivot'!$A$3:$D$409,4,FALSE)</f>
        <v>85183.254891740187</v>
      </c>
      <c r="L14" s="51">
        <f t="shared" si="3"/>
        <v>15301.48664966732</v>
      </c>
      <c r="M14" s="9">
        <f t="shared" si="4"/>
        <v>0.17963021804125767</v>
      </c>
    </row>
    <row r="15" spans="1:15" x14ac:dyDescent="0.25">
      <c r="A15" s="7" t="s">
        <v>15</v>
      </c>
      <c r="B15" s="1">
        <v>3876558</v>
      </c>
      <c r="C15" s="8">
        <v>44.262407407407409</v>
      </c>
      <c r="D15" s="1">
        <v>24129.525433350183</v>
      </c>
      <c r="E15" s="51">
        <f>VLOOKUP(A15,'Audience 2020 pivot'!$A$3:$D$409,2,FALSE)</f>
        <v>1511473</v>
      </c>
      <c r="F15" s="19">
        <f t="shared" si="0"/>
        <v>2365085</v>
      </c>
      <c r="G15" s="9">
        <f t="shared" si="5"/>
        <v>1.5647550435899285</v>
      </c>
      <c r="H15" s="198">
        <f>VLOOKUP(A15,'Audience 2020 pivot'!$A$3:$D$409,3,FALSE)</f>
        <v>23.721504629629628</v>
      </c>
      <c r="I15" s="199">
        <f t="shared" si="1"/>
        <v>492.98166666666674</v>
      </c>
      <c r="J15" s="9">
        <f t="shared" si="2"/>
        <v>0.86591905102515798</v>
      </c>
      <c r="K15" s="51">
        <f>VLOOKUP(A15,'Audience 2020 pivot'!$A$3:$D$409,4,FALSE)</f>
        <v>17291.023589657158</v>
      </c>
      <c r="L15" s="51">
        <f t="shared" si="3"/>
        <v>6838.5018436930259</v>
      </c>
      <c r="M15" s="9">
        <f t="shared" si="4"/>
        <v>0.39549433312806093</v>
      </c>
    </row>
    <row r="16" spans="1:15" x14ac:dyDescent="0.25">
      <c r="A16" s="7" t="s">
        <v>11</v>
      </c>
      <c r="B16" s="1">
        <v>3832848</v>
      </c>
      <c r="C16" s="8">
        <v>11.607638888888886</v>
      </c>
      <c r="D16" s="1">
        <v>469736.81169464113</v>
      </c>
      <c r="E16" s="51">
        <f>VLOOKUP(A16,'Audience 2020 pivot'!$A$3:$D$409,2,FALSE)</f>
        <v>8226516</v>
      </c>
      <c r="F16" s="19">
        <f t="shared" si="0"/>
        <v>-4393668</v>
      </c>
      <c r="G16" s="9">
        <f t="shared" si="5"/>
        <v>-0.53408611859504074</v>
      </c>
      <c r="H16" s="198">
        <f>VLOOKUP(A16,'Audience 2020 pivot'!$A$3:$D$409,3,FALSE)</f>
        <v>10.972222222222221</v>
      </c>
      <c r="I16" s="199">
        <f t="shared" si="1"/>
        <v>15.249999999999943</v>
      </c>
      <c r="J16" s="9">
        <f t="shared" si="2"/>
        <v>5.7911392405063156E-2</v>
      </c>
      <c r="K16" s="51">
        <f>VLOOKUP(A16,'Audience 2020 pivot'!$A$3:$D$409,4,FALSE)</f>
        <v>1395962.3184360485</v>
      </c>
      <c r="L16" s="51">
        <f t="shared" si="3"/>
        <v>-926225.50674140733</v>
      </c>
      <c r="M16" s="9">
        <f t="shared" si="4"/>
        <v>-0.66350322964239772</v>
      </c>
    </row>
    <row r="17" spans="1:13" x14ac:dyDescent="0.25">
      <c r="A17" s="7" t="s">
        <v>103</v>
      </c>
      <c r="B17" s="1">
        <v>3596935</v>
      </c>
      <c r="C17" s="8">
        <v>15.061921296296298</v>
      </c>
      <c r="D17" s="1">
        <v>322084.18351205025</v>
      </c>
      <c r="E17" s="51">
        <f>VLOOKUP(A17,'Audience 2020 pivot'!$A$3:$D$409,2,FALSE)</f>
        <v>2237744</v>
      </c>
      <c r="F17" s="19">
        <f t="shared" si="0"/>
        <v>1359191</v>
      </c>
      <c r="G17" s="9">
        <f t="shared" si="5"/>
        <v>0.60739342838144128</v>
      </c>
      <c r="H17" s="198">
        <f>VLOOKUP(A17,'Audience 2020 pivot'!$A$3:$D$409,3,FALSE)</f>
        <v>14.893958333333334</v>
      </c>
      <c r="I17" s="199">
        <f t="shared" si="1"/>
        <v>4.0311111111111302</v>
      </c>
      <c r="J17" s="9">
        <f t="shared" si="2"/>
        <v>1.1277254790424296E-2</v>
      </c>
      <c r="K17" s="51">
        <f>VLOOKUP(A17,'Audience 2020 pivot'!$A$3:$D$409,4,FALSE)</f>
        <v>224203.66541091446</v>
      </c>
      <c r="L17" s="51">
        <f t="shared" si="3"/>
        <v>97880.518101135793</v>
      </c>
      <c r="M17" s="9">
        <f t="shared" si="4"/>
        <v>0.43656966054387647</v>
      </c>
    </row>
    <row r="18" spans="1:13" x14ac:dyDescent="0.25">
      <c r="A18" s="7" t="s">
        <v>92</v>
      </c>
      <c r="B18" s="1">
        <v>3266376.4450867046</v>
      </c>
      <c r="C18" s="8">
        <v>8.8527777777777779</v>
      </c>
      <c r="D18" s="1">
        <v>341492.06637966505</v>
      </c>
      <c r="E18" s="51">
        <f>VLOOKUP(A18,'Audience 2020 pivot'!$A$3:$D$409,2,FALSE)</f>
        <v>426000</v>
      </c>
      <c r="F18" s="19">
        <f t="shared" si="0"/>
        <v>2840376.4450867046</v>
      </c>
      <c r="G18" s="9">
        <f t="shared" si="5"/>
        <v>6.667550340579119</v>
      </c>
      <c r="H18" s="198">
        <f>VLOOKUP(A18,'Audience 2020 pivot'!$A$3:$D$409,3,FALSE)</f>
        <v>1.04375</v>
      </c>
      <c r="I18" s="199">
        <f t="shared" si="1"/>
        <v>187.41666666666666</v>
      </c>
      <c r="J18" s="9">
        <f t="shared" si="2"/>
        <v>7.4817032601463751</v>
      </c>
      <c r="K18" s="51">
        <f>VLOOKUP(A18,'Audience 2020 pivot'!$A$3:$D$409,4,FALSE)</f>
        <v>32716.616114069751</v>
      </c>
      <c r="L18" s="51">
        <f t="shared" si="3"/>
        <v>308775.45026559528</v>
      </c>
      <c r="M18" s="9">
        <f t="shared" si="4"/>
        <v>9.437878574881303</v>
      </c>
    </row>
    <row r="19" spans="1:13" x14ac:dyDescent="0.25">
      <c r="A19" s="7" t="s">
        <v>126</v>
      </c>
      <c r="B19" s="1">
        <v>2836775</v>
      </c>
      <c r="C19" s="8">
        <v>19.267361111111107</v>
      </c>
      <c r="D19" s="1">
        <v>141550.33437509122</v>
      </c>
      <c r="E19" s="51">
        <f>VLOOKUP(A19,'Audience 2020 pivot'!$A$3:$D$409,2,FALSE)</f>
        <v>495308</v>
      </c>
      <c r="F19" s="19">
        <f t="shared" si="0"/>
        <v>2341467</v>
      </c>
      <c r="G19" s="9">
        <f t="shared" si="5"/>
        <v>4.7272949356763876</v>
      </c>
      <c r="H19" s="198">
        <f>VLOOKUP(A19,'Audience 2020 pivot'!$A$3:$D$409,3,FALSE)</f>
        <v>19.336805555555557</v>
      </c>
      <c r="I19" s="199">
        <f t="shared" si="1"/>
        <v>-1.6666666666667993</v>
      </c>
      <c r="J19" s="9">
        <f t="shared" si="2"/>
        <v>-3.5913090321425534E-3</v>
      </c>
      <c r="K19" s="51">
        <f>VLOOKUP(A19,'Audience 2020 pivot'!$A$3:$D$409,4,FALSE)</f>
        <v>40172.22087410331</v>
      </c>
      <c r="L19" s="51">
        <f t="shared" si="3"/>
        <v>101378.11350098791</v>
      </c>
      <c r="M19" s="9">
        <f t="shared" si="4"/>
        <v>2.5235874764977324</v>
      </c>
    </row>
    <row r="20" spans="1:13" x14ac:dyDescent="0.25">
      <c r="A20" s="7" t="s">
        <v>66</v>
      </c>
      <c r="B20" s="1">
        <v>2612812</v>
      </c>
      <c r="C20" s="8">
        <v>15.524305555555557</v>
      </c>
      <c r="D20" s="1">
        <v>177647.7522736922</v>
      </c>
      <c r="E20" s="51">
        <f>VLOOKUP(A20,'Audience 2020 pivot'!$A$3:$D$409,2,FALSE)</f>
        <v>3759839</v>
      </c>
      <c r="F20" s="19">
        <f t="shared" si="0"/>
        <v>-1147027</v>
      </c>
      <c r="G20" s="9">
        <f t="shared" si="5"/>
        <v>-0.30507343532528919</v>
      </c>
      <c r="H20" s="198">
        <f>VLOOKUP(A20,'Audience 2020 pivot'!$A$3:$D$409,3,FALSE)</f>
        <v>17.416666666666664</v>
      </c>
      <c r="I20" s="199">
        <f t="shared" si="1"/>
        <v>-45.416666666666572</v>
      </c>
      <c r="J20" s="9">
        <f t="shared" si="2"/>
        <v>-0.10865231259968078</v>
      </c>
      <c r="K20" s="51">
        <f>VLOOKUP(A20,'Audience 2020 pivot'!$A$3:$D$409,4,FALSE)</f>
        <v>290217.38864845596</v>
      </c>
      <c r="L20" s="51">
        <f t="shared" si="3"/>
        <v>-112569.63637476377</v>
      </c>
      <c r="M20" s="9">
        <f t="shared" si="4"/>
        <v>-0.38788039854882994</v>
      </c>
    </row>
    <row r="21" spans="1:13" x14ac:dyDescent="0.25">
      <c r="A21" s="7" t="s">
        <v>113</v>
      </c>
      <c r="B21" s="1">
        <v>2503486</v>
      </c>
      <c r="C21" s="8">
        <v>18.877430555555552</v>
      </c>
      <c r="D21" s="1">
        <v>299178.72907265846</v>
      </c>
      <c r="E21" s="51">
        <f>VLOOKUP(A21,'Audience 2020 pivot'!$A$3:$D$409,2,FALSE)</f>
        <v>2491179</v>
      </c>
      <c r="F21" s="19">
        <f t="shared" si="0"/>
        <v>12307</v>
      </c>
      <c r="G21" s="9">
        <f t="shared" si="5"/>
        <v>4.9402311114536968E-3</v>
      </c>
      <c r="H21" s="198">
        <f>VLOOKUP(A21,'Audience 2020 pivot'!$A$3:$D$409,3,FALSE)</f>
        <v>19.724560185185183</v>
      </c>
      <c r="I21" s="199">
        <f t="shared" si="1"/>
        <v>-20.331111111111142</v>
      </c>
      <c r="J21" s="9">
        <f t="shared" si="2"/>
        <v>-4.2947960394366436E-2</v>
      </c>
      <c r="K21" s="51">
        <f>VLOOKUP(A21,'Audience 2020 pivot'!$A$3:$D$409,4,FALSE)</f>
        <v>584539.57623696246</v>
      </c>
      <c r="L21" s="51">
        <f t="shared" si="3"/>
        <v>-285360.847164304</v>
      </c>
      <c r="M21" s="9">
        <f t="shared" si="4"/>
        <v>-0.48818054202821592</v>
      </c>
    </row>
    <row r="22" spans="1:13" x14ac:dyDescent="0.25">
      <c r="A22" s="7" t="s">
        <v>8</v>
      </c>
      <c r="B22" s="1">
        <v>2136378</v>
      </c>
      <c r="C22" s="8">
        <v>15.504120370370373</v>
      </c>
      <c r="D22" s="1">
        <v>198926.28592271253</v>
      </c>
      <c r="E22" s="51">
        <f>VLOOKUP(A22,'Audience 2020 pivot'!$A$3:$D$409,2,FALSE)</f>
        <v>9220660</v>
      </c>
      <c r="F22" s="19">
        <f t="shared" si="0"/>
        <v>-7084282</v>
      </c>
      <c r="G22" s="9">
        <f t="shared" si="5"/>
        <v>-0.7683053056939525</v>
      </c>
      <c r="H22" s="198">
        <f>VLOOKUP(A22,'Audience 2020 pivot'!$A$3:$D$409,3,FALSE)</f>
        <v>27.748287037037041</v>
      </c>
      <c r="I22" s="199">
        <f t="shared" si="1"/>
        <v>-293.86</v>
      </c>
      <c r="J22" s="9">
        <f t="shared" si="2"/>
        <v>-0.44125846940835523</v>
      </c>
      <c r="K22" s="51">
        <f>VLOOKUP(A22,'Audience 2020 pivot'!$A$3:$D$409,4,FALSE)</f>
        <v>891897.74005186872</v>
      </c>
      <c r="L22" s="51">
        <f t="shared" si="3"/>
        <v>-692971.45412915619</v>
      </c>
      <c r="M22" s="9">
        <f t="shared" si="4"/>
        <v>-0.77696289945622699</v>
      </c>
    </row>
    <row r="23" spans="1:13" x14ac:dyDescent="0.25">
      <c r="A23" s="7" t="s">
        <v>83</v>
      </c>
      <c r="B23" s="1">
        <v>2121736</v>
      </c>
      <c r="C23" s="8">
        <v>11.607638888888886</v>
      </c>
      <c r="D23" s="1">
        <v>320589.23551697441</v>
      </c>
      <c r="E23" s="51">
        <f>VLOOKUP(A23,'Audience 2020 pivot'!$A$3:$D$409,2,FALSE)</f>
        <v>1156137</v>
      </c>
      <c r="F23" s="19">
        <f t="shared" si="0"/>
        <v>965599</v>
      </c>
      <c r="G23" s="9">
        <f t="shared" si="5"/>
        <v>0.83519427195911899</v>
      </c>
      <c r="H23" s="198">
        <f>VLOOKUP(A23,'Audience 2020 pivot'!$A$3:$D$409,3,FALSE)</f>
        <v>8.5555555555555554</v>
      </c>
      <c r="I23" s="199">
        <f t="shared" si="1"/>
        <v>73.249999999999929</v>
      </c>
      <c r="J23" s="9">
        <f t="shared" si="2"/>
        <v>0.35673701298701266</v>
      </c>
      <c r="K23" s="51">
        <f>VLOOKUP(A23,'Audience 2020 pivot'!$A$3:$D$409,4,FALSE)</f>
        <v>264221.67864423268</v>
      </c>
      <c r="L23" s="51">
        <f t="shared" si="3"/>
        <v>56367.556872741727</v>
      </c>
      <c r="M23" s="9">
        <f t="shared" si="4"/>
        <v>0.21333433790131617</v>
      </c>
    </row>
    <row r="24" spans="1:13" x14ac:dyDescent="0.25">
      <c r="A24" s="7" t="s">
        <v>62</v>
      </c>
      <c r="B24" s="1">
        <v>1859732</v>
      </c>
      <c r="C24" s="8">
        <v>35.085289351851856</v>
      </c>
      <c r="D24" s="1">
        <v>91119.494879050544</v>
      </c>
      <c r="E24" s="51">
        <f>VLOOKUP(A24,'Audience 2020 pivot'!$A$3:$D$409,2,FALSE)</f>
        <v>1348460</v>
      </c>
      <c r="F24" s="19">
        <f t="shared" si="0"/>
        <v>511272</v>
      </c>
      <c r="G24" s="9">
        <f t="shared" si="5"/>
        <v>0.37915251472049594</v>
      </c>
      <c r="H24" s="198">
        <f>VLOOKUP(A24,'Audience 2020 pivot'!$A$3:$D$409,3,FALSE)</f>
        <v>27.728194444444444</v>
      </c>
      <c r="I24" s="199">
        <f t="shared" si="1"/>
        <v>176.57027777777787</v>
      </c>
      <c r="J24" s="9">
        <f t="shared" si="2"/>
        <v>0.26532902898340227</v>
      </c>
      <c r="K24" s="51">
        <f>VLOOKUP(A24,'Audience 2020 pivot'!$A$3:$D$409,4,FALSE)</f>
        <v>115649.88581515405</v>
      </c>
      <c r="L24" s="51">
        <f t="shared" si="3"/>
        <v>-24530.390936103504</v>
      </c>
      <c r="M24" s="9">
        <f t="shared" si="4"/>
        <v>-0.21210908046473131</v>
      </c>
    </row>
    <row r="25" spans="1:13" x14ac:dyDescent="0.25">
      <c r="A25" s="7" t="s">
        <v>13</v>
      </c>
      <c r="B25" s="1">
        <v>1770954</v>
      </c>
      <c r="C25" s="8">
        <v>11.607638888888888</v>
      </c>
      <c r="D25" s="1">
        <v>184222.75679813229</v>
      </c>
      <c r="E25" s="51">
        <f>VLOOKUP(A25,'Audience 2020 pivot'!$A$3:$D$409,2,FALSE)</f>
        <v>1841647</v>
      </c>
      <c r="F25" s="19">
        <f t="shared" si="0"/>
        <v>-70693</v>
      </c>
      <c r="G25" s="9">
        <f t="shared" si="5"/>
        <v>-3.8385749277684567E-2</v>
      </c>
      <c r="H25" s="198">
        <f>VLOOKUP(A25,'Audience 2020 pivot'!$A$3:$D$409,3,FALSE)</f>
        <v>8.5555555555555554</v>
      </c>
      <c r="I25" s="199">
        <f t="shared" si="1"/>
        <v>73.249999999999972</v>
      </c>
      <c r="J25" s="9">
        <f t="shared" si="2"/>
        <v>0.35673701298701288</v>
      </c>
      <c r="K25" s="51">
        <f>VLOOKUP(A25,'Audience 2020 pivot'!$A$3:$D$409,4,FALSE)</f>
        <v>295216.92311873008</v>
      </c>
      <c r="L25" s="51">
        <f t="shared" si="3"/>
        <v>-110994.16632059778</v>
      </c>
      <c r="M25" s="9">
        <f t="shared" si="4"/>
        <v>-0.37597494462049608</v>
      </c>
    </row>
    <row r="26" spans="1:13" x14ac:dyDescent="0.25">
      <c r="A26" s="7" t="s">
        <v>43</v>
      </c>
      <c r="B26" s="1">
        <v>1608925</v>
      </c>
      <c r="C26" s="8">
        <v>15.27457175925926</v>
      </c>
      <c r="D26" s="1">
        <v>81694.569433812823</v>
      </c>
      <c r="E26" s="51">
        <f>VLOOKUP(A26,'Audience 2020 pivot'!$A$3:$D$409,2,FALSE)</f>
        <v>756724</v>
      </c>
      <c r="F26" s="19">
        <f t="shared" si="0"/>
        <v>852201</v>
      </c>
      <c r="G26" s="9">
        <f t="shared" si="5"/>
        <v>1.126171497137662</v>
      </c>
      <c r="H26" s="198">
        <f>VLOOKUP(A26,'Audience 2020 pivot'!$A$3:$D$409,3,FALSE)</f>
        <v>15.191041666666665</v>
      </c>
      <c r="I26" s="199">
        <f t="shared" si="1"/>
        <v>2.00472222222227</v>
      </c>
      <c r="J26" s="9">
        <f t="shared" si="2"/>
        <v>5.4986415300197766E-3</v>
      </c>
      <c r="K26" s="51">
        <f>VLOOKUP(A26,'Audience 2020 pivot'!$A$3:$D$409,4,FALSE)</f>
        <v>48100.581668095983</v>
      </c>
      <c r="L26" s="51">
        <f t="shared" si="3"/>
        <v>33593.98776571684</v>
      </c>
      <c r="M26" s="9">
        <f t="shared" si="4"/>
        <v>0.69841125825717332</v>
      </c>
    </row>
    <row r="27" spans="1:13" x14ac:dyDescent="0.25">
      <c r="A27" s="7" t="s">
        <v>23</v>
      </c>
      <c r="B27" s="1">
        <v>1572341</v>
      </c>
      <c r="C27" s="8">
        <v>14.888483796296295</v>
      </c>
      <c r="D27" s="1">
        <v>45513.457030665391</v>
      </c>
      <c r="E27" s="51">
        <f>VLOOKUP(A27,'Audience 2020 pivot'!$A$3:$D$409,2,FALSE)</f>
        <v>4717321</v>
      </c>
      <c r="F27" s="19">
        <f t="shared" si="0"/>
        <v>-3144980</v>
      </c>
      <c r="G27" s="9">
        <f t="shared" si="5"/>
        <v>-0.66668772381612362</v>
      </c>
      <c r="H27" s="198">
        <f>VLOOKUP(A27,'Audience 2020 pivot'!$A$3:$D$409,3,FALSE)</f>
        <v>15.408877314814813</v>
      </c>
      <c r="I27" s="199">
        <f t="shared" si="1"/>
        <v>-12.489444444444416</v>
      </c>
      <c r="J27" s="9">
        <f t="shared" si="2"/>
        <v>-3.3772318896859943E-2</v>
      </c>
      <c r="K27" s="51">
        <f>VLOOKUP(A27,'Audience 2020 pivot'!$A$3:$D$409,4,FALSE)</f>
        <v>153707.91905016178</v>
      </c>
      <c r="L27" s="51">
        <f t="shared" si="3"/>
        <v>-108194.46201949639</v>
      </c>
      <c r="M27" s="9">
        <f t="shared" si="4"/>
        <v>-0.7038964725310457</v>
      </c>
    </row>
    <row r="28" spans="1:13" x14ac:dyDescent="0.25">
      <c r="A28" s="7" t="s">
        <v>110</v>
      </c>
      <c r="B28" s="1">
        <v>1396766</v>
      </c>
      <c r="C28" s="8">
        <v>7.2315509259259256</v>
      </c>
      <c r="D28" s="1">
        <v>181703.241363768</v>
      </c>
      <c r="E28" s="51">
        <f>VLOOKUP(A28,'Audience 2020 pivot'!$A$3:$D$409,2,FALSE)</f>
        <v>1639740</v>
      </c>
      <c r="F28" s="19">
        <f t="shared" si="0"/>
        <v>-242974</v>
      </c>
      <c r="G28" s="9">
        <f t="shared" si="5"/>
        <v>-0.14817836974154441</v>
      </c>
      <c r="H28" s="198">
        <f>VLOOKUP(A28,'Audience 2020 pivot'!$A$3:$D$409,3,FALSE)</f>
        <v>7.3123726851851849</v>
      </c>
      <c r="I28" s="199">
        <f t="shared" si="1"/>
        <v>-1.9397222222222226</v>
      </c>
      <c r="J28" s="9">
        <f t="shared" si="2"/>
        <v>-1.1052740709319053E-2</v>
      </c>
      <c r="K28" s="51">
        <f>VLOOKUP(A28,'Audience 2020 pivot'!$A$3:$D$409,4,FALSE)</f>
        <v>270339.05081908719</v>
      </c>
      <c r="L28" s="51">
        <f t="shared" si="3"/>
        <v>-88635.809455319191</v>
      </c>
      <c r="M28" s="9">
        <f t="shared" si="4"/>
        <v>-0.32786905623425788</v>
      </c>
    </row>
    <row r="29" spans="1:13" x14ac:dyDescent="0.25">
      <c r="A29" s="7" t="s">
        <v>29</v>
      </c>
      <c r="B29" s="1">
        <v>1384682</v>
      </c>
      <c r="C29" s="8">
        <v>15.094548611111112</v>
      </c>
      <c r="D29" s="1">
        <v>186795.11792465864</v>
      </c>
      <c r="E29" s="51">
        <f>VLOOKUP(A29,'Audience 2020 pivot'!$A$3:$D$409,2,FALSE)</f>
        <v>97836</v>
      </c>
      <c r="F29" s="19">
        <f t="shared" si="0"/>
        <v>1286846</v>
      </c>
      <c r="G29" s="9">
        <f t="shared" si="5"/>
        <v>13.153092931027434</v>
      </c>
      <c r="H29" s="198">
        <f>VLOOKUP(A29,'Audience 2020 pivot'!$A$3:$D$409,3,FALSE)</f>
        <v>0.12961805555555556</v>
      </c>
      <c r="I29" s="199">
        <f t="shared" si="1"/>
        <v>359.15833333333336</v>
      </c>
      <c r="J29" s="9">
        <f t="shared" si="2"/>
        <v>115.45405839807125</v>
      </c>
      <c r="K29" s="51">
        <f>VLOOKUP(A29,'Audience 2020 pivot'!$A$3:$D$409,4,FALSE)</f>
        <v>7335.8399757271745</v>
      </c>
      <c r="L29" s="51">
        <f t="shared" si="3"/>
        <v>179459.27794893147</v>
      </c>
      <c r="M29" s="9">
        <f t="shared" si="4"/>
        <v>24.463357780803054</v>
      </c>
    </row>
    <row r="30" spans="1:13" x14ac:dyDescent="0.25">
      <c r="A30" s="7" t="s">
        <v>54</v>
      </c>
      <c r="B30" s="1">
        <v>1383203</v>
      </c>
      <c r="C30" s="8">
        <v>15.648611111111112</v>
      </c>
      <c r="D30" s="1">
        <v>57614.9419590412</v>
      </c>
      <c r="E30" s="51">
        <f>VLOOKUP(A30,'Audience 2020 pivot'!$A$3:$D$409,2,FALSE)</f>
        <v>1090591</v>
      </c>
      <c r="F30" s="19">
        <f t="shared" si="0"/>
        <v>292612</v>
      </c>
      <c r="G30" s="9">
        <f t="shared" si="5"/>
        <v>0.26830590019539868</v>
      </c>
      <c r="H30" s="198">
        <f>VLOOKUP(A30,'Audience 2020 pivot'!$A$3:$D$409,3,FALSE)</f>
        <v>15.004166666666666</v>
      </c>
      <c r="I30" s="199">
        <f t="shared" si="1"/>
        <v>15.466666666666697</v>
      </c>
      <c r="J30" s="9">
        <f t="shared" si="2"/>
        <v>4.2951032120707389E-2</v>
      </c>
      <c r="K30" s="51">
        <f>VLOOKUP(A30,'Audience 2020 pivot'!$A$3:$D$409,4,FALSE)</f>
        <v>68211.647894795722</v>
      </c>
      <c r="L30" s="51">
        <f t="shared" si="3"/>
        <v>-10596.705935754522</v>
      </c>
      <c r="M30" s="9">
        <f t="shared" si="4"/>
        <v>-0.15535038754815078</v>
      </c>
    </row>
    <row r="31" spans="1:13" x14ac:dyDescent="0.25">
      <c r="A31" s="7" t="s">
        <v>114</v>
      </c>
      <c r="B31" s="1">
        <v>1015610</v>
      </c>
      <c r="C31" s="8">
        <v>28.854166666666668</v>
      </c>
      <c r="D31" s="1">
        <v>23170.450743598569</v>
      </c>
      <c r="E31" s="51">
        <f>VLOOKUP(A31,'Audience 2020 pivot'!$A$3:$D$409,2,FALSE)</f>
        <v>1828104</v>
      </c>
      <c r="F31" s="19">
        <f t="shared" si="0"/>
        <v>-812494</v>
      </c>
      <c r="G31" s="9">
        <f t="shared" si="5"/>
        <v>-0.4444462678272133</v>
      </c>
      <c r="H31" s="198">
        <f>VLOOKUP(A31,'Audience 2020 pivot'!$A$3:$D$409,3,FALSE)</f>
        <v>16.434027777777779</v>
      </c>
      <c r="I31" s="199">
        <f t="shared" si="1"/>
        <v>298.08333333333337</v>
      </c>
      <c r="J31" s="9">
        <f t="shared" si="2"/>
        <v>0.75575744770758502</v>
      </c>
      <c r="K31" s="51">
        <f>VLOOKUP(A31,'Audience 2020 pivot'!$A$3:$D$409,4,FALSE)</f>
        <v>35805.884340889126</v>
      </c>
      <c r="L31" s="51">
        <f t="shared" si="3"/>
        <v>-12635.433597290557</v>
      </c>
      <c r="M31" s="9">
        <f t="shared" si="4"/>
        <v>-0.35288706953849236</v>
      </c>
    </row>
    <row r="32" spans="1:13" x14ac:dyDescent="0.25">
      <c r="A32" s="7" t="s">
        <v>17</v>
      </c>
      <c r="B32" s="1">
        <v>984174.12793760281</v>
      </c>
      <c r="C32" s="8">
        <v>9.9191435185185188</v>
      </c>
      <c r="D32" s="1">
        <v>153271.42691803104</v>
      </c>
      <c r="E32" s="51">
        <f>VLOOKUP(A32,'Audience 2020 pivot'!$A$3:$D$409,2,FALSE)</f>
        <v>1570474.6012465465</v>
      </c>
      <c r="F32" s="19">
        <f t="shared" si="0"/>
        <v>-586300.47330894368</v>
      </c>
      <c r="G32" s="9">
        <f t="shared" si="5"/>
        <v>-0.3733269375025704</v>
      </c>
      <c r="H32" s="198">
        <f>VLOOKUP(A32,'Audience 2020 pivot'!$A$3:$D$409,3,FALSE)</f>
        <v>11.342638888888889</v>
      </c>
      <c r="I32" s="199">
        <f t="shared" si="1"/>
        <v>-34.163888888888877</v>
      </c>
      <c r="J32" s="9">
        <f t="shared" si="2"/>
        <v>-0.12549948775719277</v>
      </c>
      <c r="K32" s="51">
        <f>VLOOKUP(A32,'Audience 2020 pivot'!$A$3:$D$409,4,FALSE)</f>
        <v>359479.03420632321</v>
      </c>
      <c r="L32" s="51">
        <f t="shared" si="3"/>
        <v>-206207.60728829217</v>
      </c>
      <c r="M32" s="9">
        <f t="shared" si="4"/>
        <v>-0.57362902329914234</v>
      </c>
    </row>
    <row r="33" spans="1:13" x14ac:dyDescent="0.25">
      <c r="A33" s="7" t="s">
        <v>109</v>
      </c>
      <c r="B33" s="1">
        <v>940694</v>
      </c>
      <c r="C33" s="8">
        <v>29.158240740740737</v>
      </c>
      <c r="D33" s="1">
        <v>11801.840040722276</v>
      </c>
      <c r="E33" s="51">
        <f>VLOOKUP(A33,'Audience 2020 pivot'!$A$3:$D$409,2,FALSE)</f>
        <v>830876</v>
      </c>
      <c r="F33" s="19">
        <f t="shared" si="0"/>
        <v>109818</v>
      </c>
      <c r="G33" s="9">
        <f t="shared" si="5"/>
        <v>0.13217134686764331</v>
      </c>
      <c r="H33" s="198">
        <f>VLOOKUP(A33,'Audience 2020 pivot'!$A$3:$D$409,3,FALSE)</f>
        <v>23.721504629629628</v>
      </c>
      <c r="I33" s="199">
        <f t="shared" si="1"/>
        <v>130.48166666666663</v>
      </c>
      <c r="J33" s="9">
        <f t="shared" si="2"/>
        <v>0.22919018822778581</v>
      </c>
      <c r="K33" s="51">
        <f>VLOOKUP(A33,'Audience 2020 pivot'!$A$3:$D$409,4,FALSE)</f>
        <v>9141.7488144493491</v>
      </c>
      <c r="L33" s="51">
        <f t="shared" si="3"/>
        <v>2660.0912262729271</v>
      </c>
      <c r="M33" s="9">
        <f t="shared" si="4"/>
        <v>0.29098275179781963</v>
      </c>
    </row>
    <row r="34" spans="1:13" x14ac:dyDescent="0.25">
      <c r="A34" s="7" t="s">
        <v>63</v>
      </c>
      <c r="B34" s="1">
        <v>906994</v>
      </c>
      <c r="C34" s="8">
        <v>12.045138888888888</v>
      </c>
      <c r="D34" s="1">
        <v>12423.721184930168</v>
      </c>
      <c r="E34" s="51">
        <f>VLOOKUP(A34,'Audience 2020 pivot'!$A$3:$D$409,2,FALSE)</f>
        <v>1092047</v>
      </c>
      <c r="F34" s="19">
        <f t="shared" si="0"/>
        <v>-185053</v>
      </c>
      <c r="G34" s="9">
        <f t="shared" si="5"/>
        <v>-0.16945516081267564</v>
      </c>
      <c r="H34" s="198">
        <f>VLOOKUP(A34,'Audience 2020 pivot'!$A$3:$D$409,3,FALSE)</f>
        <v>12.6875</v>
      </c>
      <c r="I34" s="199">
        <f t="shared" si="1"/>
        <v>-15.4166666666667</v>
      </c>
      <c r="J34" s="9">
        <f t="shared" si="2"/>
        <v>-5.0629447181171461E-2</v>
      </c>
      <c r="K34" s="51">
        <f>VLOOKUP(A34,'Audience 2020 pivot'!$A$3:$D$409,4,FALSE)</f>
        <v>26714.077858473287</v>
      </c>
      <c r="L34" s="51">
        <f t="shared" si="3"/>
        <v>-14290.35667354312</v>
      </c>
      <c r="M34" s="9">
        <f t="shared" si="4"/>
        <v>-0.53493729969834769</v>
      </c>
    </row>
    <row r="35" spans="1:13" x14ac:dyDescent="0.25">
      <c r="A35" s="7" t="s">
        <v>60</v>
      </c>
      <c r="B35" s="1">
        <v>850688</v>
      </c>
      <c r="C35" s="8">
        <v>14.600810185185185</v>
      </c>
      <c r="D35" s="1">
        <v>94001.816581376712</v>
      </c>
      <c r="E35" s="51">
        <f>VLOOKUP(A35,'Audience 2020 pivot'!$A$3:$D$409,2,FALSE)</f>
        <v>980899</v>
      </c>
      <c r="F35" s="19">
        <f t="shared" si="0"/>
        <v>-130211</v>
      </c>
      <c r="G35" s="9">
        <f t="shared" si="5"/>
        <v>-0.13274659266652322</v>
      </c>
      <c r="H35" s="198">
        <f>VLOOKUP(A35,'Audience 2020 pivot'!$A$3:$D$409,3,FALSE)</f>
        <v>14.913842592592591</v>
      </c>
      <c r="I35" s="199">
        <f t="shared" si="1"/>
        <v>-7.5127777777777283</v>
      </c>
      <c r="J35" s="9">
        <f t="shared" si="2"/>
        <v>-2.0989386569151725E-2</v>
      </c>
      <c r="K35" s="51">
        <f>VLOOKUP(A35,'Audience 2020 pivot'!$A$3:$D$409,4,FALSE)</f>
        <v>114019.21852957932</v>
      </c>
      <c r="L35" s="51">
        <f t="shared" si="3"/>
        <v>-20017.401948202605</v>
      </c>
      <c r="M35" s="9">
        <f t="shared" si="4"/>
        <v>-0.17556164834623567</v>
      </c>
    </row>
    <row r="36" spans="1:13" x14ac:dyDescent="0.25">
      <c r="A36" s="7" t="s">
        <v>19</v>
      </c>
      <c r="B36" s="1">
        <v>780409</v>
      </c>
      <c r="C36" s="8">
        <v>35.085289351851856</v>
      </c>
      <c r="D36" s="1">
        <v>37939.790194397545</v>
      </c>
      <c r="E36" s="51">
        <f>VLOOKUP(A36,'Audience 2020 pivot'!$A$3:$D$409,2,FALSE)</f>
        <v>2549070</v>
      </c>
      <c r="F36" s="19">
        <f t="shared" si="0"/>
        <v>-1768661</v>
      </c>
      <c r="G36" s="9">
        <f t="shared" si="5"/>
        <v>-0.6938455985908587</v>
      </c>
      <c r="H36" s="198">
        <f>VLOOKUP(A36,'Audience 2020 pivot'!$A$3:$D$409,3,FALSE)</f>
        <v>27.728194444444444</v>
      </c>
      <c r="I36" s="199">
        <f t="shared" si="1"/>
        <v>176.57027777777787</v>
      </c>
      <c r="J36" s="9">
        <f t="shared" si="2"/>
        <v>0.26532902898340227</v>
      </c>
      <c r="K36" s="51">
        <f>VLOOKUP(A36,'Audience 2020 pivot'!$A$3:$D$409,4,FALSE)</f>
        <v>250210.55327166023</v>
      </c>
      <c r="L36" s="51">
        <f t="shared" si="3"/>
        <v>-212270.76307726267</v>
      </c>
      <c r="M36" s="9">
        <f t="shared" si="4"/>
        <v>-0.84836854521797367</v>
      </c>
    </row>
    <row r="37" spans="1:13" x14ac:dyDescent="0.25">
      <c r="A37" s="7" t="s">
        <v>59</v>
      </c>
      <c r="B37" s="1">
        <v>737663</v>
      </c>
      <c r="C37" s="8">
        <v>31.055555555555554</v>
      </c>
      <c r="D37" s="1">
        <v>52681.278198396314</v>
      </c>
      <c r="E37" s="51">
        <f>VLOOKUP(A37,'Audience 2020 pivot'!$A$3:$D$409,2,FALSE)</f>
        <v>218237</v>
      </c>
      <c r="F37" s="19">
        <f t="shared" si="0"/>
        <v>519426</v>
      </c>
      <c r="G37" s="9">
        <f t="shared" si="5"/>
        <v>2.3801005329068858</v>
      </c>
      <c r="H37" s="198">
        <f>VLOOKUP(A37,'Audience 2020 pivot'!$A$3:$D$409,3,FALSE)</f>
        <v>12.222222222222223</v>
      </c>
      <c r="I37" s="199">
        <f t="shared" si="1"/>
        <v>451.99999999999989</v>
      </c>
      <c r="J37" s="9">
        <f t="shared" si="2"/>
        <v>1.5409090909090906</v>
      </c>
      <c r="K37" s="51">
        <f>VLOOKUP(A37,'Audience 2020 pivot'!$A$3:$D$409,4,FALSE)</f>
        <v>39563.067636728047</v>
      </c>
      <c r="L37" s="51">
        <f t="shared" si="3"/>
        <v>13118.210561668267</v>
      </c>
      <c r="M37" s="9">
        <f t="shared" si="4"/>
        <v>0.33157718410819292</v>
      </c>
    </row>
    <row r="38" spans="1:13" x14ac:dyDescent="0.25">
      <c r="A38" s="7" t="s">
        <v>44</v>
      </c>
      <c r="B38" s="1">
        <v>546477</v>
      </c>
      <c r="C38" s="8">
        <v>8.8149537037037042</v>
      </c>
      <c r="D38" s="1">
        <v>19659.250434742746</v>
      </c>
      <c r="E38" s="51">
        <f>VLOOKUP(A38,'Audience 2020 pivot'!$A$3:$D$409,2,FALSE)</f>
        <v>380455</v>
      </c>
      <c r="F38" s="19">
        <f t="shared" si="0"/>
        <v>166022</v>
      </c>
      <c r="G38" s="9">
        <f t="shared" si="5"/>
        <v>0.43637749536738912</v>
      </c>
      <c r="H38" s="198">
        <f>VLOOKUP(A38,'Audience 2020 pivot'!$A$3:$D$409,3,FALSE)</f>
        <v>9.2971643518518512</v>
      </c>
      <c r="I38" s="199">
        <f t="shared" si="1"/>
        <v>-11.573055555555527</v>
      </c>
      <c r="J38" s="9">
        <f t="shared" si="2"/>
        <v>-5.1866421835610299E-2</v>
      </c>
      <c r="K38" s="51">
        <f>VLOOKUP(A38,'Audience 2020 pivot'!$A$3:$D$409,4,FALSE)</f>
        <v>19591.293224508736</v>
      </c>
      <c r="L38" s="51">
        <f t="shared" si="3"/>
        <v>67.957210234009835</v>
      </c>
      <c r="M38" s="9">
        <f t="shared" si="4"/>
        <v>3.46874550113907E-3</v>
      </c>
    </row>
    <row r="39" spans="1:13" x14ac:dyDescent="0.25">
      <c r="A39" s="7" t="s">
        <v>53</v>
      </c>
      <c r="B39" s="1">
        <v>372872</v>
      </c>
      <c r="C39" s="8">
        <v>13.458032407407407</v>
      </c>
      <c r="D39" s="1">
        <v>34581.475495904466</v>
      </c>
      <c r="E39" s="51" t="e">
        <f>VLOOKUP(A39,'Audience 2020 pivot'!$A$3:$D$409,2,FALSE)</f>
        <v>#N/A</v>
      </c>
      <c r="F39" s="19" t="e">
        <f t="shared" si="0"/>
        <v>#N/A</v>
      </c>
      <c r="G39" s="9" t="e">
        <f t="shared" si="5"/>
        <v>#N/A</v>
      </c>
      <c r="H39" s="198" t="e">
        <f>VLOOKUP(A39,'Audience 2020 pivot'!$A$3:$D$409,3,FALSE)</f>
        <v>#N/A</v>
      </c>
      <c r="I39" s="199" t="e">
        <f t="shared" si="1"/>
        <v>#N/A</v>
      </c>
      <c r="J39" s="9" t="e">
        <f t="shared" si="2"/>
        <v>#N/A</v>
      </c>
      <c r="K39" s="51" t="e">
        <f>VLOOKUP(A39,'Audience 2020 pivot'!$A$3:$D$409,4,FALSE)</f>
        <v>#N/A</v>
      </c>
      <c r="L39" s="51" t="e">
        <f t="shared" si="3"/>
        <v>#N/A</v>
      </c>
      <c r="M39" s="9" t="e">
        <f t="shared" si="4"/>
        <v>#N/A</v>
      </c>
    </row>
    <row r="40" spans="1:13" x14ac:dyDescent="0.25">
      <c r="A40" s="7" t="s">
        <v>67</v>
      </c>
      <c r="B40" s="1">
        <v>350502</v>
      </c>
      <c r="C40" s="8">
        <v>8</v>
      </c>
      <c r="D40" s="1">
        <v>17626.271175928556</v>
      </c>
      <c r="E40" s="51">
        <f>VLOOKUP(A40,'Audience 2020 pivot'!$A$3:$D$409,2,FALSE)</f>
        <v>379178</v>
      </c>
      <c r="F40" s="19">
        <f t="shared" si="0"/>
        <v>-28676</v>
      </c>
      <c r="G40" s="9">
        <f t="shared" si="5"/>
        <v>-7.562675049712797E-2</v>
      </c>
      <c r="H40" s="198">
        <f>VLOOKUP(A40,'Audience 2020 pivot'!$A$3:$D$409,3,FALSE)</f>
        <v>8.6173611111111104</v>
      </c>
      <c r="I40" s="199">
        <f t="shared" si="1"/>
        <v>-14.816666666666649</v>
      </c>
      <c r="J40" s="9">
        <f t="shared" si="2"/>
        <v>-7.1641550487549277E-2</v>
      </c>
      <c r="K40" s="51">
        <f>VLOOKUP(A40,'Audience 2020 pivot'!$A$3:$D$409,4,FALSE)</f>
        <v>126944.54269349776</v>
      </c>
      <c r="L40" s="51">
        <f t="shared" si="3"/>
        <v>-109318.2715175692</v>
      </c>
      <c r="M40" s="9">
        <f t="shared" si="4"/>
        <v>-0.86114983124176958</v>
      </c>
    </row>
    <row r="41" spans="1:13" x14ac:dyDescent="0.25">
      <c r="A41" s="7" t="s">
        <v>99</v>
      </c>
      <c r="B41" s="1">
        <v>338894</v>
      </c>
      <c r="C41" s="8">
        <v>10.758032407407406</v>
      </c>
      <c r="D41" s="1">
        <v>26466.700650990671</v>
      </c>
      <c r="E41" s="51">
        <f>VLOOKUP(A41,'Audience 2020 pivot'!$A$3:$D$409,2,FALSE)</f>
        <v>252159</v>
      </c>
      <c r="F41" s="19">
        <f t="shared" si="0"/>
        <v>86735</v>
      </c>
      <c r="G41" s="9">
        <f t="shared" si="5"/>
        <v>0.3439694795743955</v>
      </c>
      <c r="H41" s="198">
        <f>VLOOKUP(A41,'Audience 2020 pivot'!$A$3:$D$409,3,FALSE)</f>
        <v>9.1104282407407418</v>
      </c>
      <c r="I41" s="199">
        <f t="shared" si="1"/>
        <v>39.542499999999933</v>
      </c>
      <c r="J41" s="9">
        <f t="shared" si="2"/>
        <v>0.18084815808095334</v>
      </c>
      <c r="K41" s="51">
        <f>VLOOKUP(A41,'Audience 2020 pivot'!$A$3:$D$409,4,FALSE)</f>
        <v>30112.983519680874</v>
      </c>
      <c r="L41" s="51">
        <f t="shared" si="3"/>
        <v>-3646.282868690203</v>
      </c>
      <c r="M41" s="9">
        <f t="shared" si="4"/>
        <v>-0.12108673543779247</v>
      </c>
    </row>
    <row r="42" spans="1:13" x14ac:dyDescent="0.25">
      <c r="A42" s="7" t="s">
        <v>104</v>
      </c>
      <c r="B42" s="1">
        <v>256399.99999999997</v>
      </c>
      <c r="C42" s="8">
        <v>8.3333333333333329E-2</v>
      </c>
      <c r="D42" s="1">
        <v>3294.6542793545868</v>
      </c>
      <c r="E42" s="51">
        <f>VLOOKUP(A42,'Audience 2020 pivot'!$A$3:$D$409,2,FALSE)</f>
        <v>84033</v>
      </c>
      <c r="F42" s="19">
        <f t="shared" ref="F42:F48" si="6">B42-E42</f>
        <v>172366.99999999997</v>
      </c>
      <c r="G42" s="9">
        <f t="shared" ref="G42:G48" si="7">B42/E42-1</f>
        <v>2.0511822736305971</v>
      </c>
      <c r="H42" s="198">
        <f>VLOOKUP(A42,'Audience 2020 pivot'!$A$3:$D$409,3,FALSE)</f>
        <v>0.12983796296296296</v>
      </c>
      <c r="I42" s="199">
        <f t="shared" si="1"/>
        <v>-1.1161111111111111</v>
      </c>
      <c r="J42" s="9">
        <f t="shared" ref="J42:J48" si="8">C42/H42-1</f>
        <v>-0.35817436263148517</v>
      </c>
      <c r="K42" s="51">
        <f>VLOOKUP(A42,'Audience 2020 pivot'!$A$3:$D$409,4,FALSE)</f>
        <v>2784.8471524953184</v>
      </c>
      <c r="L42" s="51">
        <f t="shared" ref="L42:L48" si="9">D42-K42</f>
        <v>509.80712685926846</v>
      </c>
      <c r="M42" s="9">
        <f t="shared" ref="M42:M48" si="10">D42/K42-1</f>
        <v>0.18306467067769372</v>
      </c>
    </row>
    <row r="43" spans="1:13" x14ac:dyDescent="0.25">
      <c r="A43" s="7" t="s">
        <v>95</v>
      </c>
      <c r="B43" s="1">
        <v>189214</v>
      </c>
      <c r="C43" s="8">
        <v>5.625</v>
      </c>
      <c r="D43" s="1">
        <v>20564.144963333529</v>
      </c>
      <c r="E43" s="51">
        <f>VLOOKUP(A43,'Audience 2020 pivot'!$A$3:$D$409,2,FALSE)</f>
        <v>96051</v>
      </c>
      <c r="F43" s="19">
        <f t="shared" si="6"/>
        <v>93163</v>
      </c>
      <c r="G43" s="9">
        <f t="shared" si="7"/>
        <v>0.96993263995169232</v>
      </c>
      <c r="H43" s="198">
        <f>VLOOKUP(A43,'Audience 2020 pivot'!$A$3:$D$409,3,FALSE)</f>
        <v>3.479166666666667</v>
      </c>
      <c r="I43" s="199">
        <f t="shared" si="1"/>
        <v>51.499999999999993</v>
      </c>
      <c r="J43" s="9">
        <f t="shared" si="8"/>
        <v>0.61676646706586813</v>
      </c>
      <c r="K43" s="51">
        <f>VLOOKUP(A43,'Audience 2020 pivot'!$A$3:$D$409,4,FALSE)</f>
        <v>14577.413060792567</v>
      </c>
      <c r="L43" s="51">
        <f t="shared" si="9"/>
        <v>5986.7319025409615</v>
      </c>
      <c r="M43" s="9">
        <f t="shared" si="10"/>
        <v>0.41068548154424489</v>
      </c>
    </row>
    <row r="44" spans="1:13" x14ac:dyDescent="0.25">
      <c r="A44" s="7" t="s">
        <v>97</v>
      </c>
      <c r="B44" s="1">
        <v>155661</v>
      </c>
      <c r="C44" s="8">
        <v>8.2768981481481472</v>
      </c>
      <c r="D44" s="1">
        <v>15173.402093360795</v>
      </c>
      <c r="E44" s="51">
        <f>VLOOKUP(A44,'Audience 2020 pivot'!$A$3:$D$409,2,FALSE)</f>
        <v>171302</v>
      </c>
      <c r="F44" s="19">
        <f t="shared" si="6"/>
        <v>-15641</v>
      </c>
      <c r="G44" s="9">
        <f t="shared" si="7"/>
        <v>-9.130658135923686E-2</v>
      </c>
      <c r="H44" s="198">
        <f>VLOOKUP(A44,'Audience 2020 pivot'!$A$3:$D$409,3,FALSE)</f>
        <v>9.57568287037037</v>
      </c>
      <c r="I44" s="199">
        <f t="shared" si="1"/>
        <v>-31.170833333333348</v>
      </c>
      <c r="J44" s="9">
        <f t="shared" si="8"/>
        <v>-0.13563363989851807</v>
      </c>
      <c r="K44" s="51">
        <f>VLOOKUP(A44,'Audience 2020 pivot'!$A$3:$D$409,4,FALSE)</f>
        <v>20976.445982046971</v>
      </c>
      <c r="L44" s="51">
        <f t="shared" si="9"/>
        <v>-5803.0438886861757</v>
      </c>
      <c r="M44" s="9">
        <f t="shared" si="10"/>
        <v>-0.27664571461022536</v>
      </c>
    </row>
    <row r="45" spans="1:13" x14ac:dyDescent="0.25">
      <c r="A45" s="7" t="s">
        <v>81</v>
      </c>
      <c r="B45" s="1">
        <v>141921</v>
      </c>
      <c r="C45" s="8">
        <v>15.504120370370373</v>
      </c>
      <c r="D45" s="1">
        <v>23614.496170902574</v>
      </c>
      <c r="E45" s="51">
        <f>VLOOKUP(A45,'Audience 2020 pivot'!$A$3:$D$409,2,FALSE)</f>
        <v>190000</v>
      </c>
      <c r="F45" s="19">
        <f t="shared" si="6"/>
        <v>-48079</v>
      </c>
      <c r="G45" s="9">
        <f t="shared" si="7"/>
        <v>-0.25304736842105258</v>
      </c>
      <c r="H45" s="198">
        <f>VLOOKUP(A45,'Audience 2020 pivot'!$A$3:$D$409,3,FALSE)</f>
        <v>27.748287037037041</v>
      </c>
      <c r="I45" s="199">
        <f t="shared" si="1"/>
        <v>-293.86</v>
      </c>
      <c r="J45" s="9">
        <f t="shared" si="8"/>
        <v>-0.44125846940835523</v>
      </c>
      <c r="K45" s="51">
        <f>VLOOKUP(A45,'Audience 2020 pivot'!$A$3:$D$409,4,FALSE)</f>
        <v>20862.924408086445</v>
      </c>
      <c r="L45" s="51">
        <f t="shared" si="9"/>
        <v>2751.5717628161292</v>
      </c>
      <c r="M45" s="9">
        <f t="shared" si="10"/>
        <v>0.13188811448454585</v>
      </c>
    </row>
    <row r="46" spans="1:13" x14ac:dyDescent="0.25">
      <c r="A46" s="7" t="s">
        <v>90</v>
      </c>
      <c r="B46" s="1">
        <v>93729</v>
      </c>
      <c r="C46" s="8">
        <v>10.333333333333334</v>
      </c>
      <c r="D46" s="1">
        <v>10753.632671406536</v>
      </c>
      <c r="E46" s="51" t="e">
        <f>VLOOKUP(A46,'Audience 2020 pivot'!$A$3:$D$409,2,FALSE)</f>
        <v>#N/A</v>
      </c>
      <c r="F46" s="19" t="e">
        <f t="shared" si="6"/>
        <v>#N/A</v>
      </c>
      <c r="G46" s="9" t="e">
        <f t="shared" si="7"/>
        <v>#N/A</v>
      </c>
      <c r="H46" s="198" t="e">
        <f>VLOOKUP(A46,'Audience 2020 pivot'!$A$3:$D$409,3,FALSE)</f>
        <v>#N/A</v>
      </c>
      <c r="I46" s="199" t="e">
        <f t="shared" si="1"/>
        <v>#N/A</v>
      </c>
      <c r="J46" s="9" t="e">
        <f t="shared" si="8"/>
        <v>#N/A</v>
      </c>
      <c r="K46" s="51" t="e">
        <f>VLOOKUP(A46,'Audience 2020 pivot'!$A$3:$D$409,4,FALSE)</f>
        <v>#N/A</v>
      </c>
      <c r="L46" s="51" t="e">
        <f t="shared" si="9"/>
        <v>#N/A</v>
      </c>
      <c r="M46" s="9" t="e">
        <f t="shared" si="10"/>
        <v>#N/A</v>
      </c>
    </row>
    <row r="47" spans="1:13" x14ac:dyDescent="0.25">
      <c r="A47" s="7" t="s">
        <v>64</v>
      </c>
      <c r="B47" s="1">
        <v>59300</v>
      </c>
      <c r="C47" s="8">
        <v>0.15555555555555556</v>
      </c>
      <c r="D47" s="1">
        <v>4694.8663493885351</v>
      </c>
      <c r="E47" s="51" t="e">
        <f>VLOOKUP(A47,'Audience 2020 pivot'!$A$3:$D$409,2,FALSE)</f>
        <v>#N/A</v>
      </c>
      <c r="F47" s="19" t="e">
        <f t="shared" si="6"/>
        <v>#N/A</v>
      </c>
      <c r="G47" s="9" t="e">
        <f t="shared" si="7"/>
        <v>#N/A</v>
      </c>
      <c r="H47" s="198" t="e">
        <f>VLOOKUP(A47,'Audience 2020 pivot'!$A$3:$D$409,3,FALSE)</f>
        <v>#N/A</v>
      </c>
      <c r="I47" s="199" t="e">
        <f>(C47-H47)*24</f>
        <v>#N/A</v>
      </c>
      <c r="J47" s="9" t="e">
        <f t="shared" si="8"/>
        <v>#N/A</v>
      </c>
      <c r="K47" s="51" t="e">
        <f>VLOOKUP(A47,'Audience 2020 pivot'!$A$3:$D$409,4,FALSE)</f>
        <v>#N/A</v>
      </c>
      <c r="L47" s="51" t="e">
        <f t="shared" si="9"/>
        <v>#N/A</v>
      </c>
      <c r="M47" s="9" t="e">
        <f t="shared" si="10"/>
        <v>#N/A</v>
      </c>
    </row>
    <row r="48" spans="1:13" x14ac:dyDescent="0.25">
      <c r="A48" s="7" t="s">
        <v>106</v>
      </c>
      <c r="B48" s="1">
        <v>59277</v>
      </c>
      <c r="C48" s="8">
        <v>14.524305555555554</v>
      </c>
      <c r="D48" s="1">
        <v>6220.2314057371495</v>
      </c>
      <c r="E48" s="51">
        <f>VLOOKUP(A48,'Audience 2020 pivot'!$A$3:$D$409,2,FALSE)</f>
        <v>192292</v>
      </c>
      <c r="F48" s="19">
        <f t="shared" si="6"/>
        <v>-133015</v>
      </c>
      <c r="G48" s="9">
        <f t="shared" si="7"/>
        <v>-0.69173444553075525</v>
      </c>
      <c r="H48" s="198">
        <f>VLOOKUP(A48,'Audience 2020 pivot'!$A$3:$D$409,3,FALSE)</f>
        <v>12.951388888888889</v>
      </c>
      <c r="I48" s="199">
        <f>(C48-H48)*24</f>
        <v>37.749999999999943</v>
      </c>
      <c r="J48" s="9">
        <f t="shared" si="8"/>
        <v>0.12144772117962455</v>
      </c>
      <c r="K48" s="51">
        <f>VLOOKUP(A48,'Audience 2020 pivot'!$A$3:$D$409,4,FALSE)</f>
        <v>27080.1413524442</v>
      </c>
      <c r="L48" s="51">
        <f t="shared" si="9"/>
        <v>-20859.909946707048</v>
      </c>
      <c r="M48" s="9">
        <f t="shared" si="10"/>
        <v>-0.77030284573548857</v>
      </c>
    </row>
    <row r="49" spans="1:13" x14ac:dyDescent="0.25">
      <c r="A49" s="7" t="s">
        <v>133</v>
      </c>
      <c r="B49" s="1">
        <v>2552</v>
      </c>
      <c r="C49" s="8">
        <v>1.9409722222222223</v>
      </c>
      <c r="D49" s="1">
        <v>292.1213150079609</v>
      </c>
      <c r="E49" s="51">
        <f>VLOOKUP(A49,'Audience 2020 pivot'!$A$3:$D$409,2,FALSE)</f>
        <v>4948</v>
      </c>
      <c r="F49" s="19">
        <f t="shared" ref="F49:F61" si="11">B49-E49</f>
        <v>-2396</v>
      </c>
      <c r="G49" s="9">
        <f t="shared" ref="G49:G61" si="12">B49/E49-1</f>
        <v>-0.48423605497170574</v>
      </c>
      <c r="H49" s="198">
        <f>VLOOKUP(A49,'Audience 2020 pivot'!$A$3:$D$409,3,FALSE)</f>
        <v>1.9270833333333333</v>
      </c>
      <c r="I49" s="199">
        <f t="shared" ref="I49:I61" si="13">(C49-H49)*24</f>
        <v>0.33333333333333748</v>
      </c>
      <c r="J49" s="9">
        <f t="shared" ref="J49:J61" si="14">C49/H49-1</f>
        <v>7.2072072072073556E-3</v>
      </c>
      <c r="K49" s="51">
        <f>VLOOKUP(A49,'Audience 2020 pivot'!$A$3:$D$409,4,FALSE)</f>
        <v>753.38123714427297</v>
      </c>
      <c r="L49" s="51">
        <f t="shared" ref="L49:L61" si="15">D49-K49</f>
        <v>-461.25992213631207</v>
      </c>
      <c r="M49" s="9">
        <f t="shared" ref="M49:M61" si="16">D49/K49-1</f>
        <v>-0.61225299940404609</v>
      </c>
    </row>
    <row r="50" spans="1:13" x14ac:dyDescent="0.25">
      <c r="A50" s="7" t="s">
        <v>1639</v>
      </c>
      <c r="B50" s="1">
        <v>173479104.57302433</v>
      </c>
      <c r="C50" s="8">
        <v>706.6325347222222</v>
      </c>
      <c r="D50" s="1">
        <v>16718681.793041443</v>
      </c>
      <c r="E50" s="51">
        <f>VLOOKUP(A50,'Audience 2020 pivot'!$A$3:$D$409,2,FALSE)</f>
        <v>232872255.60124654</v>
      </c>
      <c r="F50" s="19">
        <f t="shared" si="11"/>
        <v>-59393151.028222203</v>
      </c>
      <c r="G50" s="9">
        <f t="shared" si="12"/>
        <v>-0.25504605894281673</v>
      </c>
      <c r="H50" s="198">
        <f>VLOOKUP(A50,'Audience 2020 pivot'!$A$3:$D$409,3,FALSE)</f>
        <v>599.62836805555571</v>
      </c>
      <c r="I50" s="199">
        <f t="shared" si="13"/>
        <v>2568.0999999999958</v>
      </c>
      <c r="J50" s="9">
        <f t="shared" si="14"/>
        <v>0.17845080781226907</v>
      </c>
      <c r="K50" s="51">
        <f>VLOOKUP(A50,'Audience 2020 pivot'!$A$3:$D$409,4,FALSE)</f>
        <v>23450452.456324589</v>
      </c>
      <c r="L50" s="51">
        <f t="shared" si="15"/>
        <v>-6731770.6632831451</v>
      </c>
      <c r="M50" s="9">
        <f t="shared" si="16"/>
        <v>-0.28706357268887517</v>
      </c>
    </row>
    <row r="51" spans="1:13" x14ac:dyDescent="0.25">
      <c r="E51" s="51" t="e">
        <f>VLOOKUP(A51,'Audience 2020 pivot'!$A$3:$D$409,2,FALSE)</f>
        <v>#N/A</v>
      </c>
      <c r="F51" s="19" t="e">
        <f t="shared" si="11"/>
        <v>#N/A</v>
      </c>
      <c r="G51" s="9" t="e">
        <f t="shared" si="12"/>
        <v>#N/A</v>
      </c>
      <c r="H51" s="198" t="e">
        <f>VLOOKUP(A51,'Audience 2020 pivot'!$A$3:$D$409,3,FALSE)</f>
        <v>#N/A</v>
      </c>
      <c r="I51" s="199" t="e">
        <f t="shared" si="13"/>
        <v>#N/A</v>
      </c>
      <c r="J51" s="9" t="e">
        <f t="shared" si="14"/>
        <v>#N/A</v>
      </c>
      <c r="K51" s="51" t="e">
        <f>VLOOKUP(A51,'Audience 2020 pivot'!$A$3:$D$409,4,FALSE)</f>
        <v>#N/A</v>
      </c>
      <c r="L51" s="51" t="e">
        <f t="shared" si="15"/>
        <v>#N/A</v>
      </c>
      <c r="M51" s="9" t="e">
        <f t="shared" si="16"/>
        <v>#N/A</v>
      </c>
    </row>
    <row r="52" spans="1:13" x14ac:dyDescent="0.25">
      <c r="E52" s="51" t="e">
        <f>VLOOKUP(A52,'Audience 2020 pivot'!$A$3:$D$409,2,FALSE)</f>
        <v>#N/A</v>
      </c>
      <c r="F52" s="19" t="e">
        <f t="shared" si="11"/>
        <v>#N/A</v>
      </c>
      <c r="G52" s="9" t="e">
        <f t="shared" si="12"/>
        <v>#N/A</v>
      </c>
      <c r="H52" s="198" t="e">
        <f>VLOOKUP(A52,'Audience 2020 pivot'!$A$3:$D$409,3,FALSE)</f>
        <v>#N/A</v>
      </c>
      <c r="I52" s="199" t="e">
        <f t="shared" si="13"/>
        <v>#N/A</v>
      </c>
      <c r="J52" s="9" t="e">
        <f t="shared" si="14"/>
        <v>#N/A</v>
      </c>
      <c r="K52" s="51" t="e">
        <f>VLOOKUP(A52,'Audience 2020 pivot'!$A$3:$D$409,4,FALSE)</f>
        <v>#N/A</v>
      </c>
      <c r="L52" s="51" t="e">
        <f t="shared" si="15"/>
        <v>#N/A</v>
      </c>
      <c r="M52" s="9" t="e">
        <f t="shared" si="16"/>
        <v>#N/A</v>
      </c>
    </row>
    <row r="53" spans="1:13" x14ac:dyDescent="0.25">
      <c r="E53" s="51" t="e">
        <f>VLOOKUP(A53,'Audience 2020 pivot'!$A$3:$D$409,2,FALSE)</f>
        <v>#N/A</v>
      </c>
      <c r="F53" s="19" t="e">
        <f t="shared" si="11"/>
        <v>#N/A</v>
      </c>
      <c r="G53" s="9" t="e">
        <f t="shared" si="12"/>
        <v>#N/A</v>
      </c>
      <c r="H53" s="198" t="e">
        <f>VLOOKUP(A53,'Audience 2020 pivot'!$A$3:$D$409,3,FALSE)</f>
        <v>#N/A</v>
      </c>
      <c r="I53" s="199" t="e">
        <f t="shared" si="13"/>
        <v>#N/A</v>
      </c>
      <c r="J53" s="9" t="e">
        <f t="shared" si="14"/>
        <v>#N/A</v>
      </c>
      <c r="K53" s="51" t="e">
        <f>VLOOKUP(A53,'Audience 2020 pivot'!$A$3:$D$409,4,FALSE)</f>
        <v>#N/A</v>
      </c>
      <c r="L53" s="51" t="e">
        <f t="shared" si="15"/>
        <v>#N/A</v>
      </c>
      <c r="M53" s="9" t="e">
        <f t="shared" si="16"/>
        <v>#N/A</v>
      </c>
    </row>
    <row r="54" spans="1:13" x14ac:dyDescent="0.25">
      <c r="E54" s="51" t="e">
        <f>VLOOKUP(A54,'Audience 2020 pivot'!$A$3:$D$409,2,FALSE)</f>
        <v>#N/A</v>
      </c>
      <c r="F54" s="19" t="e">
        <f t="shared" si="11"/>
        <v>#N/A</v>
      </c>
      <c r="G54" s="9" t="e">
        <f t="shared" si="12"/>
        <v>#N/A</v>
      </c>
      <c r="H54" s="198" t="e">
        <f>VLOOKUP(A54,'Audience 2020 pivot'!$A$3:$D$409,3,FALSE)</f>
        <v>#N/A</v>
      </c>
      <c r="I54" s="199" t="e">
        <f t="shared" si="13"/>
        <v>#N/A</v>
      </c>
      <c r="J54" s="9" t="e">
        <f t="shared" si="14"/>
        <v>#N/A</v>
      </c>
      <c r="K54" s="51" t="e">
        <f>VLOOKUP(A54,'Audience 2020 pivot'!$A$3:$D$409,4,FALSE)</f>
        <v>#N/A</v>
      </c>
      <c r="L54" s="51" t="e">
        <f t="shared" si="15"/>
        <v>#N/A</v>
      </c>
      <c r="M54" s="9" t="e">
        <f t="shared" si="16"/>
        <v>#N/A</v>
      </c>
    </row>
    <row r="55" spans="1:13" x14ac:dyDescent="0.25">
      <c r="E55" s="51" t="e">
        <f>VLOOKUP(A55,'Audience 2020 pivot'!$A$3:$D$409,2,FALSE)</f>
        <v>#N/A</v>
      </c>
      <c r="F55" s="19" t="e">
        <f t="shared" si="11"/>
        <v>#N/A</v>
      </c>
      <c r="G55" s="9" t="e">
        <f t="shared" si="12"/>
        <v>#N/A</v>
      </c>
      <c r="H55" s="198" t="e">
        <f>VLOOKUP(A55,'Audience 2020 pivot'!$A$3:$D$409,3,FALSE)</f>
        <v>#N/A</v>
      </c>
      <c r="I55" s="199" t="e">
        <f t="shared" si="13"/>
        <v>#N/A</v>
      </c>
      <c r="J55" s="9" t="e">
        <f t="shared" si="14"/>
        <v>#N/A</v>
      </c>
      <c r="K55" s="51" t="e">
        <f>VLOOKUP(A55,'Audience 2020 pivot'!$A$3:$D$409,4,FALSE)</f>
        <v>#N/A</v>
      </c>
      <c r="L55" s="51" t="e">
        <f t="shared" si="15"/>
        <v>#N/A</v>
      </c>
      <c r="M55" s="9" t="e">
        <f t="shared" si="16"/>
        <v>#N/A</v>
      </c>
    </row>
    <row r="56" spans="1:13" x14ac:dyDescent="0.25">
      <c r="E56" s="51" t="e">
        <f>VLOOKUP(A56,'Audience 2020 pivot'!$A$3:$D$409,2,FALSE)</f>
        <v>#N/A</v>
      </c>
      <c r="F56" s="19" t="e">
        <f t="shared" si="11"/>
        <v>#N/A</v>
      </c>
      <c r="G56" s="9" t="e">
        <f t="shared" si="12"/>
        <v>#N/A</v>
      </c>
      <c r="H56" s="198" t="e">
        <f>VLOOKUP(A56,'Audience 2020 pivot'!$A$3:$D$409,3,FALSE)</f>
        <v>#N/A</v>
      </c>
      <c r="I56" s="199" t="e">
        <f t="shared" si="13"/>
        <v>#N/A</v>
      </c>
      <c r="J56" s="9" t="e">
        <f t="shared" si="14"/>
        <v>#N/A</v>
      </c>
      <c r="K56" s="51" t="e">
        <f>VLOOKUP(A56,'Audience 2020 pivot'!$A$3:$D$409,4,FALSE)</f>
        <v>#N/A</v>
      </c>
      <c r="L56" s="51" t="e">
        <f t="shared" si="15"/>
        <v>#N/A</v>
      </c>
      <c r="M56" s="9" t="e">
        <f t="shared" si="16"/>
        <v>#N/A</v>
      </c>
    </row>
    <row r="57" spans="1:13" x14ac:dyDescent="0.25">
      <c r="E57" s="51" t="e">
        <f>VLOOKUP(A57,'Audience 2020 pivot'!$A$3:$D$409,2,FALSE)</f>
        <v>#N/A</v>
      </c>
      <c r="F57" s="19" t="e">
        <f t="shared" si="11"/>
        <v>#N/A</v>
      </c>
      <c r="G57" s="9" t="e">
        <f t="shared" si="12"/>
        <v>#N/A</v>
      </c>
      <c r="H57" s="198" t="e">
        <f>VLOOKUP(A57,'Audience 2020 pivot'!$A$3:$D$409,3,FALSE)</f>
        <v>#N/A</v>
      </c>
      <c r="I57" s="199" t="e">
        <f t="shared" si="13"/>
        <v>#N/A</v>
      </c>
      <c r="J57" s="9" t="e">
        <f t="shared" si="14"/>
        <v>#N/A</v>
      </c>
      <c r="K57" s="51" t="e">
        <f>VLOOKUP(A57,'Audience 2020 pivot'!$A$3:$D$409,4,FALSE)</f>
        <v>#N/A</v>
      </c>
      <c r="L57" s="51" t="e">
        <f t="shared" si="15"/>
        <v>#N/A</v>
      </c>
      <c r="M57" s="9" t="e">
        <f t="shared" si="16"/>
        <v>#N/A</v>
      </c>
    </row>
    <row r="58" spans="1:13" x14ac:dyDescent="0.25">
      <c r="E58" s="51" t="e">
        <f>VLOOKUP(A58,'Audience 2020 pivot'!$A$3:$D$409,2,FALSE)</f>
        <v>#N/A</v>
      </c>
      <c r="F58" s="19" t="e">
        <f t="shared" si="11"/>
        <v>#N/A</v>
      </c>
      <c r="G58" s="9" t="e">
        <f t="shared" si="12"/>
        <v>#N/A</v>
      </c>
      <c r="H58" s="198" t="e">
        <f>VLOOKUP(A58,'Audience 2020 pivot'!$A$3:$D$409,3,FALSE)</f>
        <v>#N/A</v>
      </c>
      <c r="I58" s="199" t="e">
        <f t="shared" si="13"/>
        <v>#N/A</v>
      </c>
      <c r="J58" s="9" t="e">
        <f t="shared" si="14"/>
        <v>#N/A</v>
      </c>
      <c r="K58" s="51" t="e">
        <f>VLOOKUP(A58,'Audience 2020 pivot'!$A$3:$D$409,4,FALSE)</f>
        <v>#N/A</v>
      </c>
      <c r="L58" s="51" t="e">
        <f t="shared" si="15"/>
        <v>#N/A</v>
      </c>
      <c r="M58" s="9" t="e">
        <f t="shared" si="16"/>
        <v>#N/A</v>
      </c>
    </row>
    <row r="59" spans="1:13" x14ac:dyDescent="0.25">
      <c r="E59" s="51" t="e">
        <f>VLOOKUP(A59,'Audience 2020 pivot'!$A$3:$D$409,2,FALSE)</f>
        <v>#N/A</v>
      </c>
      <c r="F59" s="19" t="e">
        <f t="shared" si="11"/>
        <v>#N/A</v>
      </c>
      <c r="G59" s="9" t="e">
        <f t="shared" si="12"/>
        <v>#N/A</v>
      </c>
      <c r="H59" s="198" t="e">
        <f>VLOOKUP(A59,'Audience 2020 pivot'!$A$3:$D$409,3,FALSE)</f>
        <v>#N/A</v>
      </c>
      <c r="I59" s="199" t="e">
        <f t="shared" si="13"/>
        <v>#N/A</v>
      </c>
      <c r="J59" s="9" t="e">
        <f t="shared" si="14"/>
        <v>#N/A</v>
      </c>
      <c r="K59" s="51" t="e">
        <f>VLOOKUP(A59,'Audience 2020 pivot'!$A$3:$D$409,4,FALSE)</f>
        <v>#N/A</v>
      </c>
      <c r="L59" s="51" t="e">
        <f t="shared" si="15"/>
        <v>#N/A</v>
      </c>
      <c r="M59" s="9" t="e">
        <f t="shared" si="16"/>
        <v>#N/A</v>
      </c>
    </row>
    <row r="60" spans="1:13" x14ac:dyDescent="0.25">
      <c r="E60" s="51" t="e">
        <f>VLOOKUP(A60,'Audience 2020 pivot'!$A$3:$D$409,2,FALSE)</f>
        <v>#N/A</v>
      </c>
      <c r="F60" s="19" t="e">
        <f t="shared" si="11"/>
        <v>#N/A</v>
      </c>
      <c r="G60" s="9" t="e">
        <f t="shared" si="12"/>
        <v>#N/A</v>
      </c>
      <c r="H60" s="198" t="e">
        <f>VLOOKUP(A60,'Audience 2020 pivot'!$A$3:$D$409,3,FALSE)</f>
        <v>#N/A</v>
      </c>
      <c r="I60" s="199" t="e">
        <f t="shared" si="13"/>
        <v>#N/A</v>
      </c>
      <c r="J60" s="9" t="e">
        <f t="shared" si="14"/>
        <v>#N/A</v>
      </c>
      <c r="K60" s="51" t="e">
        <f>VLOOKUP(A60,'Audience 2020 pivot'!$A$3:$D$409,4,FALSE)</f>
        <v>#N/A</v>
      </c>
      <c r="L60" s="51" t="e">
        <f t="shared" si="15"/>
        <v>#N/A</v>
      </c>
      <c r="M60" s="9" t="e">
        <f t="shared" si="16"/>
        <v>#N/A</v>
      </c>
    </row>
    <row r="61" spans="1:13" x14ac:dyDescent="0.25">
      <c r="E61" s="51" t="e">
        <f>VLOOKUP(A61,'Audience 2020 pivot'!$A$3:$D$409,2,FALSE)</f>
        <v>#N/A</v>
      </c>
      <c r="F61" s="19" t="e">
        <f t="shared" si="11"/>
        <v>#N/A</v>
      </c>
      <c r="G61" s="9" t="e">
        <f t="shared" si="12"/>
        <v>#N/A</v>
      </c>
      <c r="H61" s="198" t="e">
        <f>VLOOKUP(A61,'Audience 2020 pivot'!$A$3:$D$409,3,FALSE)</f>
        <v>#N/A</v>
      </c>
      <c r="I61" s="199" t="e">
        <f t="shared" si="13"/>
        <v>#N/A</v>
      </c>
      <c r="J61" s="9" t="e">
        <f t="shared" si="14"/>
        <v>#N/A</v>
      </c>
      <c r="K61" s="51" t="e">
        <f>VLOOKUP(A61,'Audience 2020 pivot'!$A$3:$D$409,4,FALSE)</f>
        <v>#N/A</v>
      </c>
      <c r="L61" s="51" t="e">
        <f t="shared" si="15"/>
        <v>#N/A</v>
      </c>
      <c r="M61" s="9" t="e">
        <f t="shared" si="16"/>
        <v>#N/A</v>
      </c>
    </row>
    <row r="62" spans="1:13" x14ac:dyDescent="0.25">
      <c r="E62" s="51" t="e">
        <f>VLOOKUP(A62,'Audience 2020 pivot'!$A$3:$D$409,2,FALSE)</f>
        <v>#N/A</v>
      </c>
      <c r="F62" s="19" t="e">
        <f t="shared" ref="F62:F74" si="17">B62-E62</f>
        <v>#N/A</v>
      </c>
      <c r="G62" s="9" t="e">
        <f t="shared" ref="G62:G74" si="18">B62/E62-1</f>
        <v>#N/A</v>
      </c>
      <c r="H62" s="198" t="e">
        <f>VLOOKUP(A62,'Audience 2020 pivot'!$A$3:$D$409,3,FALSE)</f>
        <v>#N/A</v>
      </c>
      <c r="I62" s="199" t="e">
        <f t="shared" ref="I62:I74" si="19">(C62-H62)*24</f>
        <v>#N/A</v>
      </c>
      <c r="J62" s="9" t="e">
        <f t="shared" ref="J62:J74" si="20">C62/H62-1</f>
        <v>#N/A</v>
      </c>
      <c r="K62" s="51" t="e">
        <f>VLOOKUP(A62,'Audience 2020 pivot'!$A$3:$D$409,4,FALSE)</f>
        <v>#N/A</v>
      </c>
      <c r="L62" s="51" t="e">
        <f t="shared" ref="L62:L74" si="21">D62-K62</f>
        <v>#N/A</v>
      </c>
      <c r="M62" s="9" t="e">
        <f t="shared" ref="M62:M74" si="22">D62/K62-1</f>
        <v>#N/A</v>
      </c>
    </row>
    <row r="63" spans="1:13" x14ac:dyDescent="0.25">
      <c r="E63" s="51" t="e">
        <f>VLOOKUP(A63,'Audience 2020 pivot'!$A$3:$D$409,2,FALSE)</f>
        <v>#N/A</v>
      </c>
      <c r="F63" s="19" t="e">
        <f t="shared" si="17"/>
        <v>#N/A</v>
      </c>
      <c r="G63" s="9" t="e">
        <f t="shared" si="18"/>
        <v>#N/A</v>
      </c>
      <c r="H63" s="198" t="e">
        <f>VLOOKUP(A63,'Audience 2020 pivot'!$A$3:$D$409,3,FALSE)</f>
        <v>#N/A</v>
      </c>
      <c r="I63" s="199" t="e">
        <f t="shared" si="19"/>
        <v>#N/A</v>
      </c>
      <c r="J63" s="9" t="e">
        <f t="shared" si="20"/>
        <v>#N/A</v>
      </c>
      <c r="K63" s="51" t="e">
        <f>VLOOKUP(A63,'Audience 2020 pivot'!$A$3:$D$409,4,FALSE)</f>
        <v>#N/A</v>
      </c>
      <c r="L63" s="51" t="e">
        <f t="shared" si="21"/>
        <v>#N/A</v>
      </c>
      <c r="M63" s="9" t="e">
        <f t="shared" si="22"/>
        <v>#N/A</v>
      </c>
    </row>
    <row r="64" spans="1:13" x14ac:dyDescent="0.25">
      <c r="E64" s="51" t="e">
        <f>VLOOKUP(A64,'Audience 2020 pivot'!$A$3:$D$409,2,FALSE)</f>
        <v>#N/A</v>
      </c>
      <c r="F64" s="19" t="e">
        <f t="shared" si="17"/>
        <v>#N/A</v>
      </c>
      <c r="G64" s="9" t="e">
        <f t="shared" si="18"/>
        <v>#N/A</v>
      </c>
      <c r="H64" s="198" t="e">
        <f>VLOOKUP(A64,'Audience 2020 pivot'!$A$3:$D$409,3,FALSE)</f>
        <v>#N/A</v>
      </c>
      <c r="I64" s="199" t="e">
        <f t="shared" si="19"/>
        <v>#N/A</v>
      </c>
      <c r="J64" s="9" t="e">
        <f t="shared" si="20"/>
        <v>#N/A</v>
      </c>
      <c r="K64" s="51" t="e">
        <f>VLOOKUP(A64,'Audience 2020 pivot'!$A$3:$D$409,4,FALSE)</f>
        <v>#N/A</v>
      </c>
      <c r="L64" s="51" t="e">
        <f t="shared" si="21"/>
        <v>#N/A</v>
      </c>
      <c r="M64" s="9" t="e">
        <f t="shared" si="22"/>
        <v>#N/A</v>
      </c>
    </row>
    <row r="65" spans="5:13" x14ac:dyDescent="0.25">
      <c r="E65" s="51" t="e">
        <f>VLOOKUP(A65,'Audience 2020 pivot'!$A$3:$D$409,2,FALSE)</f>
        <v>#N/A</v>
      </c>
      <c r="F65" s="19" t="e">
        <f t="shared" si="17"/>
        <v>#N/A</v>
      </c>
      <c r="G65" s="9" t="e">
        <f t="shared" si="18"/>
        <v>#N/A</v>
      </c>
      <c r="H65" s="198" t="e">
        <f>VLOOKUP(A65,'Audience 2020 pivot'!$A$3:$D$409,3,FALSE)</f>
        <v>#N/A</v>
      </c>
      <c r="I65" s="199" t="e">
        <f t="shared" si="19"/>
        <v>#N/A</v>
      </c>
      <c r="J65" s="9" t="e">
        <f t="shared" si="20"/>
        <v>#N/A</v>
      </c>
      <c r="K65" s="51" t="e">
        <f>VLOOKUP(A65,'Audience 2020 pivot'!$A$3:$D$409,4,FALSE)</f>
        <v>#N/A</v>
      </c>
      <c r="L65" s="51" t="e">
        <f t="shared" si="21"/>
        <v>#N/A</v>
      </c>
      <c r="M65" s="9" t="e">
        <f t="shared" si="22"/>
        <v>#N/A</v>
      </c>
    </row>
    <row r="66" spans="5:13" x14ac:dyDescent="0.25">
      <c r="E66" s="51" t="e">
        <f>VLOOKUP(A66,'Audience 2020 pivot'!$A$3:$D$409,2,FALSE)</f>
        <v>#N/A</v>
      </c>
      <c r="F66" s="19" t="e">
        <f t="shared" si="17"/>
        <v>#N/A</v>
      </c>
      <c r="G66" s="9" t="e">
        <f t="shared" si="18"/>
        <v>#N/A</v>
      </c>
      <c r="H66" s="198" t="e">
        <f>VLOOKUP(A66,'Audience 2020 pivot'!$A$3:$D$409,3,FALSE)</f>
        <v>#N/A</v>
      </c>
      <c r="I66" s="199" t="e">
        <f t="shared" si="19"/>
        <v>#N/A</v>
      </c>
      <c r="J66" s="9" t="e">
        <f t="shared" si="20"/>
        <v>#N/A</v>
      </c>
      <c r="K66" s="51" t="e">
        <f>VLOOKUP(A66,'Audience 2020 pivot'!$A$3:$D$409,4,FALSE)</f>
        <v>#N/A</v>
      </c>
      <c r="L66" s="51" t="e">
        <f t="shared" si="21"/>
        <v>#N/A</v>
      </c>
      <c r="M66" s="9" t="e">
        <f t="shared" si="22"/>
        <v>#N/A</v>
      </c>
    </row>
    <row r="67" spans="5:13" x14ac:dyDescent="0.25">
      <c r="E67" s="51" t="e">
        <f>VLOOKUP(A67,'Audience 2020 pivot'!$A$3:$D$409,2,FALSE)</f>
        <v>#N/A</v>
      </c>
      <c r="F67" s="19" t="e">
        <f t="shared" si="17"/>
        <v>#N/A</v>
      </c>
      <c r="G67" s="9" t="e">
        <f t="shared" si="18"/>
        <v>#N/A</v>
      </c>
      <c r="H67" s="198" t="e">
        <f>VLOOKUP(A67,'Audience 2020 pivot'!$A$3:$D$409,3,FALSE)</f>
        <v>#N/A</v>
      </c>
      <c r="I67" s="199" t="e">
        <f t="shared" si="19"/>
        <v>#N/A</v>
      </c>
      <c r="J67" s="9" t="e">
        <f t="shared" si="20"/>
        <v>#N/A</v>
      </c>
      <c r="K67" s="51" t="e">
        <f>VLOOKUP(A67,'Audience 2020 pivot'!$A$3:$D$409,4,FALSE)</f>
        <v>#N/A</v>
      </c>
      <c r="L67" s="51" t="e">
        <f t="shared" si="21"/>
        <v>#N/A</v>
      </c>
      <c r="M67" s="9" t="e">
        <f t="shared" si="22"/>
        <v>#N/A</v>
      </c>
    </row>
    <row r="68" spans="5:13" x14ac:dyDescent="0.25">
      <c r="E68" s="51" t="e">
        <f>VLOOKUP(A68,'Audience 2020 pivot'!$A$3:$D$409,2,FALSE)</f>
        <v>#N/A</v>
      </c>
      <c r="F68" s="19" t="e">
        <f t="shared" si="17"/>
        <v>#N/A</v>
      </c>
      <c r="G68" s="9" t="e">
        <f t="shared" si="18"/>
        <v>#N/A</v>
      </c>
      <c r="H68" s="198" t="e">
        <f>VLOOKUP(A68,'Audience 2020 pivot'!$A$3:$D$409,3,FALSE)</f>
        <v>#N/A</v>
      </c>
      <c r="I68" s="199" t="e">
        <f t="shared" si="19"/>
        <v>#N/A</v>
      </c>
      <c r="J68" s="9" t="e">
        <f t="shared" si="20"/>
        <v>#N/A</v>
      </c>
      <c r="K68" s="51" t="e">
        <f>VLOOKUP(A68,'Audience 2020 pivot'!$A$3:$D$409,4,FALSE)</f>
        <v>#N/A</v>
      </c>
      <c r="L68" s="51" t="e">
        <f t="shared" si="21"/>
        <v>#N/A</v>
      </c>
      <c r="M68" s="9" t="e">
        <f t="shared" si="22"/>
        <v>#N/A</v>
      </c>
    </row>
    <row r="69" spans="5:13" x14ac:dyDescent="0.25">
      <c r="E69" s="51" t="e">
        <f>VLOOKUP(A69,'Audience 2020 pivot'!$A$3:$D$409,2,FALSE)</f>
        <v>#N/A</v>
      </c>
      <c r="F69" s="19" t="e">
        <f t="shared" si="17"/>
        <v>#N/A</v>
      </c>
      <c r="G69" s="9" t="e">
        <f t="shared" si="18"/>
        <v>#N/A</v>
      </c>
      <c r="H69" s="198" t="e">
        <f>VLOOKUP(A69,'Audience 2020 pivot'!$A$3:$D$409,3,FALSE)</f>
        <v>#N/A</v>
      </c>
      <c r="I69" s="199" t="e">
        <f t="shared" si="19"/>
        <v>#N/A</v>
      </c>
      <c r="J69" s="9" t="e">
        <f t="shared" si="20"/>
        <v>#N/A</v>
      </c>
      <c r="K69" s="51" t="e">
        <f>VLOOKUP(A69,'Audience 2020 pivot'!$A$3:$D$409,4,FALSE)</f>
        <v>#N/A</v>
      </c>
      <c r="L69" s="51" t="e">
        <f t="shared" si="21"/>
        <v>#N/A</v>
      </c>
      <c r="M69" s="9" t="e">
        <f t="shared" si="22"/>
        <v>#N/A</v>
      </c>
    </row>
    <row r="70" spans="5:13" x14ac:dyDescent="0.25">
      <c r="E70" s="51" t="e">
        <f>VLOOKUP(A70,'Audience 2020 pivot'!$A$3:$D$409,2,FALSE)</f>
        <v>#N/A</v>
      </c>
      <c r="F70" s="19" t="e">
        <f t="shared" si="17"/>
        <v>#N/A</v>
      </c>
      <c r="G70" s="9" t="e">
        <f t="shared" si="18"/>
        <v>#N/A</v>
      </c>
      <c r="H70" s="198" t="e">
        <f>VLOOKUP(A70,'Audience 2020 pivot'!$A$3:$D$409,3,FALSE)</f>
        <v>#N/A</v>
      </c>
      <c r="I70" s="199" t="e">
        <f t="shared" si="19"/>
        <v>#N/A</v>
      </c>
      <c r="J70" s="9" t="e">
        <f t="shared" si="20"/>
        <v>#N/A</v>
      </c>
      <c r="K70" s="51" t="e">
        <f>VLOOKUP(A70,'Audience 2020 pivot'!$A$3:$D$409,4,FALSE)</f>
        <v>#N/A</v>
      </c>
      <c r="L70" s="51" t="e">
        <f t="shared" si="21"/>
        <v>#N/A</v>
      </c>
      <c r="M70" s="9" t="e">
        <f t="shared" si="22"/>
        <v>#N/A</v>
      </c>
    </row>
    <row r="71" spans="5:13" x14ac:dyDescent="0.25">
      <c r="E71" s="51" t="e">
        <f>VLOOKUP(A71,'Audience 2020 pivot'!$A$3:$D$409,2,FALSE)</f>
        <v>#N/A</v>
      </c>
      <c r="F71" s="19" t="e">
        <f t="shared" si="17"/>
        <v>#N/A</v>
      </c>
      <c r="G71" s="9" t="e">
        <f t="shared" si="18"/>
        <v>#N/A</v>
      </c>
      <c r="H71" s="198" t="e">
        <f>VLOOKUP(A71,'Audience 2020 pivot'!$A$3:$D$409,3,FALSE)</f>
        <v>#N/A</v>
      </c>
      <c r="I71" s="199" t="e">
        <f t="shared" si="19"/>
        <v>#N/A</v>
      </c>
      <c r="J71" s="9" t="e">
        <f t="shared" si="20"/>
        <v>#N/A</v>
      </c>
      <c r="K71" s="51" t="e">
        <f>VLOOKUP(A71,'Audience 2020 pivot'!$A$3:$D$409,4,FALSE)</f>
        <v>#N/A</v>
      </c>
      <c r="L71" s="51" t="e">
        <f t="shared" si="21"/>
        <v>#N/A</v>
      </c>
      <c r="M71" s="9" t="e">
        <f t="shared" si="22"/>
        <v>#N/A</v>
      </c>
    </row>
    <row r="72" spans="5:13" x14ac:dyDescent="0.25">
      <c r="E72" s="51" t="e">
        <f>VLOOKUP(A72,'Audience 2020 pivot'!$A$3:$D$409,2,FALSE)</f>
        <v>#N/A</v>
      </c>
      <c r="F72" s="19" t="e">
        <f t="shared" si="17"/>
        <v>#N/A</v>
      </c>
      <c r="G72" s="9" t="e">
        <f t="shared" si="18"/>
        <v>#N/A</v>
      </c>
      <c r="H72" s="198" t="e">
        <f>VLOOKUP(A72,'Audience 2020 pivot'!$A$3:$D$409,3,FALSE)</f>
        <v>#N/A</v>
      </c>
      <c r="I72" s="199" t="e">
        <f t="shared" si="19"/>
        <v>#N/A</v>
      </c>
      <c r="J72" s="9" t="e">
        <f t="shared" si="20"/>
        <v>#N/A</v>
      </c>
      <c r="K72" s="51" t="e">
        <f>VLOOKUP(A72,'Audience 2020 pivot'!$A$3:$D$409,4,FALSE)</f>
        <v>#N/A</v>
      </c>
      <c r="L72" s="51" t="e">
        <f t="shared" si="21"/>
        <v>#N/A</v>
      </c>
      <c r="M72" s="9" t="e">
        <f t="shared" si="22"/>
        <v>#N/A</v>
      </c>
    </row>
    <row r="73" spans="5:13" x14ac:dyDescent="0.25">
      <c r="E73" s="51" t="e">
        <f>VLOOKUP(A73,'Audience 2020 pivot'!$A$3:$D$409,2,FALSE)</f>
        <v>#N/A</v>
      </c>
      <c r="F73" s="19" t="e">
        <f t="shared" si="17"/>
        <v>#N/A</v>
      </c>
      <c r="G73" s="9" t="e">
        <f t="shared" si="18"/>
        <v>#N/A</v>
      </c>
      <c r="H73" s="198" t="e">
        <f>VLOOKUP(A73,'Audience 2020 pivot'!$A$3:$D$409,3,FALSE)</f>
        <v>#N/A</v>
      </c>
      <c r="I73" s="199" t="e">
        <f t="shared" si="19"/>
        <v>#N/A</v>
      </c>
      <c r="J73" s="9" t="e">
        <f t="shared" si="20"/>
        <v>#N/A</v>
      </c>
      <c r="K73" s="51" t="e">
        <f>VLOOKUP(A73,'Audience 2020 pivot'!$A$3:$D$409,4,FALSE)</f>
        <v>#N/A</v>
      </c>
      <c r="L73" s="51" t="e">
        <f t="shared" si="21"/>
        <v>#N/A</v>
      </c>
      <c r="M73" s="9" t="e">
        <f t="shared" si="22"/>
        <v>#N/A</v>
      </c>
    </row>
    <row r="74" spans="5:13" x14ac:dyDescent="0.25">
      <c r="E74" s="51" t="e">
        <f>VLOOKUP(A74,'Audience 2020 pivot'!$A$3:$D$409,2,FALSE)</f>
        <v>#N/A</v>
      </c>
      <c r="F74" s="19" t="e">
        <f t="shared" si="17"/>
        <v>#N/A</v>
      </c>
      <c r="G74" s="9" t="e">
        <f t="shared" si="18"/>
        <v>#N/A</v>
      </c>
      <c r="H74" s="198" t="e">
        <f>VLOOKUP(A74,'Audience 2020 pivot'!$A$3:$D$409,3,FALSE)</f>
        <v>#N/A</v>
      </c>
      <c r="I74" s="199" t="e">
        <f t="shared" si="19"/>
        <v>#N/A</v>
      </c>
      <c r="J74" s="9" t="e">
        <f t="shared" si="20"/>
        <v>#N/A</v>
      </c>
      <c r="K74" s="51" t="e">
        <f>VLOOKUP(A74,'Audience 2020 pivot'!$A$3:$D$409,4,FALSE)</f>
        <v>#N/A</v>
      </c>
      <c r="L74" s="51" t="e">
        <f t="shared" si="21"/>
        <v>#N/A</v>
      </c>
      <c r="M74" s="9" t="e">
        <f t="shared" si="22"/>
        <v>#N/A</v>
      </c>
    </row>
    <row r="75" spans="5:13" x14ac:dyDescent="0.25">
      <c r="E75" s="51" t="e">
        <f>VLOOKUP(A75,'Audience 2020 pivot'!$A$3:$D$409,2,FALSE)</f>
        <v>#N/A</v>
      </c>
      <c r="F75" s="19" t="e">
        <f t="shared" ref="F75:F138" si="23">B75-E75</f>
        <v>#N/A</v>
      </c>
      <c r="G75" s="9" t="e">
        <f t="shared" ref="G75:G138" si="24">B75/E75-1</f>
        <v>#N/A</v>
      </c>
      <c r="H75" s="198" t="e">
        <f>VLOOKUP(A75,'Audience 2020 pivot'!$A$3:$D$409,3,FALSE)</f>
        <v>#N/A</v>
      </c>
      <c r="I75" s="199" t="e">
        <f t="shared" ref="I75:I138" si="25">(C75-H75)*24</f>
        <v>#N/A</v>
      </c>
      <c r="J75" s="9" t="e">
        <f t="shared" ref="J75:J138" si="26">C75/H75-1</f>
        <v>#N/A</v>
      </c>
      <c r="K75" s="51" t="e">
        <f>VLOOKUP(A75,'Audience 2020 pivot'!$A$3:$D$409,4,FALSE)</f>
        <v>#N/A</v>
      </c>
      <c r="L75" s="51" t="e">
        <f t="shared" ref="L75:L138" si="27">D75-K75</f>
        <v>#N/A</v>
      </c>
      <c r="M75" s="9" t="e">
        <f t="shared" ref="M75:M138" si="28">D75/K75-1</f>
        <v>#N/A</v>
      </c>
    </row>
    <row r="76" spans="5:13" x14ac:dyDescent="0.25">
      <c r="E76" s="51" t="e">
        <f>VLOOKUP(A76,'Audience 2020 pivot'!$A$3:$D$409,2,FALSE)</f>
        <v>#N/A</v>
      </c>
      <c r="F76" s="19" t="e">
        <f t="shared" si="23"/>
        <v>#N/A</v>
      </c>
      <c r="G76" s="9" t="e">
        <f t="shared" si="24"/>
        <v>#N/A</v>
      </c>
      <c r="H76" s="198" t="e">
        <f>VLOOKUP(A76,'Audience 2020 pivot'!$A$3:$D$409,3,FALSE)</f>
        <v>#N/A</v>
      </c>
      <c r="I76" s="199" t="e">
        <f t="shared" si="25"/>
        <v>#N/A</v>
      </c>
      <c r="J76" s="9" t="e">
        <f t="shared" si="26"/>
        <v>#N/A</v>
      </c>
      <c r="K76" s="51" t="e">
        <f>VLOOKUP(A76,'Audience 2020 pivot'!$A$3:$D$409,4,FALSE)</f>
        <v>#N/A</v>
      </c>
      <c r="L76" s="51" t="e">
        <f t="shared" si="27"/>
        <v>#N/A</v>
      </c>
      <c r="M76" s="9" t="e">
        <f t="shared" si="28"/>
        <v>#N/A</v>
      </c>
    </row>
    <row r="77" spans="5:13" x14ac:dyDescent="0.25">
      <c r="E77" s="51" t="e">
        <f>VLOOKUP(A77,'Audience 2020 pivot'!$A$3:$D$409,2,FALSE)</f>
        <v>#N/A</v>
      </c>
      <c r="F77" s="19" t="e">
        <f t="shared" si="23"/>
        <v>#N/A</v>
      </c>
      <c r="G77" s="9" t="e">
        <f t="shared" si="24"/>
        <v>#N/A</v>
      </c>
      <c r="H77" s="198" t="e">
        <f>VLOOKUP(A77,'Audience 2020 pivot'!$A$3:$D$409,3,FALSE)</f>
        <v>#N/A</v>
      </c>
      <c r="I77" s="199" t="e">
        <f t="shared" si="25"/>
        <v>#N/A</v>
      </c>
      <c r="J77" s="9" t="e">
        <f t="shared" si="26"/>
        <v>#N/A</v>
      </c>
      <c r="K77" s="51" t="e">
        <f>VLOOKUP(A77,'Audience 2020 pivot'!$A$3:$D$409,4,FALSE)</f>
        <v>#N/A</v>
      </c>
      <c r="L77" s="51" t="e">
        <f t="shared" si="27"/>
        <v>#N/A</v>
      </c>
      <c r="M77" s="9" t="e">
        <f t="shared" si="28"/>
        <v>#N/A</v>
      </c>
    </row>
    <row r="78" spans="5:13" x14ac:dyDescent="0.25">
      <c r="E78" s="51" t="e">
        <f>VLOOKUP(A78,'Audience 2020 pivot'!$A$3:$D$409,2,FALSE)</f>
        <v>#N/A</v>
      </c>
      <c r="F78" s="19" t="e">
        <f t="shared" si="23"/>
        <v>#N/A</v>
      </c>
      <c r="G78" s="9" t="e">
        <f t="shared" si="24"/>
        <v>#N/A</v>
      </c>
      <c r="H78" s="198" t="e">
        <f>VLOOKUP(A78,'Audience 2020 pivot'!$A$3:$D$409,3,FALSE)</f>
        <v>#N/A</v>
      </c>
      <c r="I78" s="199" t="e">
        <f t="shared" si="25"/>
        <v>#N/A</v>
      </c>
      <c r="J78" s="9" t="e">
        <f t="shared" si="26"/>
        <v>#N/A</v>
      </c>
      <c r="K78" s="51" t="e">
        <f>VLOOKUP(A78,'Audience 2020 pivot'!$A$3:$D$409,4,FALSE)</f>
        <v>#N/A</v>
      </c>
      <c r="L78" s="51" t="e">
        <f t="shared" si="27"/>
        <v>#N/A</v>
      </c>
      <c r="M78" s="9" t="e">
        <f t="shared" si="28"/>
        <v>#N/A</v>
      </c>
    </row>
    <row r="79" spans="5:13" x14ac:dyDescent="0.25">
      <c r="E79" s="51" t="e">
        <f>VLOOKUP(A79,'Audience 2020 pivot'!$A$3:$D$409,2,FALSE)</f>
        <v>#N/A</v>
      </c>
      <c r="F79" s="19" t="e">
        <f t="shared" si="23"/>
        <v>#N/A</v>
      </c>
      <c r="G79" s="9" t="e">
        <f t="shared" si="24"/>
        <v>#N/A</v>
      </c>
      <c r="H79" s="198" t="e">
        <f>VLOOKUP(A79,'Audience 2020 pivot'!$A$3:$D$409,3,FALSE)</f>
        <v>#N/A</v>
      </c>
      <c r="I79" s="199" t="e">
        <f t="shared" si="25"/>
        <v>#N/A</v>
      </c>
      <c r="J79" s="9" t="e">
        <f t="shared" si="26"/>
        <v>#N/A</v>
      </c>
      <c r="K79" s="51" t="e">
        <f>VLOOKUP(A79,'Audience 2020 pivot'!$A$3:$D$409,4,FALSE)</f>
        <v>#N/A</v>
      </c>
      <c r="L79" s="51" t="e">
        <f t="shared" si="27"/>
        <v>#N/A</v>
      </c>
      <c r="M79" s="9" t="e">
        <f t="shared" si="28"/>
        <v>#N/A</v>
      </c>
    </row>
    <row r="80" spans="5:13" x14ac:dyDescent="0.25">
      <c r="E80" s="51" t="e">
        <f>VLOOKUP(A80,'Audience 2020 pivot'!$A$3:$D$409,2,FALSE)</f>
        <v>#N/A</v>
      </c>
      <c r="F80" s="19" t="e">
        <f t="shared" si="23"/>
        <v>#N/A</v>
      </c>
      <c r="G80" s="9" t="e">
        <f t="shared" si="24"/>
        <v>#N/A</v>
      </c>
      <c r="H80" s="198" t="e">
        <f>VLOOKUP(A80,'Audience 2020 pivot'!$A$3:$D$409,3,FALSE)</f>
        <v>#N/A</v>
      </c>
      <c r="I80" s="199" t="e">
        <f t="shared" si="25"/>
        <v>#N/A</v>
      </c>
      <c r="J80" s="9" t="e">
        <f t="shared" si="26"/>
        <v>#N/A</v>
      </c>
      <c r="K80" s="51" t="e">
        <f>VLOOKUP(A80,'Audience 2020 pivot'!$A$3:$D$409,4,FALSE)</f>
        <v>#N/A</v>
      </c>
      <c r="L80" s="51" t="e">
        <f t="shared" si="27"/>
        <v>#N/A</v>
      </c>
      <c r="M80" s="9" t="e">
        <f t="shared" si="28"/>
        <v>#N/A</v>
      </c>
    </row>
    <row r="81" spans="5:13" x14ac:dyDescent="0.25">
      <c r="E81" s="51" t="e">
        <f>VLOOKUP(A81,'Audience 2020 pivot'!$A$3:$D$409,2,FALSE)</f>
        <v>#N/A</v>
      </c>
      <c r="F81" s="19" t="e">
        <f t="shared" si="23"/>
        <v>#N/A</v>
      </c>
      <c r="G81" s="9" t="e">
        <f t="shared" si="24"/>
        <v>#N/A</v>
      </c>
      <c r="H81" s="198" t="e">
        <f>VLOOKUP(A81,'Audience 2020 pivot'!$A$3:$D$409,3,FALSE)</f>
        <v>#N/A</v>
      </c>
      <c r="I81" s="199" t="e">
        <f t="shared" si="25"/>
        <v>#N/A</v>
      </c>
      <c r="J81" s="9" t="e">
        <f t="shared" si="26"/>
        <v>#N/A</v>
      </c>
      <c r="K81" s="51" t="e">
        <f>VLOOKUP(A81,'Audience 2020 pivot'!$A$3:$D$409,4,FALSE)</f>
        <v>#N/A</v>
      </c>
      <c r="L81" s="51" t="e">
        <f t="shared" si="27"/>
        <v>#N/A</v>
      </c>
      <c r="M81" s="9" t="e">
        <f t="shared" si="28"/>
        <v>#N/A</v>
      </c>
    </row>
    <row r="82" spans="5:13" x14ac:dyDescent="0.25">
      <c r="E82" s="51" t="e">
        <f>VLOOKUP(A82,'Audience 2020 pivot'!$A$3:$D$409,2,FALSE)</f>
        <v>#N/A</v>
      </c>
      <c r="F82" s="19" t="e">
        <f t="shared" si="23"/>
        <v>#N/A</v>
      </c>
      <c r="G82" s="9" t="e">
        <f t="shared" si="24"/>
        <v>#N/A</v>
      </c>
      <c r="H82" s="198" t="e">
        <f>VLOOKUP(A82,'Audience 2020 pivot'!$A$3:$D$409,3,FALSE)</f>
        <v>#N/A</v>
      </c>
      <c r="I82" s="199" t="e">
        <f t="shared" si="25"/>
        <v>#N/A</v>
      </c>
      <c r="J82" s="9" t="e">
        <f t="shared" si="26"/>
        <v>#N/A</v>
      </c>
      <c r="K82" s="51" t="e">
        <f>VLOOKUP(A82,'Audience 2020 pivot'!$A$3:$D$409,4,FALSE)</f>
        <v>#N/A</v>
      </c>
      <c r="L82" s="51" t="e">
        <f t="shared" si="27"/>
        <v>#N/A</v>
      </c>
      <c r="M82" s="9" t="e">
        <f t="shared" si="28"/>
        <v>#N/A</v>
      </c>
    </row>
    <row r="83" spans="5:13" x14ac:dyDescent="0.25">
      <c r="E83" s="51" t="e">
        <f>VLOOKUP(A83,'Audience 2020 pivot'!$A$3:$D$409,2,FALSE)</f>
        <v>#N/A</v>
      </c>
      <c r="F83" s="19" t="e">
        <f t="shared" si="23"/>
        <v>#N/A</v>
      </c>
      <c r="G83" s="9" t="e">
        <f t="shared" si="24"/>
        <v>#N/A</v>
      </c>
      <c r="H83" s="198" t="e">
        <f>VLOOKUP(A83,'Audience 2020 pivot'!$A$3:$D$409,3,FALSE)</f>
        <v>#N/A</v>
      </c>
      <c r="I83" s="199" t="e">
        <f t="shared" si="25"/>
        <v>#N/A</v>
      </c>
      <c r="J83" s="9" t="e">
        <f t="shared" si="26"/>
        <v>#N/A</v>
      </c>
      <c r="K83" s="51" t="e">
        <f>VLOOKUP(A83,'Audience 2020 pivot'!$A$3:$D$409,4,FALSE)</f>
        <v>#N/A</v>
      </c>
      <c r="L83" s="51" t="e">
        <f t="shared" si="27"/>
        <v>#N/A</v>
      </c>
      <c r="M83" s="9" t="e">
        <f t="shared" si="28"/>
        <v>#N/A</v>
      </c>
    </row>
    <row r="84" spans="5:13" x14ac:dyDescent="0.25">
      <c r="E84" s="51" t="e">
        <f>VLOOKUP(A84,'Audience 2020 pivot'!$A$3:$D$409,2,FALSE)</f>
        <v>#N/A</v>
      </c>
      <c r="F84" s="19" t="e">
        <f t="shared" si="23"/>
        <v>#N/A</v>
      </c>
      <c r="G84" s="9" t="e">
        <f t="shared" si="24"/>
        <v>#N/A</v>
      </c>
      <c r="H84" s="198" t="e">
        <f>VLOOKUP(A84,'Audience 2020 pivot'!$A$3:$D$409,3,FALSE)</f>
        <v>#N/A</v>
      </c>
      <c r="I84" s="199" t="e">
        <f t="shared" si="25"/>
        <v>#N/A</v>
      </c>
      <c r="J84" s="9" t="e">
        <f t="shared" si="26"/>
        <v>#N/A</v>
      </c>
      <c r="K84" s="51" t="e">
        <f>VLOOKUP(A84,'Audience 2020 pivot'!$A$3:$D$409,4,FALSE)</f>
        <v>#N/A</v>
      </c>
      <c r="L84" s="51" t="e">
        <f t="shared" si="27"/>
        <v>#N/A</v>
      </c>
      <c r="M84" s="9" t="e">
        <f t="shared" si="28"/>
        <v>#N/A</v>
      </c>
    </row>
    <row r="85" spans="5:13" x14ac:dyDescent="0.25">
      <c r="E85" s="51" t="e">
        <f>VLOOKUP(A85,'Audience 2020 pivot'!$A$3:$D$409,2,FALSE)</f>
        <v>#N/A</v>
      </c>
      <c r="F85" s="19" t="e">
        <f t="shared" si="23"/>
        <v>#N/A</v>
      </c>
      <c r="G85" s="9" t="e">
        <f t="shared" si="24"/>
        <v>#N/A</v>
      </c>
      <c r="H85" s="198" t="e">
        <f>VLOOKUP(A85,'Audience 2020 pivot'!$A$3:$D$409,3,FALSE)</f>
        <v>#N/A</v>
      </c>
      <c r="I85" s="199" t="e">
        <f t="shared" si="25"/>
        <v>#N/A</v>
      </c>
      <c r="J85" s="9" t="e">
        <f t="shared" si="26"/>
        <v>#N/A</v>
      </c>
      <c r="K85" s="51" t="e">
        <f>VLOOKUP(A85,'Audience 2020 pivot'!$A$3:$D$409,4,FALSE)</f>
        <v>#N/A</v>
      </c>
      <c r="L85" s="51" t="e">
        <f t="shared" si="27"/>
        <v>#N/A</v>
      </c>
      <c r="M85" s="9" t="e">
        <f t="shared" si="28"/>
        <v>#N/A</v>
      </c>
    </row>
    <row r="86" spans="5:13" x14ac:dyDescent="0.25">
      <c r="E86" s="51" t="e">
        <f>VLOOKUP(A86,'Audience 2020 pivot'!$A$3:$D$409,2,FALSE)</f>
        <v>#N/A</v>
      </c>
      <c r="F86" s="19" t="e">
        <f t="shared" si="23"/>
        <v>#N/A</v>
      </c>
      <c r="G86" s="9" t="e">
        <f t="shared" si="24"/>
        <v>#N/A</v>
      </c>
      <c r="H86" s="198" t="e">
        <f>VLOOKUP(A86,'Audience 2020 pivot'!$A$3:$D$409,3,FALSE)</f>
        <v>#N/A</v>
      </c>
      <c r="I86" s="199" t="e">
        <f t="shared" si="25"/>
        <v>#N/A</v>
      </c>
      <c r="J86" s="9" t="e">
        <f t="shared" si="26"/>
        <v>#N/A</v>
      </c>
      <c r="K86" s="51" t="e">
        <f>VLOOKUP(A86,'Audience 2020 pivot'!$A$3:$D$409,4,FALSE)</f>
        <v>#N/A</v>
      </c>
      <c r="L86" s="51" t="e">
        <f t="shared" si="27"/>
        <v>#N/A</v>
      </c>
      <c r="M86" s="9" t="e">
        <f t="shared" si="28"/>
        <v>#N/A</v>
      </c>
    </row>
    <row r="87" spans="5:13" x14ac:dyDescent="0.25">
      <c r="E87" s="51" t="e">
        <f>VLOOKUP(A87,'Audience 2020 pivot'!$A$3:$D$409,2,FALSE)</f>
        <v>#N/A</v>
      </c>
      <c r="F87" s="19" t="e">
        <f t="shared" si="23"/>
        <v>#N/A</v>
      </c>
      <c r="G87" s="9" t="e">
        <f t="shared" si="24"/>
        <v>#N/A</v>
      </c>
      <c r="H87" s="198" t="e">
        <f>VLOOKUP(A87,'Audience 2020 pivot'!$A$3:$D$409,3,FALSE)</f>
        <v>#N/A</v>
      </c>
      <c r="I87" s="199" t="e">
        <f t="shared" si="25"/>
        <v>#N/A</v>
      </c>
      <c r="J87" s="9" t="e">
        <f t="shared" si="26"/>
        <v>#N/A</v>
      </c>
      <c r="K87" s="51" t="e">
        <f>VLOOKUP(A87,'Audience 2020 pivot'!$A$3:$D$409,4,FALSE)</f>
        <v>#N/A</v>
      </c>
      <c r="L87" s="51" t="e">
        <f t="shared" si="27"/>
        <v>#N/A</v>
      </c>
      <c r="M87" s="9" t="e">
        <f t="shared" si="28"/>
        <v>#N/A</v>
      </c>
    </row>
    <row r="88" spans="5:13" x14ac:dyDescent="0.25">
      <c r="E88" s="51" t="e">
        <f>VLOOKUP(A88,'Audience 2020 pivot'!$A$3:$D$409,2,FALSE)</f>
        <v>#N/A</v>
      </c>
      <c r="F88" s="19" t="e">
        <f t="shared" si="23"/>
        <v>#N/A</v>
      </c>
      <c r="G88" s="9" t="e">
        <f t="shared" si="24"/>
        <v>#N/A</v>
      </c>
      <c r="H88" s="198" t="e">
        <f>VLOOKUP(A88,'Audience 2020 pivot'!$A$3:$D$409,3,FALSE)</f>
        <v>#N/A</v>
      </c>
      <c r="I88" s="199" t="e">
        <f t="shared" si="25"/>
        <v>#N/A</v>
      </c>
      <c r="J88" s="9" t="e">
        <f t="shared" si="26"/>
        <v>#N/A</v>
      </c>
      <c r="K88" s="51" t="e">
        <f>VLOOKUP(A88,'Audience 2020 pivot'!$A$3:$D$409,4,FALSE)</f>
        <v>#N/A</v>
      </c>
      <c r="L88" s="51" t="e">
        <f t="shared" si="27"/>
        <v>#N/A</v>
      </c>
      <c r="M88" s="9" t="e">
        <f t="shared" si="28"/>
        <v>#N/A</v>
      </c>
    </row>
    <row r="89" spans="5:13" x14ac:dyDescent="0.25">
      <c r="E89" s="51" t="e">
        <f>VLOOKUP(A89,'Audience 2020 pivot'!$A$3:$D$409,2,FALSE)</f>
        <v>#N/A</v>
      </c>
      <c r="F89" s="19" t="e">
        <f t="shared" si="23"/>
        <v>#N/A</v>
      </c>
      <c r="G89" s="9" t="e">
        <f t="shared" si="24"/>
        <v>#N/A</v>
      </c>
      <c r="H89" s="198" t="e">
        <f>VLOOKUP(A89,'Audience 2020 pivot'!$A$3:$D$409,3,FALSE)</f>
        <v>#N/A</v>
      </c>
      <c r="I89" s="199" t="e">
        <f t="shared" si="25"/>
        <v>#N/A</v>
      </c>
      <c r="J89" s="9" t="e">
        <f t="shared" si="26"/>
        <v>#N/A</v>
      </c>
      <c r="K89" s="51" t="e">
        <f>VLOOKUP(A89,'Audience 2020 pivot'!$A$3:$D$409,4,FALSE)</f>
        <v>#N/A</v>
      </c>
      <c r="L89" s="51" t="e">
        <f t="shared" si="27"/>
        <v>#N/A</v>
      </c>
      <c r="M89" s="9" t="e">
        <f t="shared" si="28"/>
        <v>#N/A</v>
      </c>
    </row>
    <row r="90" spans="5:13" x14ac:dyDescent="0.25">
      <c r="E90" s="51" t="e">
        <f>VLOOKUP(A90,'Audience 2020 pivot'!$A$3:$D$409,2,FALSE)</f>
        <v>#N/A</v>
      </c>
      <c r="F90" s="19" t="e">
        <f t="shared" si="23"/>
        <v>#N/A</v>
      </c>
      <c r="G90" s="9" t="e">
        <f t="shared" si="24"/>
        <v>#N/A</v>
      </c>
      <c r="H90" s="198" t="e">
        <f>VLOOKUP(A90,'Audience 2020 pivot'!$A$3:$D$409,3,FALSE)</f>
        <v>#N/A</v>
      </c>
      <c r="I90" s="199" t="e">
        <f t="shared" si="25"/>
        <v>#N/A</v>
      </c>
      <c r="J90" s="9" t="e">
        <f t="shared" si="26"/>
        <v>#N/A</v>
      </c>
      <c r="K90" s="51" t="e">
        <f>VLOOKUP(A90,'Audience 2020 pivot'!$A$3:$D$409,4,FALSE)</f>
        <v>#N/A</v>
      </c>
      <c r="L90" s="51" t="e">
        <f t="shared" si="27"/>
        <v>#N/A</v>
      </c>
      <c r="M90" s="9" t="e">
        <f t="shared" si="28"/>
        <v>#N/A</v>
      </c>
    </row>
    <row r="91" spans="5:13" x14ac:dyDescent="0.25">
      <c r="E91" s="51" t="e">
        <f>VLOOKUP(A91,'Audience 2020 pivot'!$A$3:$D$409,2,FALSE)</f>
        <v>#N/A</v>
      </c>
      <c r="F91" s="19" t="e">
        <f t="shared" si="23"/>
        <v>#N/A</v>
      </c>
      <c r="G91" s="9" t="e">
        <f t="shared" si="24"/>
        <v>#N/A</v>
      </c>
      <c r="H91" s="198" t="e">
        <f>VLOOKUP(A91,'Audience 2020 pivot'!$A$3:$D$409,3,FALSE)</f>
        <v>#N/A</v>
      </c>
      <c r="I91" s="199" t="e">
        <f t="shared" si="25"/>
        <v>#N/A</v>
      </c>
      <c r="J91" s="9" t="e">
        <f t="shared" si="26"/>
        <v>#N/A</v>
      </c>
      <c r="K91" s="51" t="e">
        <f>VLOOKUP(A91,'Audience 2020 pivot'!$A$3:$D$409,4,FALSE)</f>
        <v>#N/A</v>
      </c>
      <c r="L91" s="51" t="e">
        <f t="shared" si="27"/>
        <v>#N/A</v>
      </c>
      <c r="M91" s="9" t="e">
        <f t="shared" si="28"/>
        <v>#N/A</v>
      </c>
    </row>
    <row r="92" spans="5:13" x14ac:dyDescent="0.25">
      <c r="E92" s="51" t="e">
        <f>VLOOKUP(A92,'Audience 2020 pivot'!$A$3:$D$409,2,FALSE)</f>
        <v>#N/A</v>
      </c>
      <c r="F92" s="19" t="e">
        <f t="shared" si="23"/>
        <v>#N/A</v>
      </c>
      <c r="G92" s="9" t="e">
        <f t="shared" si="24"/>
        <v>#N/A</v>
      </c>
      <c r="H92" s="198" t="e">
        <f>VLOOKUP(A92,'Audience 2020 pivot'!$A$3:$D$409,3,FALSE)</f>
        <v>#N/A</v>
      </c>
      <c r="I92" s="199" t="e">
        <f t="shared" si="25"/>
        <v>#N/A</v>
      </c>
      <c r="J92" s="9" t="e">
        <f t="shared" si="26"/>
        <v>#N/A</v>
      </c>
      <c r="K92" s="51" t="e">
        <f>VLOOKUP(A92,'Audience 2020 pivot'!$A$3:$D$409,4,FALSE)</f>
        <v>#N/A</v>
      </c>
      <c r="L92" s="51" t="e">
        <f t="shared" si="27"/>
        <v>#N/A</v>
      </c>
      <c r="M92" s="9" t="e">
        <f t="shared" si="28"/>
        <v>#N/A</v>
      </c>
    </row>
    <row r="93" spans="5:13" x14ac:dyDescent="0.25">
      <c r="E93" s="51" t="e">
        <f>VLOOKUP(A93,'Audience 2020 pivot'!$A$3:$D$409,2,FALSE)</f>
        <v>#N/A</v>
      </c>
      <c r="F93" s="19" t="e">
        <f t="shared" si="23"/>
        <v>#N/A</v>
      </c>
      <c r="G93" s="9" t="e">
        <f t="shared" si="24"/>
        <v>#N/A</v>
      </c>
      <c r="H93" s="198" t="e">
        <f>VLOOKUP(A93,'Audience 2020 pivot'!$A$3:$D$409,3,FALSE)</f>
        <v>#N/A</v>
      </c>
      <c r="I93" s="199" t="e">
        <f t="shared" si="25"/>
        <v>#N/A</v>
      </c>
      <c r="J93" s="9" t="e">
        <f t="shared" si="26"/>
        <v>#N/A</v>
      </c>
      <c r="K93" s="51" t="e">
        <f>VLOOKUP(A93,'Audience 2020 pivot'!$A$3:$D$409,4,FALSE)</f>
        <v>#N/A</v>
      </c>
      <c r="L93" s="51" t="e">
        <f t="shared" si="27"/>
        <v>#N/A</v>
      </c>
      <c r="M93" s="9" t="e">
        <f t="shared" si="28"/>
        <v>#N/A</v>
      </c>
    </row>
    <row r="94" spans="5:13" x14ac:dyDescent="0.25">
      <c r="E94" s="51" t="e">
        <f>VLOOKUP(A94,'Audience 2020 pivot'!$A$3:$D$409,2,FALSE)</f>
        <v>#N/A</v>
      </c>
      <c r="F94" s="19" t="e">
        <f t="shared" si="23"/>
        <v>#N/A</v>
      </c>
      <c r="G94" s="9" t="e">
        <f t="shared" si="24"/>
        <v>#N/A</v>
      </c>
      <c r="H94" s="198" t="e">
        <f>VLOOKUP(A94,'Audience 2020 pivot'!$A$3:$D$409,3,FALSE)</f>
        <v>#N/A</v>
      </c>
      <c r="I94" s="199" t="e">
        <f t="shared" si="25"/>
        <v>#N/A</v>
      </c>
      <c r="J94" s="9" t="e">
        <f t="shared" si="26"/>
        <v>#N/A</v>
      </c>
      <c r="K94" s="51" t="e">
        <f>VLOOKUP(A94,'Audience 2020 pivot'!$A$3:$D$409,4,FALSE)</f>
        <v>#N/A</v>
      </c>
      <c r="L94" s="51" t="e">
        <f t="shared" si="27"/>
        <v>#N/A</v>
      </c>
      <c r="M94" s="9" t="e">
        <f t="shared" si="28"/>
        <v>#N/A</v>
      </c>
    </row>
    <row r="95" spans="5:13" x14ac:dyDescent="0.25">
      <c r="E95" s="51" t="e">
        <f>VLOOKUP(A95,'Audience 2020 pivot'!$A$3:$D$409,2,FALSE)</f>
        <v>#N/A</v>
      </c>
      <c r="F95" s="19" t="e">
        <f t="shared" si="23"/>
        <v>#N/A</v>
      </c>
      <c r="G95" s="9" t="e">
        <f t="shared" si="24"/>
        <v>#N/A</v>
      </c>
      <c r="H95" s="198" t="e">
        <f>VLOOKUP(A95,'Audience 2020 pivot'!$A$3:$D$409,3,FALSE)</f>
        <v>#N/A</v>
      </c>
      <c r="I95" s="199" t="e">
        <f t="shared" si="25"/>
        <v>#N/A</v>
      </c>
      <c r="J95" s="9" t="e">
        <f t="shared" si="26"/>
        <v>#N/A</v>
      </c>
      <c r="K95" s="51" t="e">
        <f>VLOOKUP(A95,'Audience 2020 pivot'!$A$3:$D$409,4,FALSE)</f>
        <v>#N/A</v>
      </c>
      <c r="L95" s="51" t="e">
        <f t="shared" si="27"/>
        <v>#N/A</v>
      </c>
      <c r="M95" s="9" t="e">
        <f t="shared" si="28"/>
        <v>#N/A</v>
      </c>
    </row>
    <row r="96" spans="5:13" x14ac:dyDescent="0.25">
      <c r="E96" s="51" t="e">
        <f>VLOOKUP(A96,'Audience 2020 pivot'!$A$3:$D$409,2,FALSE)</f>
        <v>#N/A</v>
      </c>
      <c r="F96" s="19" t="e">
        <f t="shared" si="23"/>
        <v>#N/A</v>
      </c>
      <c r="G96" s="9" t="e">
        <f t="shared" si="24"/>
        <v>#N/A</v>
      </c>
      <c r="H96" s="198" t="e">
        <f>VLOOKUP(A96,'Audience 2020 pivot'!$A$3:$D$409,3,FALSE)</f>
        <v>#N/A</v>
      </c>
      <c r="I96" s="199" t="e">
        <f t="shared" si="25"/>
        <v>#N/A</v>
      </c>
      <c r="J96" s="9" t="e">
        <f t="shared" si="26"/>
        <v>#N/A</v>
      </c>
      <c r="K96" s="51" t="e">
        <f>VLOOKUP(A96,'Audience 2020 pivot'!$A$3:$D$409,4,FALSE)</f>
        <v>#N/A</v>
      </c>
      <c r="L96" s="51" t="e">
        <f t="shared" si="27"/>
        <v>#N/A</v>
      </c>
      <c r="M96" s="9" t="e">
        <f t="shared" si="28"/>
        <v>#N/A</v>
      </c>
    </row>
    <row r="97" spans="5:13" x14ac:dyDescent="0.25">
      <c r="E97" s="51" t="e">
        <f>VLOOKUP(A97,'Audience 2020 pivot'!$A$3:$D$409,2,FALSE)</f>
        <v>#N/A</v>
      </c>
      <c r="F97" s="19" t="e">
        <f t="shared" si="23"/>
        <v>#N/A</v>
      </c>
      <c r="G97" s="9" t="e">
        <f t="shared" si="24"/>
        <v>#N/A</v>
      </c>
      <c r="H97" s="198" t="e">
        <f>VLOOKUP(A97,'Audience 2020 pivot'!$A$3:$D$409,3,FALSE)</f>
        <v>#N/A</v>
      </c>
      <c r="I97" s="199" t="e">
        <f t="shared" si="25"/>
        <v>#N/A</v>
      </c>
      <c r="J97" s="9" t="e">
        <f t="shared" si="26"/>
        <v>#N/A</v>
      </c>
      <c r="K97" s="51" t="e">
        <f>VLOOKUP(A97,'Audience 2020 pivot'!$A$3:$D$409,4,FALSE)</f>
        <v>#N/A</v>
      </c>
      <c r="L97" s="51" t="e">
        <f t="shared" si="27"/>
        <v>#N/A</v>
      </c>
      <c r="M97" s="9" t="e">
        <f t="shared" si="28"/>
        <v>#N/A</v>
      </c>
    </row>
    <row r="98" spans="5:13" x14ac:dyDescent="0.25">
      <c r="E98" s="51" t="e">
        <f>VLOOKUP(A98,'Audience 2020 pivot'!$A$3:$D$409,2,FALSE)</f>
        <v>#N/A</v>
      </c>
      <c r="F98" s="19" t="e">
        <f t="shared" si="23"/>
        <v>#N/A</v>
      </c>
      <c r="G98" s="9" t="e">
        <f t="shared" si="24"/>
        <v>#N/A</v>
      </c>
      <c r="H98" s="198" t="e">
        <f>VLOOKUP(A98,'Audience 2020 pivot'!$A$3:$D$409,3,FALSE)</f>
        <v>#N/A</v>
      </c>
      <c r="I98" s="199" t="e">
        <f t="shared" si="25"/>
        <v>#N/A</v>
      </c>
      <c r="J98" s="9" t="e">
        <f t="shared" si="26"/>
        <v>#N/A</v>
      </c>
      <c r="K98" s="51" t="e">
        <f>VLOOKUP(A98,'Audience 2020 pivot'!$A$3:$D$409,4,FALSE)</f>
        <v>#N/A</v>
      </c>
      <c r="L98" s="51" t="e">
        <f t="shared" si="27"/>
        <v>#N/A</v>
      </c>
      <c r="M98" s="9" t="e">
        <f t="shared" si="28"/>
        <v>#N/A</v>
      </c>
    </row>
    <row r="99" spans="5:13" x14ac:dyDescent="0.25">
      <c r="E99" s="51" t="e">
        <f>VLOOKUP(A99,'Audience 2020 pivot'!$A$3:$D$409,2,FALSE)</f>
        <v>#N/A</v>
      </c>
      <c r="F99" s="19" t="e">
        <f t="shared" si="23"/>
        <v>#N/A</v>
      </c>
      <c r="G99" s="9" t="e">
        <f t="shared" si="24"/>
        <v>#N/A</v>
      </c>
      <c r="H99" s="198" t="e">
        <f>VLOOKUP(A99,'Audience 2020 pivot'!$A$3:$D$409,3,FALSE)</f>
        <v>#N/A</v>
      </c>
      <c r="I99" s="199" t="e">
        <f t="shared" si="25"/>
        <v>#N/A</v>
      </c>
      <c r="J99" s="9" t="e">
        <f t="shared" si="26"/>
        <v>#N/A</v>
      </c>
      <c r="K99" s="51" t="e">
        <f>VLOOKUP(A99,'Audience 2020 pivot'!$A$3:$D$409,4,FALSE)</f>
        <v>#N/A</v>
      </c>
      <c r="L99" s="51" t="e">
        <f t="shared" si="27"/>
        <v>#N/A</v>
      </c>
      <c r="M99" s="9" t="e">
        <f t="shared" si="28"/>
        <v>#N/A</v>
      </c>
    </row>
    <row r="100" spans="5:13" x14ac:dyDescent="0.25">
      <c r="E100" s="51" t="e">
        <f>VLOOKUP(A100,'Audience 2020 pivot'!$A$3:$D$409,2,FALSE)</f>
        <v>#N/A</v>
      </c>
      <c r="F100" s="19" t="e">
        <f t="shared" si="23"/>
        <v>#N/A</v>
      </c>
      <c r="G100" s="9" t="e">
        <f t="shared" si="24"/>
        <v>#N/A</v>
      </c>
      <c r="H100" s="198" t="e">
        <f>VLOOKUP(A100,'Audience 2020 pivot'!$A$3:$D$409,3,FALSE)</f>
        <v>#N/A</v>
      </c>
      <c r="I100" s="199" t="e">
        <f t="shared" si="25"/>
        <v>#N/A</v>
      </c>
      <c r="J100" s="9" t="e">
        <f t="shared" si="26"/>
        <v>#N/A</v>
      </c>
      <c r="K100" s="51" t="e">
        <f>VLOOKUP(A100,'Audience 2020 pivot'!$A$3:$D$409,4,FALSE)</f>
        <v>#N/A</v>
      </c>
      <c r="L100" s="51" t="e">
        <f t="shared" si="27"/>
        <v>#N/A</v>
      </c>
      <c r="M100" s="9" t="e">
        <f t="shared" si="28"/>
        <v>#N/A</v>
      </c>
    </row>
    <row r="101" spans="5:13" x14ac:dyDescent="0.25">
      <c r="E101" s="51" t="e">
        <f>VLOOKUP(A101,'Audience 2020 pivot'!$A$3:$D$409,2,FALSE)</f>
        <v>#N/A</v>
      </c>
      <c r="F101" s="19" t="e">
        <f t="shared" si="23"/>
        <v>#N/A</v>
      </c>
      <c r="G101" s="9" t="e">
        <f t="shared" si="24"/>
        <v>#N/A</v>
      </c>
      <c r="H101" s="198" t="e">
        <f>VLOOKUP(A101,'Audience 2020 pivot'!$A$3:$D$409,3,FALSE)</f>
        <v>#N/A</v>
      </c>
      <c r="I101" s="199" t="e">
        <f t="shared" si="25"/>
        <v>#N/A</v>
      </c>
      <c r="J101" s="9" t="e">
        <f t="shared" si="26"/>
        <v>#N/A</v>
      </c>
      <c r="K101" s="51" t="e">
        <f>VLOOKUP(A101,'Audience 2020 pivot'!$A$3:$D$409,4,FALSE)</f>
        <v>#N/A</v>
      </c>
      <c r="L101" s="51" t="e">
        <f t="shared" si="27"/>
        <v>#N/A</v>
      </c>
      <c r="M101" s="9" t="e">
        <f t="shared" si="28"/>
        <v>#N/A</v>
      </c>
    </row>
    <row r="102" spans="5:13" x14ac:dyDescent="0.25">
      <c r="E102" s="51" t="e">
        <f>VLOOKUP(A102,'Audience 2020 pivot'!$A$3:$D$409,2,FALSE)</f>
        <v>#N/A</v>
      </c>
      <c r="F102" s="19" t="e">
        <f t="shared" si="23"/>
        <v>#N/A</v>
      </c>
      <c r="G102" s="9" t="e">
        <f t="shared" si="24"/>
        <v>#N/A</v>
      </c>
      <c r="H102" s="198" t="e">
        <f>VLOOKUP(A102,'Audience 2020 pivot'!$A$3:$D$409,3,FALSE)</f>
        <v>#N/A</v>
      </c>
      <c r="I102" s="199" t="e">
        <f t="shared" si="25"/>
        <v>#N/A</v>
      </c>
      <c r="J102" s="9" t="e">
        <f t="shared" si="26"/>
        <v>#N/A</v>
      </c>
      <c r="K102" s="51" t="e">
        <f>VLOOKUP(A102,'Audience 2020 pivot'!$A$3:$D$409,4,FALSE)</f>
        <v>#N/A</v>
      </c>
      <c r="L102" s="51" t="e">
        <f t="shared" si="27"/>
        <v>#N/A</v>
      </c>
      <c r="M102" s="9" t="e">
        <f t="shared" si="28"/>
        <v>#N/A</v>
      </c>
    </row>
    <row r="103" spans="5:13" x14ac:dyDescent="0.25">
      <c r="E103" s="51" t="e">
        <f>VLOOKUP(A103,'Audience 2020 pivot'!$A$3:$D$409,2,FALSE)</f>
        <v>#N/A</v>
      </c>
      <c r="F103" s="19" t="e">
        <f t="shared" si="23"/>
        <v>#N/A</v>
      </c>
      <c r="G103" s="9" t="e">
        <f t="shared" si="24"/>
        <v>#N/A</v>
      </c>
      <c r="H103" s="198" t="e">
        <f>VLOOKUP(A103,'Audience 2020 pivot'!$A$3:$D$409,3,FALSE)</f>
        <v>#N/A</v>
      </c>
      <c r="I103" s="199" t="e">
        <f t="shared" si="25"/>
        <v>#N/A</v>
      </c>
      <c r="J103" s="9" t="e">
        <f t="shared" si="26"/>
        <v>#N/A</v>
      </c>
      <c r="K103" s="51" t="e">
        <f>VLOOKUP(A103,'Audience 2020 pivot'!$A$3:$D$409,4,FALSE)</f>
        <v>#N/A</v>
      </c>
      <c r="L103" s="51" t="e">
        <f t="shared" si="27"/>
        <v>#N/A</v>
      </c>
      <c r="M103" s="9" t="e">
        <f t="shared" si="28"/>
        <v>#N/A</v>
      </c>
    </row>
    <row r="104" spans="5:13" x14ac:dyDescent="0.25">
      <c r="E104" s="51" t="e">
        <f>VLOOKUP(A104,'Audience 2020 pivot'!$A$3:$D$409,2,FALSE)</f>
        <v>#N/A</v>
      </c>
      <c r="F104" s="19" t="e">
        <f t="shared" si="23"/>
        <v>#N/A</v>
      </c>
      <c r="G104" s="9" t="e">
        <f t="shared" si="24"/>
        <v>#N/A</v>
      </c>
      <c r="H104" s="198" t="e">
        <f>VLOOKUP(A104,'Audience 2020 pivot'!$A$3:$D$409,3,FALSE)</f>
        <v>#N/A</v>
      </c>
      <c r="I104" s="199" t="e">
        <f t="shared" si="25"/>
        <v>#N/A</v>
      </c>
      <c r="J104" s="9" t="e">
        <f t="shared" si="26"/>
        <v>#N/A</v>
      </c>
      <c r="K104" s="51" t="e">
        <f>VLOOKUP(A104,'Audience 2020 pivot'!$A$3:$D$409,4,FALSE)</f>
        <v>#N/A</v>
      </c>
      <c r="L104" s="51" t="e">
        <f t="shared" si="27"/>
        <v>#N/A</v>
      </c>
      <c r="M104" s="9" t="e">
        <f t="shared" si="28"/>
        <v>#N/A</v>
      </c>
    </row>
    <row r="105" spans="5:13" x14ac:dyDescent="0.25">
      <c r="E105" s="51" t="e">
        <f>VLOOKUP(A105,'Audience 2020 pivot'!$A$3:$D$409,2,FALSE)</f>
        <v>#N/A</v>
      </c>
      <c r="F105" s="19" t="e">
        <f t="shared" si="23"/>
        <v>#N/A</v>
      </c>
      <c r="G105" s="9" t="e">
        <f t="shared" si="24"/>
        <v>#N/A</v>
      </c>
      <c r="H105" s="198" t="e">
        <f>VLOOKUP(A105,'Audience 2020 pivot'!$A$3:$D$409,3,FALSE)</f>
        <v>#N/A</v>
      </c>
      <c r="I105" s="199" t="e">
        <f t="shared" si="25"/>
        <v>#N/A</v>
      </c>
      <c r="J105" s="9" t="e">
        <f t="shared" si="26"/>
        <v>#N/A</v>
      </c>
      <c r="K105" s="51" t="e">
        <f>VLOOKUP(A105,'Audience 2020 pivot'!$A$3:$D$409,4,FALSE)</f>
        <v>#N/A</v>
      </c>
      <c r="L105" s="51" t="e">
        <f t="shared" si="27"/>
        <v>#N/A</v>
      </c>
      <c r="M105" s="9" t="e">
        <f t="shared" si="28"/>
        <v>#N/A</v>
      </c>
    </row>
    <row r="106" spans="5:13" x14ac:dyDescent="0.25">
      <c r="E106" s="51" t="e">
        <f>VLOOKUP(A106,'Audience 2020 pivot'!$A$3:$D$409,2,FALSE)</f>
        <v>#N/A</v>
      </c>
      <c r="F106" s="19" t="e">
        <f t="shared" si="23"/>
        <v>#N/A</v>
      </c>
      <c r="G106" s="9" t="e">
        <f t="shared" si="24"/>
        <v>#N/A</v>
      </c>
      <c r="H106" s="198" t="e">
        <f>VLOOKUP(A106,'Audience 2020 pivot'!$A$3:$D$409,3,FALSE)</f>
        <v>#N/A</v>
      </c>
      <c r="I106" s="199" t="e">
        <f t="shared" si="25"/>
        <v>#N/A</v>
      </c>
      <c r="J106" s="9" t="e">
        <f t="shared" si="26"/>
        <v>#N/A</v>
      </c>
      <c r="K106" s="51" t="e">
        <f>VLOOKUP(A106,'Audience 2020 pivot'!$A$3:$D$409,4,FALSE)</f>
        <v>#N/A</v>
      </c>
      <c r="L106" s="51" t="e">
        <f t="shared" si="27"/>
        <v>#N/A</v>
      </c>
      <c r="M106" s="9" t="e">
        <f t="shared" si="28"/>
        <v>#N/A</v>
      </c>
    </row>
    <row r="107" spans="5:13" x14ac:dyDescent="0.25">
      <c r="E107" s="51" t="e">
        <f>VLOOKUP(A107,'Audience 2020 pivot'!$A$3:$D$409,2,FALSE)</f>
        <v>#N/A</v>
      </c>
      <c r="F107" s="19" t="e">
        <f t="shared" si="23"/>
        <v>#N/A</v>
      </c>
      <c r="G107" s="9" t="e">
        <f t="shared" si="24"/>
        <v>#N/A</v>
      </c>
      <c r="H107" s="198" t="e">
        <f>VLOOKUP(A107,'Audience 2020 pivot'!$A$3:$D$409,3,FALSE)</f>
        <v>#N/A</v>
      </c>
      <c r="I107" s="199" t="e">
        <f t="shared" si="25"/>
        <v>#N/A</v>
      </c>
      <c r="J107" s="9" t="e">
        <f t="shared" si="26"/>
        <v>#N/A</v>
      </c>
      <c r="K107" s="51" t="e">
        <f>VLOOKUP(A107,'Audience 2020 pivot'!$A$3:$D$409,4,FALSE)</f>
        <v>#N/A</v>
      </c>
      <c r="L107" s="51" t="e">
        <f t="shared" si="27"/>
        <v>#N/A</v>
      </c>
      <c r="M107" s="9" t="e">
        <f t="shared" si="28"/>
        <v>#N/A</v>
      </c>
    </row>
    <row r="108" spans="5:13" x14ac:dyDescent="0.25">
      <c r="E108" s="51" t="e">
        <f>VLOOKUP(A108,'Audience 2020 pivot'!$A$3:$D$409,2,FALSE)</f>
        <v>#N/A</v>
      </c>
      <c r="F108" s="19" t="e">
        <f t="shared" si="23"/>
        <v>#N/A</v>
      </c>
      <c r="G108" s="9" t="e">
        <f t="shared" si="24"/>
        <v>#N/A</v>
      </c>
      <c r="H108" s="198" t="e">
        <f>VLOOKUP(A108,'Audience 2020 pivot'!$A$3:$D$409,3,FALSE)</f>
        <v>#N/A</v>
      </c>
      <c r="I108" s="199" t="e">
        <f t="shared" si="25"/>
        <v>#N/A</v>
      </c>
      <c r="J108" s="9" t="e">
        <f t="shared" si="26"/>
        <v>#N/A</v>
      </c>
      <c r="K108" s="51" t="e">
        <f>VLOOKUP(A108,'Audience 2020 pivot'!$A$3:$D$409,4,FALSE)</f>
        <v>#N/A</v>
      </c>
      <c r="L108" s="51" t="e">
        <f t="shared" si="27"/>
        <v>#N/A</v>
      </c>
      <c r="M108" s="9" t="e">
        <f t="shared" si="28"/>
        <v>#N/A</v>
      </c>
    </row>
    <row r="109" spans="5:13" x14ac:dyDescent="0.25">
      <c r="E109" s="51" t="e">
        <f>VLOOKUP(A109,'Audience 2020 pivot'!$A$3:$D$409,2,FALSE)</f>
        <v>#N/A</v>
      </c>
      <c r="F109" s="19" t="e">
        <f t="shared" si="23"/>
        <v>#N/A</v>
      </c>
      <c r="G109" s="9" t="e">
        <f t="shared" si="24"/>
        <v>#N/A</v>
      </c>
      <c r="H109" s="198" t="e">
        <f>VLOOKUP(A109,'Audience 2020 pivot'!$A$3:$D$409,3,FALSE)</f>
        <v>#N/A</v>
      </c>
      <c r="I109" s="199" t="e">
        <f t="shared" si="25"/>
        <v>#N/A</v>
      </c>
      <c r="J109" s="9" t="e">
        <f t="shared" si="26"/>
        <v>#N/A</v>
      </c>
      <c r="K109" s="51" t="e">
        <f>VLOOKUP(A109,'Audience 2020 pivot'!$A$3:$D$409,4,FALSE)</f>
        <v>#N/A</v>
      </c>
      <c r="L109" s="51" t="e">
        <f t="shared" si="27"/>
        <v>#N/A</v>
      </c>
      <c r="M109" s="9" t="e">
        <f t="shared" si="28"/>
        <v>#N/A</v>
      </c>
    </row>
    <row r="110" spans="5:13" x14ac:dyDescent="0.25">
      <c r="E110" s="51" t="e">
        <f>VLOOKUP(A110,'Audience 2020 pivot'!$A$3:$D$409,2,FALSE)</f>
        <v>#N/A</v>
      </c>
      <c r="F110" s="19" t="e">
        <f t="shared" si="23"/>
        <v>#N/A</v>
      </c>
      <c r="G110" s="9" t="e">
        <f t="shared" si="24"/>
        <v>#N/A</v>
      </c>
      <c r="H110" s="198" t="e">
        <f>VLOOKUP(A110,'Audience 2020 pivot'!$A$3:$D$409,3,FALSE)</f>
        <v>#N/A</v>
      </c>
      <c r="I110" s="199" t="e">
        <f t="shared" si="25"/>
        <v>#N/A</v>
      </c>
      <c r="J110" s="9" t="e">
        <f t="shared" si="26"/>
        <v>#N/A</v>
      </c>
      <c r="K110" s="51" t="e">
        <f>VLOOKUP(A110,'Audience 2020 pivot'!$A$3:$D$409,4,FALSE)</f>
        <v>#N/A</v>
      </c>
      <c r="L110" s="51" t="e">
        <f t="shared" si="27"/>
        <v>#N/A</v>
      </c>
      <c r="M110" s="9" t="e">
        <f t="shared" si="28"/>
        <v>#N/A</v>
      </c>
    </row>
    <row r="111" spans="5:13" x14ac:dyDescent="0.25">
      <c r="E111" s="51" t="e">
        <f>VLOOKUP(A111,'Audience 2020 pivot'!$A$3:$D$409,2,FALSE)</f>
        <v>#N/A</v>
      </c>
      <c r="F111" s="19" t="e">
        <f t="shared" si="23"/>
        <v>#N/A</v>
      </c>
      <c r="G111" s="9" t="e">
        <f t="shared" si="24"/>
        <v>#N/A</v>
      </c>
      <c r="H111" s="198" t="e">
        <f>VLOOKUP(A111,'Audience 2020 pivot'!$A$3:$D$409,3,FALSE)</f>
        <v>#N/A</v>
      </c>
      <c r="I111" s="199" t="e">
        <f t="shared" si="25"/>
        <v>#N/A</v>
      </c>
      <c r="J111" s="9" t="e">
        <f t="shared" si="26"/>
        <v>#N/A</v>
      </c>
      <c r="K111" s="51" t="e">
        <f>VLOOKUP(A111,'Audience 2020 pivot'!$A$3:$D$409,4,FALSE)</f>
        <v>#N/A</v>
      </c>
      <c r="L111" s="51" t="e">
        <f t="shared" si="27"/>
        <v>#N/A</v>
      </c>
      <c r="M111" s="9" t="e">
        <f t="shared" si="28"/>
        <v>#N/A</v>
      </c>
    </row>
    <row r="112" spans="5:13" x14ac:dyDescent="0.25">
      <c r="E112" s="51" t="e">
        <f>VLOOKUP(A112,'Audience 2020 pivot'!$A$3:$D$409,2,FALSE)</f>
        <v>#N/A</v>
      </c>
      <c r="F112" s="19" t="e">
        <f t="shared" si="23"/>
        <v>#N/A</v>
      </c>
      <c r="G112" s="9" t="e">
        <f t="shared" si="24"/>
        <v>#N/A</v>
      </c>
      <c r="H112" s="198" t="e">
        <f>VLOOKUP(A112,'Audience 2020 pivot'!$A$3:$D$409,3,FALSE)</f>
        <v>#N/A</v>
      </c>
      <c r="I112" s="199" t="e">
        <f t="shared" si="25"/>
        <v>#N/A</v>
      </c>
      <c r="J112" s="9" t="e">
        <f t="shared" si="26"/>
        <v>#N/A</v>
      </c>
      <c r="K112" s="51" t="e">
        <f>VLOOKUP(A112,'Audience 2020 pivot'!$A$3:$D$409,4,FALSE)</f>
        <v>#N/A</v>
      </c>
      <c r="L112" s="51" t="e">
        <f t="shared" si="27"/>
        <v>#N/A</v>
      </c>
      <c r="M112" s="9" t="e">
        <f t="shared" si="28"/>
        <v>#N/A</v>
      </c>
    </row>
    <row r="113" spans="5:13" x14ac:dyDescent="0.25">
      <c r="E113" s="51" t="e">
        <f>VLOOKUP(A113,'Audience 2020 pivot'!$A$3:$D$409,2,FALSE)</f>
        <v>#N/A</v>
      </c>
      <c r="F113" s="19" t="e">
        <f t="shared" si="23"/>
        <v>#N/A</v>
      </c>
      <c r="G113" s="9" t="e">
        <f t="shared" si="24"/>
        <v>#N/A</v>
      </c>
      <c r="H113" s="198" t="e">
        <f>VLOOKUP(A113,'Audience 2020 pivot'!$A$3:$D$409,3,FALSE)</f>
        <v>#N/A</v>
      </c>
      <c r="I113" s="199" t="e">
        <f t="shared" si="25"/>
        <v>#N/A</v>
      </c>
      <c r="J113" s="9" t="e">
        <f t="shared" si="26"/>
        <v>#N/A</v>
      </c>
      <c r="K113" s="51" t="e">
        <f>VLOOKUP(A113,'Audience 2020 pivot'!$A$3:$D$409,4,FALSE)</f>
        <v>#N/A</v>
      </c>
      <c r="L113" s="51" t="e">
        <f t="shared" si="27"/>
        <v>#N/A</v>
      </c>
      <c r="M113" s="9" t="e">
        <f t="shared" si="28"/>
        <v>#N/A</v>
      </c>
    </row>
    <row r="114" spans="5:13" x14ac:dyDescent="0.25">
      <c r="E114" s="51" t="e">
        <f>VLOOKUP(A114,'Audience 2020 pivot'!$A$3:$D$409,2,FALSE)</f>
        <v>#N/A</v>
      </c>
      <c r="F114" s="19" t="e">
        <f t="shared" si="23"/>
        <v>#N/A</v>
      </c>
      <c r="G114" s="9" t="e">
        <f t="shared" si="24"/>
        <v>#N/A</v>
      </c>
      <c r="H114" s="198" t="e">
        <f>VLOOKUP(A114,'Audience 2020 pivot'!$A$3:$D$409,3,FALSE)</f>
        <v>#N/A</v>
      </c>
      <c r="I114" s="199" t="e">
        <f t="shared" si="25"/>
        <v>#N/A</v>
      </c>
      <c r="J114" s="9" t="e">
        <f t="shared" si="26"/>
        <v>#N/A</v>
      </c>
      <c r="K114" s="51" t="e">
        <f>VLOOKUP(A114,'Audience 2020 pivot'!$A$3:$D$409,4,FALSE)</f>
        <v>#N/A</v>
      </c>
      <c r="L114" s="51" t="e">
        <f t="shared" si="27"/>
        <v>#N/A</v>
      </c>
      <c r="M114" s="9" t="e">
        <f t="shared" si="28"/>
        <v>#N/A</v>
      </c>
    </row>
    <row r="115" spans="5:13" x14ac:dyDescent="0.25">
      <c r="E115" s="51" t="e">
        <f>VLOOKUP(A115,'Audience 2020 pivot'!$A$3:$D$409,2,FALSE)</f>
        <v>#N/A</v>
      </c>
      <c r="F115" s="19" t="e">
        <f t="shared" si="23"/>
        <v>#N/A</v>
      </c>
      <c r="G115" s="9" t="e">
        <f t="shared" si="24"/>
        <v>#N/A</v>
      </c>
      <c r="H115" s="198" t="e">
        <f>VLOOKUP(A115,'Audience 2020 pivot'!$A$3:$D$409,3,FALSE)</f>
        <v>#N/A</v>
      </c>
      <c r="I115" s="199" t="e">
        <f t="shared" si="25"/>
        <v>#N/A</v>
      </c>
      <c r="J115" s="9" t="e">
        <f t="shared" si="26"/>
        <v>#N/A</v>
      </c>
      <c r="K115" s="51" t="e">
        <f>VLOOKUP(A115,'Audience 2020 pivot'!$A$3:$D$409,4,FALSE)</f>
        <v>#N/A</v>
      </c>
      <c r="L115" s="51" t="e">
        <f t="shared" si="27"/>
        <v>#N/A</v>
      </c>
      <c r="M115" s="9" t="e">
        <f t="shared" si="28"/>
        <v>#N/A</v>
      </c>
    </row>
    <row r="116" spans="5:13" x14ac:dyDescent="0.25">
      <c r="E116" s="51" t="e">
        <f>VLOOKUP(A116,'Audience 2020 pivot'!$A$3:$D$409,2,FALSE)</f>
        <v>#N/A</v>
      </c>
      <c r="F116" s="19" t="e">
        <f t="shared" si="23"/>
        <v>#N/A</v>
      </c>
      <c r="G116" s="9" t="e">
        <f t="shared" si="24"/>
        <v>#N/A</v>
      </c>
      <c r="H116" s="198" t="e">
        <f>VLOOKUP(A116,'Audience 2020 pivot'!$A$3:$D$409,3,FALSE)</f>
        <v>#N/A</v>
      </c>
      <c r="I116" s="199" t="e">
        <f t="shared" si="25"/>
        <v>#N/A</v>
      </c>
      <c r="J116" s="9" t="e">
        <f t="shared" si="26"/>
        <v>#N/A</v>
      </c>
      <c r="K116" s="51" t="e">
        <f>VLOOKUP(A116,'Audience 2020 pivot'!$A$3:$D$409,4,FALSE)</f>
        <v>#N/A</v>
      </c>
      <c r="L116" s="51" t="e">
        <f t="shared" si="27"/>
        <v>#N/A</v>
      </c>
      <c r="M116" s="9" t="e">
        <f t="shared" si="28"/>
        <v>#N/A</v>
      </c>
    </row>
    <row r="117" spans="5:13" x14ac:dyDescent="0.25">
      <c r="E117" s="51" t="e">
        <f>VLOOKUP(A117,'Audience 2020 pivot'!$A$3:$D$409,2,FALSE)</f>
        <v>#N/A</v>
      </c>
      <c r="F117" s="19" t="e">
        <f t="shared" si="23"/>
        <v>#N/A</v>
      </c>
      <c r="G117" s="9" t="e">
        <f t="shared" si="24"/>
        <v>#N/A</v>
      </c>
      <c r="H117" s="198" t="e">
        <f>VLOOKUP(A117,'Audience 2020 pivot'!$A$3:$D$409,3,FALSE)</f>
        <v>#N/A</v>
      </c>
      <c r="I117" s="199" t="e">
        <f t="shared" si="25"/>
        <v>#N/A</v>
      </c>
      <c r="J117" s="9" t="e">
        <f t="shared" si="26"/>
        <v>#N/A</v>
      </c>
      <c r="K117" s="51" t="e">
        <f>VLOOKUP(A117,'Audience 2020 pivot'!$A$3:$D$409,4,FALSE)</f>
        <v>#N/A</v>
      </c>
      <c r="L117" s="51" t="e">
        <f t="shared" si="27"/>
        <v>#N/A</v>
      </c>
      <c r="M117" s="9" t="e">
        <f t="shared" si="28"/>
        <v>#N/A</v>
      </c>
    </row>
    <row r="118" spans="5:13" x14ac:dyDescent="0.25">
      <c r="E118" s="51" t="e">
        <f>VLOOKUP(A118,'Audience 2020 pivot'!$A$3:$D$409,2,FALSE)</f>
        <v>#N/A</v>
      </c>
      <c r="F118" s="19" t="e">
        <f t="shared" si="23"/>
        <v>#N/A</v>
      </c>
      <c r="G118" s="9" t="e">
        <f t="shared" si="24"/>
        <v>#N/A</v>
      </c>
      <c r="H118" s="198" t="e">
        <f>VLOOKUP(A118,'Audience 2020 pivot'!$A$3:$D$409,3,FALSE)</f>
        <v>#N/A</v>
      </c>
      <c r="I118" s="199" t="e">
        <f t="shared" si="25"/>
        <v>#N/A</v>
      </c>
      <c r="J118" s="9" t="e">
        <f t="shared" si="26"/>
        <v>#N/A</v>
      </c>
      <c r="K118" s="51" t="e">
        <f>VLOOKUP(A118,'Audience 2020 pivot'!$A$3:$D$409,4,FALSE)</f>
        <v>#N/A</v>
      </c>
      <c r="L118" s="51" t="e">
        <f t="shared" si="27"/>
        <v>#N/A</v>
      </c>
      <c r="M118" s="9" t="e">
        <f t="shared" si="28"/>
        <v>#N/A</v>
      </c>
    </row>
    <row r="119" spans="5:13" x14ac:dyDescent="0.25">
      <c r="E119" s="51" t="e">
        <f>VLOOKUP(A119,'Audience 2020 pivot'!$A$3:$D$409,2,FALSE)</f>
        <v>#N/A</v>
      </c>
      <c r="F119" s="19" t="e">
        <f t="shared" si="23"/>
        <v>#N/A</v>
      </c>
      <c r="G119" s="9" t="e">
        <f t="shared" si="24"/>
        <v>#N/A</v>
      </c>
      <c r="H119" s="198" t="e">
        <f>VLOOKUP(A119,'Audience 2020 pivot'!$A$3:$D$409,3,FALSE)</f>
        <v>#N/A</v>
      </c>
      <c r="I119" s="199" t="e">
        <f t="shared" si="25"/>
        <v>#N/A</v>
      </c>
      <c r="J119" s="9" t="e">
        <f t="shared" si="26"/>
        <v>#N/A</v>
      </c>
      <c r="K119" s="51" t="e">
        <f>VLOOKUP(A119,'Audience 2020 pivot'!$A$3:$D$409,4,FALSE)</f>
        <v>#N/A</v>
      </c>
      <c r="L119" s="51" t="e">
        <f t="shared" si="27"/>
        <v>#N/A</v>
      </c>
      <c r="M119" s="9" t="e">
        <f t="shared" si="28"/>
        <v>#N/A</v>
      </c>
    </row>
    <row r="120" spans="5:13" x14ac:dyDescent="0.25">
      <c r="E120" s="51" t="e">
        <f>VLOOKUP(A120,'Audience 2020 pivot'!$A$3:$D$409,2,FALSE)</f>
        <v>#N/A</v>
      </c>
      <c r="F120" s="19" t="e">
        <f t="shared" si="23"/>
        <v>#N/A</v>
      </c>
      <c r="G120" s="9" t="e">
        <f t="shared" si="24"/>
        <v>#N/A</v>
      </c>
      <c r="H120" s="198" t="e">
        <f>VLOOKUP(A120,'Audience 2020 pivot'!$A$3:$D$409,3,FALSE)</f>
        <v>#N/A</v>
      </c>
      <c r="I120" s="199" t="e">
        <f t="shared" si="25"/>
        <v>#N/A</v>
      </c>
      <c r="J120" s="9" t="e">
        <f t="shared" si="26"/>
        <v>#N/A</v>
      </c>
      <c r="K120" s="51" t="e">
        <f>VLOOKUP(A120,'Audience 2020 pivot'!$A$3:$D$409,4,FALSE)</f>
        <v>#N/A</v>
      </c>
      <c r="L120" s="51" t="e">
        <f t="shared" si="27"/>
        <v>#N/A</v>
      </c>
      <c r="M120" s="9" t="e">
        <f t="shared" si="28"/>
        <v>#N/A</v>
      </c>
    </row>
    <row r="121" spans="5:13" x14ac:dyDescent="0.25">
      <c r="E121" s="51" t="e">
        <f>VLOOKUP(A121,'Audience 2020 pivot'!$A$3:$D$409,2,FALSE)</f>
        <v>#N/A</v>
      </c>
      <c r="F121" s="19" t="e">
        <f t="shared" si="23"/>
        <v>#N/A</v>
      </c>
      <c r="G121" s="9" t="e">
        <f t="shared" si="24"/>
        <v>#N/A</v>
      </c>
      <c r="H121" s="198" t="e">
        <f>VLOOKUP(A121,'Audience 2020 pivot'!$A$3:$D$409,3,FALSE)</f>
        <v>#N/A</v>
      </c>
      <c r="I121" s="199" t="e">
        <f t="shared" si="25"/>
        <v>#N/A</v>
      </c>
      <c r="J121" s="9" t="e">
        <f t="shared" si="26"/>
        <v>#N/A</v>
      </c>
      <c r="K121" s="51" t="e">
        <f>VLOOKUP(A121,'Audience 2020 pivot'!$A$3:$D$409,4,FALSE)</f>
        <v>#N/A</v>
      </c>
      <c r="L121" s="51" t="e">
        <f t="shared" si="27"/>
        <v>#N/A</v>
      </c>
      <c r="M121" s="9" t="e">
        <f t="shared" si="28"/>
        <v>#N/A</v>
      </c>
    </row>
    <row r="122" spans="5:13" x14ac:dyDescent="0.25">
      <c r="E122" s="51" t="e">
        <f>VLOOKUP(A122,'Audience 2020 pivot'!$A$3:$D$409,2,FALSE)</f>
        <v>#N/A</v>
      </c>
      <c r="F122" s="19" t="e">
        <f t="shared" si="23"/>
        <v>#N/A</v>
      </c>
      <c r="G122" s="9" t="e">
        <f t="shared" si="24"/>
        <v>#N/A</v>
      </c>
      <c r="H122" s="198" t="e">
        <f>VLOOKUP(A122,'Audience 2020 pivot'!$A$3:$D$409,3,FALSE)</f>
        <v>#N/A</v>
      </c>
      <c r="I122" s="199" t="e">
        <f t="shared" si="25"/>
        <v>#N/A</v>
      </c>
      <c r="J122" s="9" t="e">
        <f t="shared" si="26"/>
        <v>#N/A</v>
      </c>
      <c r="K122" s="51" t="e">
        <f>VLOOKUP(A122,'Audience 2020 pivot'!$A$3:$D$409,4,FALSE)</f>
        <v>#N/A</v>
      </c>
      <c r="L122" s="51" t="e">
        <f t="shared" si="27"/>
        <v>#N/A</v>
      </c>
      <c r="M122" s="9" t="e">
        <f t="shared" si="28"/>
        <v>#N/A</v>
      </c>
    </row>
    <row r="123" spans="5:13" x14ac:dyDescent="0.25">
      <c r="E123" s="51" t="e">
        <f>VLOOKUP(A123,'Audience 2020 pivot'!$A$3:$D$409,2,FALSE)</f>
        <v>#N/A</v>
      </c>
      <c r="F123" s="19" t="e">
        <f t="shared" si="23"/>
        <v>#N/A</v>
      </c>
      <c r="G123" s="9" t="e">
        <f t="shared" si="24"/>
        <v>#N/A</v>
      </c>
      <c r="H123" s="198" t="e">
        <f>VLOOKUP(A123,'Audience 2020 pivot'!$A$3:$D$409,3,FALSE)</f>
        <v>#N/A</v>
      </c>
      <c r="I123" s="199" t="e">
        <f t="shared" si="25"/>
        <v>#N/A</v>
      </c>
      <c r="J123" s="9" t="e">
        <f t="shared" si="26"/>
        <v>#N/A</v>
      </c>
      <c r="K123" s="51" t="e">
        <f>VLOOKUP(A123,'Audience 2020 pivot'!$A$3:$D$409,4,FALSE)</f>
        <v>#N/A</v>
      </c>
      <c r="L123" s="51" t="e">
        <f t="shared" si="27"/>
        <v>#N/A</v>
      </c>
      <c r="M123" s="9" t="e">
        <f t="shared" si="28"/>
        <v>#N/A</v>
      </c>
    </row>
    <row r="124" spans="5:13" x14ac:dyDescent="0.25">
      <c r="E124" s="51" t="e">
        <f>VLOOKUP(A124,'Audience 2020 pivot'!$A$3:$D$409,2,FALSE)</f>
        <v>#N/A</v>
      </c>
      <c r="F124" s="19" t="e">
        <f t="shared" si="23"/>
        <v>#N/A</v>
      </c>
      <c r="G124" s="9" t="e">
        <f t="shared" si="24"/>
        <v>#N/A</v>
      </c>
      <c r="H124" s="198" t="e">
        <f>VLOOKUP(A124,'Audience 2020 pivot'!$A$3:$D$409,3,FALSE)</f>
        <v>#N/A</v>
      </c>
      <c r="I124" s="199" t="e">
        <f t="shared" si="25"/>
        <v>#N/A</v>
      </c>
      <c r="J124" s="9" t="e">
        <f t="shared" si="26"/>
        <v>#N/A</v>
      </c>
      <c r="K124" s="51" t="e">
        <f>VLOOKUP(A124,'Audience 2020 pivot'!$A$3:$D$409,4,FALSE)</f>
        <v>#N/A</v>
      </c>
      <c r="L124" s="51" t="e">
        <f t="shared" si="27"/>
        <v>#N/A</v>
      </c>
      <c r="M124" s="9" t="e">
        <f t="shared" si="28"/>
        <v>#N/A</v>
      </c>
    </row>
    <row r="125" spans="5:13" x14ac:dyDescent="0.25">
      <c r="E125" s="51" t="e">
        <f>VLOOKUP(A125,'Audience 2020 pivot'!$A$3:$D$409,2,FALSE)</f>
        <v>#N/A</v>
      </c>
      <c r="F125" s="19" t="e">
        <f t="shared" si="23"/>
        <v>#N/A</v>
      </c>
      <c r="G125" s="9" t="e">
        <f t="shared" si="24"/>
        <v>#N/A</v>
      </c>
      <c r="H125" s="198" t="e">
        <f>VLOOKUP(A125,'Audience 2020 pivot'!$A$3:$D$409,3,FALSE)</f>
        <v>#N/A</v>
      </c>
      <c r="I125" s="199" t="e">
        <f t="shared" si="25"/>
        <v>#N/A</v>
      </c>
      <c r="J125" s="9" t="e">
        <f t="shared" si="26"/>
        <v>#N/A</v>
      </c>
      <c r="K125" s="51" t="e">
        <f>VLOOKUP(A125,'Audience 2020 pivot'!$A$3:$D$409,4,FALSE)</f>
        <v>#N/A</v>
      </c>
      <c r="L125" s="51" t="e">
        <f t="shared" si="27"/>
        <v>#N/A</v>
      </c>
      <c r="M125" s="9" t="e">
        <f t="shared" si="28"/>
        <v>#N/A</v>
      </c>
    </row>
    <row r="126" spans="5:13" x14ac:dyDescent="0.25">
      <c r="E126" s="51" t="e">
        <f>VLOOKUP(A126,'Audience 2020 pivot'!$A$3:$D$409,2,FALSE)</f>
        <v>#N/A</v>
      </c>
      <c r="F126" s="19" t="e">
        <f t="shared" si="23"/>
        <v>#N/A</v>
      </c>
      <c r="G126" s="9" t="e">
        <f t="shared" si="24"/>
        <v>#N/A</v>
      </c>
      <c r="H126" s="198" t="e">
        <f>VLOOKUP(A126,'Audience 2020 pivot'!$A$3:$D$409,3,FALSE)</f>
        <v>#N/A</v>
      </c>
      <c r="I126" s="199" t="e">
        <f t="shared" si="25"/>
        <v>#N/A</v>
      </c>
      <c r="J126" s="9" t="e">
        <f t="shared" si="26"/>
        <v>#N/A</v>
      </c>
      <c r="K126" s="51" t="e">
        <f>VLOOKUP(A126,'Audience 2020 pivot'!$A$3:$D$409,4,FALSE)</f>
        <v>#N/A</v>
      </c>
      <c r="L126" s="51" t="e">
        <f t="shared" si="27"/>
        <v>#N/A</v>
      </c>
      <c r="M126" s="9" t="e">
        <f t="shared" si="28"/>
        <v>#N/A</v>
      </c>
    </row>
    <row r="127" spans="5:13" x14ac:dyDescent="0.25">
      <c r="E127" s="51" t="e">
        <f>VLOOKUP(A127,'Audience 2020 pivot'!$A$3:$D$409,2,FALSE)</f>
        <v>#N/A</v>
      </c>
      <c r="F127" s="19" t="e">
        <f t="shared" si="23"/>
        <v>#N/A</v>
      </c>
      <c r="G127" s="9" t="e">
        <f t="shared" si="24"/>
        <v>#N/A</v>
      </c>
      <c r="H127" s="198" t="e">
        <f>VLOOKUP(A127,'Audience 2020 pivot'!$A$3:$D$409,3,FALSE)</f>
        <v>#N/A</v>
      </c>
      <c r="I127" s="199" t="e">
        <f t="shared" si="25"/>
        <v>#N/A</v>
      </c>
      <c r="J127" s="9" t="e">
        <f t="shared" si="26"/>
        <v>#N/A</v>
      </c>
      <c r="K127" s="51" t="e">
        <f>VLOOKUP(A127,'Audience 2020 pivot'!$A$3:$D$409,4,FALSE)</f>
        <v>#N/A</v>
      </c>
      <c r="L127" s="51" t="e">
        <f t="shared" si="27"/>
        <v>#N/A</v>
      </c>
      <c r="M127" s="9" t="e">
        <f t="shared" si="28"/>
        <v>#N/A</v>
      </c>
    </row>
    <row r="128" spans="5:13" x14ac:dyDescent="0.25">
      <c r="E128" s="51" t="e">
        <f>VLOOKUP(A128,'Audience 2020 pivot'!$A$3:$D$409,2,FALSE)</f>
        <v>#N/A</v>
      </c>
      <c r="F128" s="19" t="e">
        <f t="shared" si="23"/>
        <v>#N/A</v>
      </c>
      <c r="G128" s="9" t="e">
        <f t="shared" si="24"/>
        <v>#N/A</v>
      </c>
      <c r="H128" s="198" t="e">
        <f>VLOOKUP(A128,'Audience 2020 pivot'!$A$3:$D$409,3,FALSE)</f>
        <v>#N/A</v>
      </c>
      <c r="I128" s="199" t="e">
        <f t="shared" si="25"/>
        <v>#N/A</v>
      </c>
      <c r="J128" s="9" t="e">
        <f t="shared" si="26"/>
        <v>#N/A</v>
      </c>
      <c r="K128" s="51" t="e">
        <f>VLOOKUP(A128,'Audience 2020 pivot'!$A$3:$D$409,4,FALSE)</f>
        <v>#N/A</v>
      </c>
      <c r="L128" s="51" t="e">
        <f t="shared" si="27"/>
        <v>#N/A</v>
      </c>
      <c r="M128" s="9" t="e">
        <f t="shared" si="28"/>
        <v>#N/A</v>
      </c>
    </row>
    <row r="129" spans="5:13" x14ac:dyDescent="0.25">
      <c r="E129" s="51" t="e">
        <f>VLOOKUP(A129,'Audience 2020 pivot'!$A$3:$D$409,2,FALSE)</f>
        <v>#N/A</v>
      </c>
      <c r="F129" s="19" t="e">
        <f t="shared" si="23"/>
        <v>#N/A</v>
      </c>
      <c r="G129" s="9" t="e">
        <f t="shared" si="24"/>
        <v>#N/A</v>
      </c>
      <c r="H129" s="198" t="e">
        <f>VLOOKUP(A129,'Audience 2020 pivot'!$A$3:$D$409,3,FALSE)</f>
        <v>#N/A</v>
      </c>
      <c r="I129" s="199" t="e">
        <f t="shared" si="25"/>
        <v>#N/A</v>
      </c>
      <c r="J129" s="9" t="e">
        <f t="shared" si="26"/>
        <v>#N/A</v>
      </c>
      <c r="K129" s="51" t="e">
        <f>VLOOKUP(A129,'Audience 2020 pivot'!$A$3:$D$409,4,FALSE)</f>
        <v>#N/A</v>
      </c>
      <c r="L129" s="51" t="e">
        <f t="shared" si="27"/>
        <v>#N/A</v>
      </c>
      <c r="M129" s="9" t="e">
        <f t="shared" si="28"/>
        <v>#N/A</v>
      </c>
    </row>
    <row r="130" spans="5:13" x14ac:dyDescent="0.25">
      <c r="E130" s="51" t="e">
        <f>VLOOKUP(A130,'Audience 2020 pivot'!$A$3:$D$409,2,FALSE)</f>
        <v>#N/A</v>
      </c>
      <c r="F130" s="19" t="e">
        <f t="shared" si="23"/>
        <v>#N/A</v>
      </c>
      <c r="G130" s="9" t="e">
        <f t="shared" si="24"/>
        <v>#N/A</v>
      </c>
      <c r="H130" s="198" t="e">
        <f>VLOOKUP(A130,'Audience 2020 pivot'!$A$3:$D$409,3,FALSE)</f>
        <v>#N/A</v>
      </c>
      <c r="I130" s="199" t="e">
        <f t="shared" si="25"/>
        <v>#N/A</v>
      </c>
      <c r="J130" s="9" t="e">
        <f t="shared" si="26"/>
        <v>#N/A</v>
      </c>
      <c r="K130" s="51" t="e">
        <f>VLOOKUP(A130,'Audience 2020 pivot'!$A$3:$D$409,4,FALSE)</f>
        <v>#N/A</v>
      </c>
      <c r="L130" s="51" t="e">
        <f t="shared" si="27"/>
        <v>#N/A</v>
      </c>
      <c r="M130" s="9" t="e">
        <f t="shared" si="28"/>
        <v>#N/A</v>
      </c>
    </row>
    <row r="131" spans="5:13" x14ac:dyDescent="0.25">
      <c r="E131" s="51" t="e">
        <f>VLOOKUP(A131,'Audience 2020 pivot'!$A$3:$D$409,2,FALSE)</f>
        <v>#N/A</v>
      </c>
      <c r="F131" s="19" t="e">
        <f t="shared" si="23"/>
        <v>#N/A</v>
      </c>
      <c r="G131" s="9" t="e">
        <f t="shared" si="24"/>
        <v>#N/A</v>
      </c>
      <c r="H131" s="198" t="e">
        <f>VLOOKUP(A131,'Audience 2020 pivot'!$A$3:$D$409,3,FALSE)</f>
        <v>#N/A</v>
      </c>
      <c r="I131" s="199" t="e">
        <f t="shared" si="25"/>
        <v>#N/A</v>
      </c>
      <c r="J131" s="9" t="e">
        <f t="shared" si="26"/>
        <v>#N/A</v>
      </c>
      <c r="K131" s="51" t="e">
        <f>VLOOKUP(A131,'Audience 2020 pivot'!$A$3:$D$409,4,FALSE)</f>
        <v>#N/A</v>
      </c>
      <c r="L131" s="51" t="e">
        <f t="shared" si="27"/>
        <v>#N/A</v>
      </c>
      <c r="M131" s="9" t="e">
        <f t="shared" si="28"/>
        <v>#N/A</v>
      </c>
    </row>
    <row r="132" spans="5:13" x14ac:dyDescent="0.25">
      <c r="E132" s="51" t="e">
        <f>VLOOKUP(A132,'Audience 2020 pivot'!$A$3:$D$409,2,FALSE)</f>
        <v>#N/A</v>
      </c>
      <c r="F132" s="19" t="e">
        <f t="shared" si="23"/>
        <v>#N/A</v>
      </c>
      <c r="G132" s="9" t="e">
        <f t="shared" si="24"/>
        <v>#N/A</v>
      </c>
      <c r="H132" s="198" t="e">
        <f>VLOOKUP(A132,'Audience 2020 pivot'!$A$3:$D$409,3,FALSE)</f>
        <v>#N/A</v>
      </c>
      <c r="I132" s="199" t="e">
        <f t="shared" si="25"/>
        <v>#N/A</v>
      </c>
      <c r="J132" s="9" t="e">
        <f t="shared" si="26"/>
        <v>#N/A</v>
      </c>
      <c r="K132" s="51" t="e">
        <f>VLOOKUP(A132,'Audience 2020 pivot'!$A$3:$D$409,4,FALSE)</f>
        <v>#N/A</v>
      </c>
      <c r="L132" s="51" t="e">
        <f t="shared" si="27"/>
        <v>#N/A</v>
      </c>
      <c r="M132" s="9" t="e">
        <f t="shared" si="28"/>
        <v>#N/A</v>
      </c>
    </row>
    <row r="133" spans="5:13" x14ac:dyDescent="0.25">
      <c r="E133" s="51" t="e">
        <f>VLOOKUP(A133,'Audience 2020 pivot'!$A$3:$D$409,2,FALSE)</f>
        <v>#N/A</v>
      </c>
      <c r="F133" s="19" t="e">
        <f t="shared" si="23"/>
        <v>#N/A</v>
      </c>
      <c r="G133" s="9" t="e">
        <f t="shared" si="24"/>
        <v>#N/A</v>
      </c>
      <c r="H133" s="198" t="e">
        <f>VLOOKUP(A133,'Audience 2020 pivot'!$A$3:$D$409,3,FALSE)</f>
        <v>#N/A</v>
      </c>
      <c r="I133" s="199" t="e">
        <f t="shared" si="25"/>
        <v>#N/A</v>
      </c>
      <c r="J133" s="9" t="e">
        <f t="shared" si="26"/>
        <v>#N/A</v>
      </c>
      <c r="K133" s="51" t="e">
        <f>VLOOKUP(A133,'Audience 2020 pivot'!$A$3:$D$409,4,FALSE)</f>
        <v>#N/A</v>
      </c>
      <c r="L133" s="51" t="e">
        <f t="shared" si="27"/>
        <v>#N/A</v>
      </c>
      <c r="M133" s="9" t="e">
        <f t="shared" si="28"/>
        <v>#N/A</v>
      </c>
    </row>
    <row r="134" spans="5:13" x14ac:dyDescent="0.25">
      <c r="E134" s="51" t="e">
        <f>VLOOKUP(A134,'Audience 2020 pivot'!$A$3:$D$409,2,FALSE)</f>
        <v>#N/A</v>
      </c>
      <c r="F134" s="19" t="e">
        <f t="shared" si="23"/>
        <v>#N/A</v>
      </c>
      <c r="G134" s="9" t="e">
        <f t="shared" si="24"/>
        <v>#N/A</v>
      </c>
      <c r="H134" s="198" t="e">
        <f>VLOOKUP(A134,'Audience 2020 pivot'!$A$3:$D$409,3,FALSE)</f>
        <v>#N/A</v>
      </c>
      <c r="I134" s="199" t="e">
        <f t="shared" si="25"/>
        <v>#N/A</v>
      </c>
      <c r="J134" s="9" t="e">
        <f t="shared" si="26"/>
        <v>#N/A</v>
      </c>
      <c r="K134" s="51" t="e">
        <f>VLOOKUP(A134,'Audience 2020 pivot'!$A$3:$D$409,4,FALSE)</f>
        <v>#N/A</v>
      </c>
      <c r="L134" s="51" t="e">
        <f t="shared" si="27"/>
        <v>#N/A</v>
      </c>
      <c r="M134" s="9" t="e">
        <f t="shared" si="28"/>
        <v>#N/A</v>
      </c>
    </row>
    <row r="135" spans="5:13" x14ac:dyDescent="0.25">
      <c r="E135" s="51" t="e">
        <f>VLOOKUP(A135,'Audience 2020 pivot'!$A$3:$D$409,2,FALSE)</f>
        <v>#N/A</v>
      </c>
      <c r="F135" s="19" t="e">
        <f t="shared" si="23"/>
        <v>#N/A</v>
      </c>
      <c r="G135" s="9" t="e">
        <f t="shared" si="24"/>
        <v>#N/A</v>
      </c>
      <c r="H135" s="198" t="e">
        <f>VLOOKUP(A135,'Audience 2020 pivot'!$A$3:$D$409,3,FALSE)</f>
        <v>#N/A</v>
      </c>
      <c r="I135" s="199" t="e">
        <f t="shared" si="25"/>
        <v>#N/A</v>
      </c>
      <c r="J135" s="9" t="e">
        <f t="shared" si="26"/>
        <v>#N/A</v>
      </c>
      <c r="K135" s="51" t="e">
        <f>VLOOKUP(A135,'Audience 2020 pivot'!$A$3:$D$409,4,FALSE)</f>
        <v>#N/A</v>
      </c>
      <c r="L135" s="51" t="e">
        <f t="shared" si="27"/>
        <v>#N/A</v>
      </c>
      <c r="M135" s="9" t="e">
        <f t="shared" si="28"/>
        <v>#N/A</v>
      </c>
    </row>
    <row r="136" spans="5:13" x14ac:dyDescent="0.25">
      <c r="E136" s="51" t="e">
        <f>VLOOKUP(A136,'Audience 2020 pivot'!$A$3:$D$409,2,FALSE)</f>
        <v>#N/A</v>
      </c>
      <c r="F136" s="19" t="e">
        <f t="shared" si="23"/>
        <v>#N/A</v>
      </c>
      <c r="G136" s="9" t="e">
        <f t="shared" si="24"/>
        <v>#N/A</v>
      </c>
      <c r="H136" s="198" t="e">
        <f>VLOOKUP(A136,'Audience 2020 pivot'!$A$3:$D$409,3,FALSE)</f>
        <v>#N/A</v>
      </c>
      <c r="I136" s="199" t="e">
        <f t="shared" si="25"/>
        <v>#N/A</v>
      </c>
      <c r="J136" s="9" t="e">
        <f t="shared" si="26"/>
        <v>#N/A</v>
      </c>
      <c r="K136" s="51" t="e">
        <f>VLOOKUP(A136,'Audience 2020 pivot'!$A$3:$D$409,4,FALSE)</f>
        <v>#N/A</v>
      </c>
      <c r="L136" s="51" t="e">
        <f t="shared" si="27"/>
        <v>#N/A</v>
      </c>
      <c r="M136" s="9" t="e">
        <f t="shared" si="28"/>
        <v>#N/A</v>
      </c>
    </row>
    <row r="137" spans="5:13" x14ac:dyDescent="0.25">
      <c r="E137" s="51" t="e">
        <f>VLOOKUP(A137,'Audience 2020 pivot'!$A$3:$D$409,2,FALSE)</f>
        <v>#N/A</v>
      </c>
      <c r="F137" s="19" t="e">
        <f t="shared" si="23"/>
        <v>#N/A</v>
      </c>
      <c r="G137" s="9" t="e">
        <f t="shared" si="24"/>
        <v>#N/A</v>
      </c>
      <c r="H137" s="198" t="e">
        <f>VLOOKUP(A137,'Audience 2020 pivot'!$A$3:$D$409,3,FALSE)</f>
        <v>#N/A</v>
      </c>
      <c r="I137" s="199" t="e">
        <f t="shared" si="25"/>
        <v>#N/A</v>
      </c>
      <c r="J137" s="9" t="e">
        <f t="shared" si="26"/>
        <v>#N/A</v>
      </c>
      <c r="K137" s="51" t="e">
        <f>VLOOKUP(A137,'Audience 2020 pivot'!$A$3:$D$409,4,FALSE)</f>
        <v>#N/A</v>
      </c>
      <c r="L137" s="51" t="e">
        <f t="shared" si="27"/>
        <v>#N/A</v>
      </c>
      <c r="M137" s="9" t="e">
        <f t="shared" si="28"/>
        <v>#N/A</v>
      </c>
    </row>
    <row r="138" spans="5:13" x14ac:dyDescent="0.25">
      <c r="E138" s="51" t="e">
        <f>VLOOKUP(A138,'Audience 2020 pivot'!$A$3:$D$409,2,FALSE)</f>
        <v>#N/A</v>
      </c>
      <c r="F138" s="19" t="e">
        <f t="shared" si="23"/>
        <v>#N/A</v>
      </c>
      <c r="G138" s="9" t="e">
        <f t="shared" si="24"/>
        <v>#N/A</v>
      </c>
      <c r="H138" s="198" t="e">
        <f>VLOOKUP(A138,'Audience 2020 pivot'!$A$3:$D$409,3,FALSE)</f>
        <v>#N/A</v>
      </c>
      <c r="I138" s="199" t="e">
        <f t="shared" si="25"/>
        <v>#N/A</v>
      </c>
      <c r="J138" s="9" t="e">
        <f t="shared" si="26"/>
        <v>#N/A</v>
      </c>
      <c r="K138" s="51" t="e">
        <f>VLOOKUP(A138,'Audience 2020 pivot'!$A$3:$D$409,4,FALSE)</f>
        <v>#N/A</v>
      </c>
      <c r="L138" s="51" t="e">
        <f t="shared" si="27"/>
        <v>#N/A</v>
      </c>
      <c r="M138" s="9" t="e">
        <f t="shared" si="28"/>
        <v>#N/A</v>
      </c>
    </row>
    <row r="139" spans="5:13" x14ac:dyDescent="0.25">
      <c r="E139" s="51" t="e">
        <f>VLOOKUP(A139,'Audience 2020 pivot'!$A$3:$D$409,2,FALSE)</f>
        <v>#N/A</v>
      </c>
      <c r="F139" s="19" t="e">
        <f t="shared" ref="F139:F202" si="29">B139-E139</f>
        <v>#N/A</v>
      </c>
      <c r="G139" s="9" t="e">
        <f t="shared" ref="G139:G202" si="30">B139/E139-1</f>
        <v>#N/A</v>
      </c>
      <c r="H139" s="198" t="e">
        <f>VLOOKUP(A139,'Audience 2020 pivot'!$A$3:$D$409,3,FALSE)</f>
        <v>#N/A</v>
      </c>
      <c r="I139" s="199" t="e">
        <f t="shared" ref="I139:I202" si="31">(C139-H139)*24</f>
        <v>#N/A</v>
      </c>
      <c r="J139" s="9" t="e">
        <f t="shared" ref="J139:J202" si="32">C139/H139-1</f>
        <v>#N/A</v>
      </c>
      <c r="K139" s="51" t="e">
        <f>VLOOKUP(A139,'Audience 2020 pivot'!$A$3:$D$409,4,FALSE)</f>
        <v>#N/A</v>
      </c>
      <c r="L139" s="51" t="e">
        <f t="shared" ref="L139:L202" si="33">D139-K139</f>
        <v>#N/A</v>
      </c>
      <c r="M139" s="9" t="e">
        <f t="shared" ref="M139:M202" si="34">D139/K139-1</f>
        <v>#N/A</v>
      </c>
    </row>
    <row r="140" spans="5:13" x14ac:dyDescent="0.25">
      <c r="E140" s="51" t="e">
        <f>VLOOKUP(A140,'Audience 2020 pivot'!$A$3:$D$409,2,FALSE)</f>
        <v>#N/A</v>
      </c>
      <c r="F140" s="19" t="e">
        <f t="shared" si="29"/>
        <v>#N/A</v>
      </c>
      <c r="G140" s="9" t="e">
        <f t="shared" si="30"/>
        <v>#N/A</v>
      </c>
      <c r="H140" s="198" t="e">
        <f>VLOOKUP(A140,'Audience 2020 pivot'!$A$3:$D$409,3,FALSE)</f>
        <v>#N/A</v>
      </c>
      <c r="I140" s="199" t="e">
        <f t="shared" si="31"/>
        <v>#N/A</v>
      </c>
      <c r="J140" s="9" t="e">
        <f t="shared" si="32"/>
        <v>#N/A</v>
      </c>
      <c r="K140" s="51" t="e">
        <f>VLOOKUP(A140,'Audience 2020 pivot'!$A$3:$D$409,4,FALSE)</f>
        <v>#N/A</v>
      </c>
      <c r="L140" s="51" t="e">
        <f t="shared" si="33"/>
        <v>#N/A</v>
      </c>
      <c r="M140" s="9" t="e">
        <f t="shared" si="34"/>
        <v>#N/A</v>
      </c>
    </row>
    <row r="141" spans="5:13" x14ac:dyDescent="0.25">
      <c r="E141" s="51" t="e">
        <f>VLOOKUP(A141,'Audience 2020 pivot'!$A$3:$D$409,2,FALSE)</f>
        <v>#N/A</v>
      </c>
      <c r="F141" s="19" t="e">
        <f t="shared" si="29"/>
        <v>#N/A</v>
      </c>
      <c r="G141" s="9" t="e">
        <f t="shared" si="30"/>
        <v>#N/A</v>
      </c>
      <c r="H141" s="198" t="e">
        <f>VLOOKUP(A141,'Audience 2020 pivot'!$A$3:$D$409,3,FALSE)</f>
        <v>#N/A</v>
      </c>
      <c r="I141" s="199" t="e">
        <f t="shared" si="31"/>
        <v>#N/A</v>
      </c>
      <c r="J141" s="9" t="e">
        <f t="shared" si="32"/>
        <v>#N/A</v>
      </c>
      <c r="K141" s="51" t="e">
        <f>VLOOKUP(A141,'Audience 2020 pivot'!$A$3:$D$409,4,FALSE)</f>
        <v>#N/A</v>
      </c>
      <c r="L141" s="51" t="e">
        <f t="shared" si="33"/>
        <v>#N/A</v>
      </c>
      <c r="M141" s="9" t="e">
        <f t="shared" si="34"/>
        <v>#N/A</v>
      </c>
    </row>
    <row r="142" spans="5:13" x14ac:dyDescent="0.25">
      <c r="E142" s="51" t="e">
        <f>VLOOKUP(A142,'Audience 2020 pivot'!$A$3:$D$409,2,FALSE)</f>
        <v>#N/A</v>
      </c>
      <c r="F142" s="19" t="e">
        <f t="shared" si="29"/>
        <v>#N/A</v>
      </c>
      <c r="G142" s="9" t="e">
        <f t="shared" si="30"/>
        <v>#N/A</v>
      </c>
      <c r="H142" s="198" t="e">
        <f>VLOOKUP(A142,'Audience 2020 pivot'!$A$3:$D$409,3,FALSE)</f>
        <v>#N/A</v>
      </c>
      <c r="I142" s="199" t="e">
        <f t="shared" si="31"/>
        <v>#N/A</v>
      </c>
      <c r="J142" s="9" t="e">
        <f t="shared" si="32"/>
        <v>#N/A</v>
      </c>
      <c r="K142" s="51" t="e">
        <f>VLOOKUP(A142,'Audience 2020 pivot'!$A$3:$D$409,4,FALSE)</f>
        <v>#N/A</v>
      </c>
      <c r="L142" s="51" t="e">
        <f t="shared" si="33"/>
        <v>#N/A</v>
      </c>
      <c r="M142" s="9" t="e">
        <f t="shared" si="34"/>
        <v>#N/A</v>
      </c>
    </row>
    <row r="143" spans="5:13" x14ac:dyDescent="0.25">
      <c r="E143" s="51" t="e">
        <f>VLOOKUP(A143,'Audience 2020 pivot'!$A$3:$D$409,2,FALSE)</f>
        <v>#N/A</v>
      </c>
      <c r="F143" s="19" t="e">
        <f t="shared" si="29"/>
        <v>#N/A</v>
      </c>
      <c r="G143" s="9" t="e">
        <f t="shared" si="30"/>
        <v>#N/A</v>
      </c>
      <c r="H143" s="198" t="e">
        <f>VLOOKUP(A143,'Audience 2020 pivot'!$A$3:$D$409,3,FALSE)</f>
        <v>#N/A</v>
      </c>
      <c r="I143" s="199" t="e">
        <f t="shared" si="31"/>
        <v>#N/A</v>
      </c>
      <c r="J143" s="9" t="e">
        <f t="shared" si="32"/>
        <v>#N/A</v>
      </c>
      <c r="K143" s="51" t="e">
        <f>VLOOKUP(A143,'Audience 2020 pivot'!$A$3:$D$409,4,FALSE)</f>
        <v>#N/A</v>
      </c>
      <c r="L143" s="51" t="e">
        <f t="shared" si="33"/>
        <v>#N/A</v>
      </c>
      <c r="M143" s="9" t="e">
        <f t="shared" si="34"/>
        <v>#N/A</v>
      </c>
    </row>
    <row r="144" spans="5:13" x14ac:dyDescent="0.25">
      <c r="E144" s="51" t="e">
        <f>VLOOKUP(A144,'Audience 2020 pivot'!$A$3:$D$409,2,FALSE)</f>
        <v>#N/A</v>
      </c>
      <c r="F144" s="19" t="e">
        <f t="shared" si="29"/>
        <v>#N/A</v>
      </c>
      <c r="G144" s="9" t="e">
        <f t="shared" si="30"/>
        <v>#N/A</v>
      </c>
      <c r="H144" s="198" t="e">
        <f>VLOOKUP(A144,'Audience 2020 pivot'!$A$3:$D$409,3,FALSE)</f>
        <v>#N/A</v>
      </c>
      <c r="I144" s="199" t="e">
        <f t="shared" si="31"/>
        <v>#N/A</v>
      </c>
      <c r="J144" s="9" t="e">
        <f t="shared" si="32"/>
        <v>#N/A</v>
      </c>
      <c r="K144" s="51" t="e">
        <f>VLOOKUP(A144,'Audience 2020 pivot'!$A$3:$D$409,4,FALSE)</f>
        <v>#N/A</v>
      </c>
      <c r="L144" s="51" t="e">
        <f t="shared" si="33"/>
        <v>#N/A</v>
      </c>
      <c r="M144" s="9" t="e">
        <f t="shared" si="34"/>
        <v>#N/A</v>
      </c>
    </row>
    <row r="145" spans="5:13" x14ac:dyDescent="0.25">
      <c r="E145" s="51" t="e">
        <f>VLOOKUP(A145,'Audience 2020 pivot'!$A$3:$D$409,2,FALSE)</f>
        <v>#N/A</v>
      </c>
      <c r="F145" s="19" t="e">
        <f t="shared" si="29"/>
        <v>#N/A</v>
      </c>
      <c r="G145" s="9" t="e">
        <f t="shared" si="30"/>
        <v>#N/A</v>
      </c>
      <c r="H145" s="198" t="e">
        <f>VLOOKUP(A145,'Audience 2020 pivot'!$A$3:$D$409,3,FALSE)</f>
        <v>#N/A</v>
      </c>
      <c r="I145" s="199" t="e">
        <f t="shared" si="31"/>
        <v>#N/A</v>
      </c>
      <c r="J145" s="9" t="e">
        <f t="shared" si="32"/>
        <v>#N/A</v>
      </c>
      <c r="K145" s="51" t="e">
        <f>VLOOKUP(A145,'Audience 2020 pivot'!$A$3:$D$409,4,FALSE)</f>
        <v>#N/A</v>
      </c>
      <c r="L145" s="51" t="e">
        <f t="shared" si="33"/>
        <v>#N/A</v>
      </c>
      <c r="M145" s="9" t="e">
        <f t="shared" si="34"/>
        <v>#N/A</v>
      </c>
    </row>
    <row r="146" spans="5:13" x14ac:dyDescent="0.25">
      <c r="E146" s="51" t="e">
        <f>VLOOKUP(A146,'Audience 2020 pivot'!$A$3:$D$409,2,FALSE)</f>
        <v>#N/A</v>
      </c>
      <c r="F146" s="19" t="e">
        <f t="shared" si="29"/>
        <v>#N/A</v>
      </c>
      <c r="G146" s="9" t="e">
        <f t="shared" si="30"/>
        <v>#N/A</v>
      </c>
      <c r="H146" s="198" t="e">
        <f>VLOOKUP(A146,'Audience 2020 pivot'!$A$3:$D$409,3,FALSE)</f>
        <v>#N/A</v>
      </c>
      <c r="I146" s="199" t="e">
        <f t="shared" si="31"/>
        <v>#N/A</v>
      </c>
      <c r="J146" s="9" t="e">
        <f t="shared" si="32"/>
        <v>#N/A</v>
      </c>
      <c r="K146" s="51" t="e">
        <f>VLOOKUP(A146,'Audience 2020 pivot'!$A$3:$D$409,4,FALSE)</f>
        <v>#N/A</v>
      </c>
      <c r="L146" s="51" t="e">
        <f t="shared" si="33"/>
        <v>#N/A</v>
      </c>
      <c r="M146" s="9" t="e">
        <f t="shared" si="34"/>
        <v>#N/A</v>
      </c>
    </row>
    <row r="147" spans="5:13" x14ac:dyDescent="0.25">
      <c r="E147" s="51" t="e">
        <f>VLOOKUP(A147,'Audience 2020 pivot'!$A$3:$D$409,2,FALSE)</f>
        <v>#N/A</v>
      </c>
      <c r="F147" s="19" t="e">
        <f t="shared" si="29"/>
        <v>#N/A</v>
      </c>
      <c r="G147" s="9" t="e">
        <f t="shared" si="30"/>
        <v>#N/A</v>
      </c>
      <c r="H147" s="198" t="e">
        <f>VLOOKUP(A147,'Audience 2020 pivot'!$A$3:$D$409,3,FALSE)</f>
        <v>#N/A</v>
      </c>
      <c r="I147" s="199" t="e">
        <f t="shared" si="31"/>
        <v>#N/A</v>
      </c>
      <c r="J147" s="9" t="e">
        <f t="shared" si="32"/>
        <v>#N/A</v>
      </c>
      <c r="K147" s="51" t="e">
        <f>VLOOKUP(A147,'Audience 2020 pivot'!$A$3:$D$409,4,FALSE)</f>
        <v>#N/A</v>
      </c>
      <c r="L147" s="51" t="e">
        <f t="shared" si="33"/>
        <v>#N/A</v>
      </c>
      <c r="M147" s="9" t="e">
        <f t="shared" si="34"/>
        <v>#N/A</v>
      </c>
    </row>
    <row r="148" spans="5:13" x14ac:dyDescent="0.25">
      <c r="E148" s="51" t="e">
        <f>VLOOKUP(A148,'Audience 2020 pivot'!$A$3:$D$409,2,FALSE)</f>
        <v>#N/A</v>
      </c>
      <c r="F148" s="19" t="e">
        <f t="shared" si="29"/>
        <v>#N/A</v>
      </c>
      <c r="G148" s="9" t="e">
        <f t="shared" si="30"/>
        <v>#N/A</v>
      </c>
      <c r="H148" s="198" t="e">
        <f>VLOOKUP(A148,'Audience 2020 pivot'!$A$3:$D$409,3,FALSE)</f>
        <v>#N/A</v>
      </c>
      <c r="I148" s="199" t="e">
        <f t="shared" si="31"/>
        <v>#N/A</v>
      </c>
      <c r="J148" s="9" t="e">
        <f t="shared" si="32"/>
        <v>#N/A</v>
      </c>
      <c r="K148" s="51" t="e">
        <f>VLOOKUP(A148,'Audience 2020 pivot'!$A$3:$D$409,4,FALSE)</f>
        <v>#N/A</v>
      </c>
      <c r="L148" s="51" t="e">
        <f t="shared" si="33"/>
        <v>#N/A</v>
      </c>
      <c r="M148" s="9" t="e">
        <f t="shared" si="34"/>
        <v>#N/A</v>
      </c>
    </row>
    <row r="149" spans="5:13" x14ac:dyDescent="0.25">
      <c r="E149" s="51" t="e">
        <f>VLOOKUP(A149,'Audience 2020 pivot'!$A$3:$D$409,2,FALSE)</f>
        <v>#N/A</v>
      </c>
      <c r="F149" s="19" t="e">
        <f t="shared" si="29"/>
        <v>#N/A</v>
      </c>
      <c r="G149" s="9" t="e">
        <f t="shared" si="30"/>
        <v>#N/A</v>
      </c>
      <c r="H149" s="198" t="e">
        <f>VLOOKUP(A149,'Audience 2020 pivot'!$A$3:$D$409,3,FALSE)</f>
        <v>#N/A</v>
      </c>
      <c r="I149" s="199" t="e">
        <f t="shared" si="31"/>
        <v>#N/A</v>
      </c>
      <c r="J149" s="9" t="e">
        <f t="shared" si="32"/>
        <v>#N/A</v>
      </c>
      <c r="K149" s="51" t="e">
        <f>VLOOKUP(A149,'Audience 2020 pivot'!$A$3:$D$409,4,FALSE)</f>
        <v>#N/A</v>
      </c>
      <c r="L149" s="51" t="e">
        <f t="shared" si="33"/>
        <v>#N/A</v>
      </c>
      <c r="M149" s="9" t="e">
        <f t="shared" si="34"/>
        <v>#N/A</v>
      </c>
    </row>
    <row r="150" spans="5:13" x14ac:dyDescent="0.25">
      <c r="E150" s="51" t="e">
        <f>VLOOKUP(A150,'Audience 2020 pivot'!$A$3:$D$409,2,FALSE)</f>
        <v>#N/A</v>
      </c>
      <c r="F150" s="19" t="e">
        <f t="shared" si="29"/>
        <v>#N/A</v>
      </c>
      <c r="G150" s="9" t="e">
        <f t="shared" si="30"/>
        <v>#N/A</v>
      </c>
      <c r="H150" s="198" t="e">
        <f>VLOOKUP(A150,'Audience 2020 pivot'!$A$3:$D$409,3,FALSE)</f>
        <v>#N/A</v>
      </c>
      <c r="I150" s="199" t="e">
        <f t="shared" si="31"/>
        <v>#N/A</v>
      </c>
      <c r="J150" s="9" t="e">
        <f t="shared" si="32"/>
        <v>#N/A</v>
      </c>
      <c r="K150" s="51" t="e">
        <f>VLOOKUP(A150,'Audience 2020 pivot'!$A$3:$D$409,4,FALSE)</f>
        <v>#N/A</v>
      </c>
      <c r="L150" s="51" t="e">
        <f t="shared" si="33"/>
        <v>#N/A</v>
      </c>
      <c r="M150" s="9" t="e">
        <f t="shared" si="34"/>
        <v>#N/A</v>
      </c>
    </row>
    <row r="151" spans="5:13" x14ac:dyDescent="0.25">
      <c r="E151" s="51" t="e">
        <f>VLOOKUP(A151,'Audience 2020 pivot'!$A$3:$D$409,2,FALSE)</f>
        <v>#N/A</v>
      </c>
      <c r="F151" s="19" t="e">
        <f t="shared" si="29"/>
        <v>#N/A</v>
      </c>
      <c r="G151" s="9" t="e">
        <f t="shared" si="30"/>
        <v>#N/A</v>
      </c>
      <c r="H151" s="198" t="e">
        <f>VLOOKUP(A151,'Audience 2020 pivot'!$A$3:$D$409,3,FALSE)</f>
        <v>#N/A</v>
      </c>
      <c r="I151" s="199" t="e">
        <f t="shared" si="31"/>
        <v>#N/A</v>
      </c>
      <c r="J151" s="9" t="e">
        <f t="shared" si="32"/>
        <v>#N/A</v>
      </c>
      <c r="K151" s="51" t="e">
        <f>VLOOKUP(A151,'Audience 2020 pivot'!$A$3:$D$409,4,FALSE)</f>
        <v>#N/A</v>
      </c>
      <c r="L151" s="51" t="e">
        <f t="shared" si="33"/>
        <v>#N/A</v>
      </c>
      <c r="M151" s="9" t="e">
        <f t="shared" si="34"/>
        <v>#N/A</v>
      </c>
    </row>
    <row r="152" spans="5:13" x14ac:dyDescent="0.25">
      <c r="E152" s="51" t="e">
        <f>VLOOKUP(A152,'Audience 2020 pivot'!$A$3:$D$409,2,FALSE)</f>
        <v>#N/A</v>
      </c>
      <c r="F152" s="19" t="e">
        <f t="shared" si="29"/>
        <v>#N/A</v>
      </c>
      <c r="G152" s="9" t="e">
        <f t="shared" si="30"/>
        <v>#N/A</v>
      </c>
      <c r="H152" s="198" t="e">
        <f>VLOOKUP(A152,'Audience 2020 pivot'!$A$3:$D$409,3,FALSE)</f>
        <v>#N/A</v>
      </c>
      <c r="I152" s="199" t="e">
        <f t="shared" si="31"/>
        <v>#N/A</v>
      </c>
      <c r="J152" s="9" t="e">
        <f t="shared" si="32"/>
        <v>#N/A</v>
      </c>
      <c r="K152" s="51" t="e">
        <f>VLOOKUP(A152,'Audience 2020 pivot'!$A$3:$D$409,4,FALSE)</f>
        <v>#N/A</v>
      </c>
      <c r="L152" s="51" t="e">
        <f t="shared" si="33"/>
        <v>#N/A</v>
      </c>
      <c r="M152" s="9" t="e">
        <f t="shared" si="34"/>
        <v>#N/A</v>
      </c>
    </row>
    <row r="153" spans="5:13" x14ac:dyDescent="0.25">
      <c r="E153" s="51" t="e">
        <f>VLOOKUP(A153,'Audience 2020 pivot'!$A$3:$D$409,2,FALSE)</f>
        <v>#N/A</v>
      </c>
      <c r="F153" s="19" t="e">
        <f t="shared" si="29"/>
        <v>#N/A</v>
      </c>
      <c r="G153" s="9" t="e">
        <f t="shared" si="30"/>
        <v>#N/A</v>
      </c>
      <c r="H153" s="198" t="e">
        <f>VLOOKUP(A153,'Audience 2020 pivot'!$A$3:$D$409,3,FALSE)</f>
        <v>#N/A</v>
      </c>
      <c r="I153" s="199" t="e">
        <f t="shared" si="31"/>
        <v>#N/A</v>
      </c>
      <c r="J153" s="9" t="e">
        <f t="shared" si="32"/>
        <v>#N/A</v>
      </c>
      <c r="K153" s="51" t="e">
        <f>VLOOKUP(A153,'Audience 2020 pivot'!$A$3:$D$409,4,FALSE)</f>
        <v>#N/A</v>
      </c>
      <c r="L153" s="51" t="e">
        <f t="shared" si="33"/>
        <v>#N/A</v>
      </c>
      <c r="M153" s="9" t="e">
        <f t="shared" si="34"/>
        <v>#N/A</v>
      </c>
    </row>
    <row r="154" spans="5:13" x14ac:dyDescent="0.25">
      <c r="E154" s="51" t="e">
        <f>VLOOKUP(A154,'Audience 2020 pivot'!$A$3:$D$409,2,FALSE)</f>
        <v>#N/A</v>
      </c>
      <c r="F154" s="19" t="e">
        <f t="shared" si="29"/>
        <v>#N/A</v>
      </c>
      <c r="G154" s="9" t="e">
        <f t="shared" si="30"/>
        <v>#N/A</v>
      </c>
      <c r="H154" s="198" t="e">
        <f>VLOOKUP(A154,'Audience 2020 pivot'!$A$3:$D$409,3,FALSE)</f>
        <v>#N/A</v>
      </c>
      <c r="I154" s="199" t="e">
        <f t="shared" si="31"/>
        <v>#N/A</v>
      </c>
      <c r="J154" s="9" t="e">
        <f t="shared" si="32"/>
        <v>#N/A</v>
      </c>
      <c r="K154" s="51" t="e">
        <f>VLOOKUP(A154,'Audience 2020 pivot'!$A$3:$D$409,4,FALSE)</f>
        <v>#N/A</v>
      </c>
      <c r="L154" s="51" t="e">
        <f t="shared" si="33"/>
        <v>#N/A</v>
      </c>
      <c r="M154" s="9" t="e">
        <f t="shared" si="34"/>
        <v>#N/A</v>
      </c>
    </row>
    <row r="155" spans="5:13" x14ac:dyDescent="0.25">
      <c r="E155" s="51" t="e">
        <f>VLOOKUP(A155,'Audience 2020 pivot'!$A$3:$D$409,2,FALSE)</f>
        <v>#N/A</v>
      </c>
      <c r="F155" s="19" t="e">
        <f t="shared" si="29"/>
        <v>#N/A</v>
      </c>
      <c r="G155" s="9" t="e">
        <f t="shared" si="30"/>
        <v>#N/A</v>
      </c>
      <c r="H155" s="198" t="e">
        <f>VLOOKUP(A155,'Audience 2020 pivot'!$A$3:$D$409,3,FALSE)</f>
        <v>#N/A</v>
      </c>
      <c r="I155" s="199" t="e">
        <f t="shared" si="31"/>
        <v>#N/A</v>
      </c>
      <c r="J155" s="9" t="e">
        <f t="shared" si="32"/>
        <v>#N/A</v>
      </c>
      <c r="K155" s="51" t="e">
        <f>VLOOKUP(A155,'Audience 2020 pivot'!$A$3:$D$409,4,FALSE)</f>
        <v>#N/A</v>
      </c>
      <c r="L155" s="51" t="e">
        <f t="shared" si="33"/>
        <v>#N/A</v>
      </c>
      <c r="M155" s="9" t="e">
        <f t="shared" si="34"/>
        <v>#N/A</v>
      </c>
    </row>
    <row r="156" spans="5:13" x14ac:dyDescent="0.25">
      <c r="E156" s="51" t="e">
        <f>VLOOKUP(A156,'Audience 2020 pivot'!$A$3:$D$409,2,FALSE)</f>
        <v>#N/A</v>
      </c>
      <c r="F156" s="19" t="e">
        <f t="shared" si="29"/>
        <v>#N/A</v>
      </c>
      <c r="G156" s="9" t="e">
        <f t="shared" si="30"/>
        <v>#N/A</v>
      </c>
      <c r="H156" s="198" t="e">
        <f>VLOOKUP(A156,'Audience 2020 pivot'!$A$3:$D$409,3,FALSE)</f>
        <v>#N/A</v>
      </c>
      <c r="I156" s="199" t="e">
        <f t="shared" si="31"/>
        <v>#N/A</v>
      </c>
      <c r="J156" s="9" t="e">
        <f t="shared" si="32"/>
        <v>#N/A</v>
      </c>
      <c r="K156" s="51" t="e">
        <f>VLOOKUP(A156,'Audience 2020 pivot'!$A$3:$D$409,4,FALSE)</f>
        <v>#N/A</v>
      </c>
      <c r="L156" s="51" t="e">
        <f t="shared" si="33"/>
        <v>#N/A</v>
      </c>
      <c r="M156" s="9" t="e">
        <f t="shared" si="34"/>
        <v>#N/A</v>
      </c>
    </row>
    <row r="157" spans="5:13" x14ac:dyDescent="0.25">
      <c r="E157" s="51" t="e">
        <f>VLOOKUP(A157,'Audience 2020 pivot'!$A$3:$D$409,2,FALSE)</f>
        <v>#N/A</v>
      </c>
      <c r="F157" s="19" t="e">
        <f t="shared" si="29"/>
        <v>#N/A</v>
      </c>
      <c r="G157" s="9" t="e">
        <f t="shared" si="30"/>
        <v>#N/A</v>
      </c>
      <c r="H157" s="198" t="e">
        <f>VLOOKUP(A157,'Audience 2020 pivot'!$A$3:$D$409,3,FALSE)</f>
        <v>#N/A</v>
      </c>
      <c r="I157" s="199" t="e">
        <f t="shared" si="31"/>
        <v>#N/A</v>
      </c>
      <c r="J157" s="9" t="e">
        <f t="shared" si="32"/>
        <v>#N/A</v>
      </c>
      <c r="K157" s="51" t="e">
        <f>VLOOKUP(A157,'Audience 2020 pivot'!$A$3:$D$409,4,FALSE)</f>
        <v>#N/A</v>
      </c>
      <c r="L157" s="51" t="e">
        <f t="shared" si="33"/>
        <v>#N/A</v>
      </c>
      <c r="M157" s="9" t="e">
        <f t="shared" si="34"/>
        <v>#N/A</v>
      </c>
    </row>
    <row r="158" spans="5:13" x14ac:dyDescent="0.25">
      <c r="E158" s="51" t="e">
        <f>VLOOKUP(A158,'Audience 2020 pivot'!$A$3:$D$409,2,FALSE)</f>
        <v>#N/A</v>
      </c>
      <c r="F158" s="19" t="e">
        <f t="shared" si="29"/>
        <v>#N/A</v>
      </c>
      <c r="G158" s="9" t="e">
        <f t="shared" si="30"/>
        <v>#N/A</v>
      </c>
      <c r="H158" s="198" t="e">
        <f>VLOOKUP(A158,'Audience 2020 pivot'!$A$3:$D$409,3,FALSE)</f>
        <v>#N/A</v>
      </c>
      <c r="I158" s="199" t="e">
        <f t="shared" si="31"/>
        <v>#N/A</v>
      </c>
      <c r="J158" s="9" t="e">
        <f t="shared" si="32"/>
        <v>#N/A</v>
      </c>
      <c r="K158" s="51" t="e">
        <f>VLOOKUP(A158,'Audience 2020 pivot'!$A$3:$D$409,4,FALSE)</f>
        <v>#N/A</v>
      </c>
      <c r="L158" s="51" t="e">
        <f t="shared" si="33"/>
        <v>#N/A</v>
      </c>
      <c r="M158" s="9" t="e">
        <f t="shared" si="34"/>
        <v>#N/A</v>
      </c>
    </row>
    <row r="159" spans="5:13" x14ac:dyDescent="0.25">
      <c r="E159" s="51" t="e">
        <f>VLOOKUP(A159,'Audience 2020 pivot'!$A$3:$D$409,2,FALSE)</f>
        <v>#N/A</v>
      </c>
      <c r="F159" s="19" t="e">
        <f t="shared" si="29"/>
        <v>#N/A</v>
      </c>
      <c r="G159" s="9" t="e">
        <f t="shared" si="30"/>
        <v>#N/A</v>
      </c>
      <c r="H159" s="198" t="e">
        <f>VLOOKUP(A159,'Audience 2020 pivot'!$A$3:$D$409,3,FALSE)</f>
        <v>#N/A</v>
      </c>
      <c r="I159" s="199" t="e">
        <f t="shared" si="31"/>
        <v>#N/A</v>
      </c>
      <c r="J159" s="9" t="e">
        <f t="shared" si="32"/>
        <v>#N/A</v>
      </c>
      <c r="K159" s="51" t="e">
        <f>VLOOKUP(A159,'Audience 2020 pivot'!$A$3:$D$409,4,FALSE)</f>
        <v>#N/A</v>
      </c>
      <c r="L159" s="51" t="e">
        <f t="shared" si="33"/>
        <v>#N/A</v>
      </c>
      <c r="M159" s="9" t="e">
        <f t="shared" si="34"/>
        <v>#N/A</v>
      </c>
    </row>
    <row r="160" spans="5:13" x14ac:dyDescent="0.25">
      <c r="E160" s="51" t="e">
        <f>VLOOKUP(A160,'Audience 2020 pivot'!$A$3:$D$409,2,FALSE)</f>
        <v>#N/A</v>
      </c>
      <c r="F160" s="19" t="e">
        <f t="shared" si="29"/>
        <v>#N/A</v>
      </c>
      <c r="G160" s="9" t="e">
        <f t="shared" si="30"/>
        <v>#N/A</v>
      </c>
      <c r="H160" s="198" t="e">
        <f>VLOOKUP(A160,'Audience 2020 pivot'!$A$3:$D$409,3,FALSE)</f>
        <v>#N/A</v>
      </c>
      <c r="I160" s="199" t="e">
        <f t="shared" si="31"/>
        <v>#N/A</v>
      </c>
      <c r="J160" s="9" t="e">
        <f t="shared" si="32"/>
        <v>#N/A</v>
      </c>
      <c r="K160" s="51" t="e">
        <f>VLOOKUP(A160,'Audience 2020 pivot'!$A$3:$D$409,4,FALSE)</f>
        <v>#N/A</v>
      </c>
      <c r="L160" s="51" t="e">
        <f t="shared" si="33"/>
        <v>#N/A</v>
      </c>
      <c r="M160" s="9" t="e">
        <f t="shared" si="34"/>
        <v>#N/A</v>
      </c>
    </row>
    <row r="161" spans="5:13" x14ac:dyDescent="0.25">
      <c r="E161" s="51" t="e">
        <f>VLOOKUP(A161,'Audience 2020 pivot'!$A$3:$D$409,2,FALSE)</f>
        <v>#N/A</v>
      </c>
      <c r="F161" s="19" t="e">
        <f t="shared" si="29"/>
        <v>#N/A</v>
      </c>
      <c r="G161" s="9" t="e">
        <f t="shared" si="30"/>
        <v>#N/A</v>
      </c>
      <c r="H161" s="198" t="e">
        <f>VLOOKUP(A161,'Audience 2020 pivot'!$A$3:$D$409,3,FALSE)</f>
        <v>#N/A</v>
      </c>
      <c r="I161" s="199" t="e">
        <f t="shared" si="31"/>
        <v>#N/A</v>
      </c>
      <c r="J161" s="9" t="e">
        <f t="shared" si="32"/>
        <v>#N/A</v>
      </c>
      <c r="K161" s="51" t="e">
        <f>VLOOKUP(A161,'Audience 2020 pivot'!$A$3:$D$409,4,FALSE)</f>
        <v>#N/A</v>
      </c>
      <c r="L161" s="51" t="e">
        <f t="shared" si="33"/>
        <v>#N/A</v>
      </c>
      <c r="M161" s="9" t="e">
        <f t="shared" si="34"/>
        <v>#N/A</v>
      </c>
    </row>
    <row r="162" spans="5:13" x14ac:dyDescent="0.25">
      <c r="E162" s="51" t="e">
        <f>VLOOKUP(A162,'Audience 2020 pivot'!$A$3:$D$409,2,FALSE)</f>
        <v>#N/A</v>
      </c>
      <c r="F162" s="19" t="e">
        <f t="shared" si="29"/>
        <v>#N/A</v>
      </c>
      <c r="G162" s="9" t="e">
        <f t="shared" si="30"/>
        <v>#N/A</v>
      </c>
      <c r="H162" s="198" t="e">
        <f>VLOOKUP(A162,'Audience 2020 pivot'!$A$3:$D$409,3,FALSE)</f>
        <v>#N/A</v>
      </c>
      <c r="I162" s="199" t="e">
        <f t="shared" si="31"/>
        <v>#N/A</v>
      </c>
      <c r="J162" s="9" t="e">
        <f t="shared" si="32"/>
        <v>#N/A</v>
      </c>
      <c r="K162" s="51" t="e">
        <f>VLOOKUP(A162,'Audience 2020 pivot'!$A$3:$D$409,4,FALSE)</f>
        <v>#N/A</v>
      </c>
      <c r="L162" s="51" t="e">
        <f t="shared" si="33"/>
        <v>#N/A</v>
      </c>
      <c r="M162" s="9" t="e">
        <f t="shared" si="34"/>
        <v>#N/A</v>
      </c>
    </row>
    <row r="163" spans="5:13" x14ac:dyDescent="0.25">
      <c r="E163" s="51" t="e">
        <f>VLOOKUP(A163,'Audience 2020 pivot'!$A$3:$D$409,2,FALSE)</f>
        <v>#N/A</v>
      </c>
      <c r="F163" s="19" t="e">
        <f t="shared" si="29"/>
        <v>#N/A</v>
      </c>
      <c r="G163" s="9" t="e">
        <f t="shared" si="30"/>
        <v>#N/A</v>
      </c>
      <c r="H163" s="198" t="e">
        <f>VLOOKUP(A163,'Audience 2020 pivot'!$A$3:$D$409,3,FALSE)</f>
        <v>#N/A</v>
      </c>
      <c r="I163" s="199" t="e">
        <f t="shared" si="31"/>
        <v>#N/A</v>
      </c>
      <c r="J163" s="9" t="e">
        <f t="shared" si="32"/>
        <v>#N/A</v>
      </c>
      <c r="K163" s="51" t="e">
        <f>VLOOKUP(A163,'Audience 2020 pivot'!$A$3:$D$409,4,FALSE)</f>
        <v>#N/A</v>
      </c>
      <c r="L163" s="51" t="e">
        <f t="shared" si="33"/>
        <v>#N/A</v>
      </c>
      <c r="M163" s="9" t="e">
        <f t="shared" si="34"/>
        <v>#N/A</v>
      </c>
    </row>
    <row r="164" spans="5:13" x14ac:dyDescent="0.25">
      <c r="E164" s="51" t="e">
        <f>VLOOKUP(A164,'Audience 2020 pivot'!$A$3:$D$409,2,FALSE)</f>
        <v>#N/A</v>
      </c>
      <c r="F164" s="19" t="e">
        <f t="shared" si="29"/>
        <v>#N/A</v>
      </c>
      <c r="G164" s="9" t="e">
        <f t="shared" si="30"/>
        <v>#N/A</v>
      </c>
      <c r="H164" s="198" t="e">
        <f>VLOOKUP(A164,'Audience 2020 pivot'!$A$3:$D$409,3,FALSE)</f>
        <v>#N/A</v>
      </c>
      <c r="I164" s="199" t="e">
        <f t="shared" si="31"/>
        <v>#N/A</v>
      </c>
      <c r="J164" s="9" t="e">
        <f t="shared" si="32"/>
        <v>#N/A</v>
      </c>
      <c r="K164" s="51" t="e">
        <f>VLOOKUP(A164,'Audience 2020 pivot'!$A$3:$D$409,4,FALSE)</f>
        <v>#N/A</v>
      </c>
      <c r="L164" s="51" t="e">
        <f t="shared" si="33"/>
        <v>#N/A</v>
      </c>
      <c r="M164" s="9" t="e">
        <f t="shared" si="34"/>
        <v>#N/A</v>
      </c>
    </row>
    <row r="165" spans="5:13" x14ac:dyDescent="0.25">
      <c r="E165" s="51" t="e">
        <f>VLOOKUP(A165,'Audience 2020 pivot'!$A$3:$D$409,2,FALSE)</f>
        <v>#N/A</v>
      </c>
      <c r="F165" s="19" t="e">
        <f t="shared" si="29"/>
        <v>#N/A</v>
      </c>
      <c r="G165" s="9" t="e">
        <f t="shared" si="30"/>
        <v>#N/A</v>
      </c>
      <c r="H165" s="198" t="e">
        <f>VLOOKUP(A165,'Audience 2020 pivot'!$A$3:$D$409,3,FALSE)</f>
        <v>#N/A</v>
      </c>
      <c r="I165" s="199" t="e">
        <f t="shared" si="31"/>
        <v>#N/A</v>
      </c>
      <c r="J165" s="9" t="e">
        <f t="shared" si="32"/>
        <v>#N/A</v>
      </c>
      <c r="K165" s="51" t="e">
        <f>VLOOKUP(A165,'Audience 2020 pivot'!$A$3:$D$409,4,FALSE)</f>
        <v>#N/A</v>
      </c>
      <c r="L165" s="51" t="e">
        <f t="shared" si="33"/>
        <v>#N/A</v>
      </c>
      <c r="M165" s="9" t="e">
        <f t="shared" si="34"/>
        <v>#N/A</v>
      </c>
    </row>
    <row r="166" spans="5:13" x14ac:dyDescent="0.25">
      <c r="E166" s="51" t="e">
        <f>VLOOKUP(A166,'Audience 2020 pivot'!$A$3:$D$409,2,FALSE)</f>
        <v>#N/A</v>
      </c>
      <c r="F166" s="19" t="e">
        <f t="shared" si="29"/>
        <v>#N/A</v>
      </c>
      <c r="G166" s="9" t="e">
        <f t="shared" si="30"/>
        <v>#N/A</v>
      </c>
      <c r="H166" s="198" t="e">
        <f>VLOOKUP(A166,'Audience 2020 pivot'!$A$3:$D$409,3,FALSE)</f>
        <v>#N/A</v>
      </c>
      <c r="I166" s="199" t="e">
        <f t="shared" si="31"/>
        <v>#N/A</v>
      </c>
      <c r="J166" s="9" t="e">
        <f t="shared" si="32"/>
        <v>#N/A</v>
      </c>
      <c r="K166" s="51" t="e">
        <f>VLOOKUP(A166,'Audience 2020 pivot'!$A$3:$D$409,4,FALSE)</f>
        <v>#N/A</v>
      </c>
      <c r="L166" s="51" t="e">
        <f t="shared" si="33"/>
        <v>#N/A</v>
      </c>
      <c r="M166" s="9" t="e">
        <f t="shared" si="34"/>
        <v>#N/A</v>
      </c>
    </row>
    <row r="167" spans="5:13" x14ac:dyDescent="0.25">
      <c r="E167" s="51" t="e">
        <f>VLOOKUP(A167,'Audience 2020 pivot'!$A$3:$D$409,2,FALSE)</f>
        <v>#N/A</v>
      </c>
      <c r="F167" s="19" t="e">
        <f t="shared" si="29"/>
        <v>#N/A</v>
      </c>
      <c r="G167" s="9" t="e">
        <f t="shared" si="30"/>
        <v>#N/A</v>
      </c>
      <c r="H167" s="198" t="e">
        <f>VLOOKUP(A167,'Audience 2020 pivot'!$A$3:$D$409,3,FALSE)</f>
        <v>#N/A</v>
      </c>
      <c r="I167" s="199" t="e">
        <f t="shared" si="31"/>
        <v>#N/A</v>
      </c>
      <c r="J167" s="9" t="e">
        <f t="shared" si="32"/>
        <v>#N/A</v>
      </c>
      <c r="K167" s="51" t="e">
        <f>VLOOKUP(A167,'Audience 2020 pivot'!$A$3:$D$409,4,FALSE)</f>
        <v>#N/A</v>
      </c>
      <c r="L167" s="51" t="e">
        <f t="shared" si="33"/>
        <v>#N/A</v>
      </c>
      <c r="M167" s="9" t="e">
        <f t="shared" si="34"/>
        <v>#N/A</v>
      </c>
    </row>
    <row r="168" spans="5:13" x14ac:dyDescent="0.25">
      <c r="E168" s="51" t="e">
        <f>VLOOKUP(A168,'Audience 2020 pivot'!$A$3:$D$409,2,FALSE)</f>
        <v>#N/A</v>
      </c>
      <c r="F168" s="19" t="e">
        <f t="shared" si="29"/>
        <v>#N/A</v>
      </c>
      <c r="G168" s="9" t="e">
        <f t="shared" si="30"/>
        <v>#N/A</v>
      </c>
      <c r="H168" s="198" t="e">
        <f>VLOOKUP(A168,'Audience 2020 pivot'!$A$3:$D$409,3,FALSE)</f>
        <v>#N/A</v>
      </c>
      <c r="I168" s="199" t="e">
        <f t="shared" si="31"/>
        <v>#N/A</v>
      </c>
      <c r="J168" s="9" t="e">
        <f t="shared" si="32"/>
        <v>#N/A</v>
      </c>
      <c r="K168" s="51" t="e">
        <f>VLOOKUP(A168,'Audience 2020 pivot'!$A$3:$D$409,4,FALSE)</f>
        <v>#N/A</v>
      </c>
      <c r="L168" s="51" t="e">
        <f t="shared" si="33"/>
        <v>#N/A</v>
      </c>
      <c r="M168" s="9" t="e">
        <f t="shared" si="34"/>
        <v>#N/A</v>
      </c>
    </row>
    <row r="169" spans="5:13" x14ac:dyDescent="0.25">
      <c r="E169" s="51" t="e">
        <f>VLOOKUP(A169,'Audience 2020 pivot'!$A$3:$D$409,2,FALSE)</f>
        <v>#N/A</v>
      </c>
      <c r="F169" s="19" t="e">
        <f t="shared" si="29"/>
        <v>#N/A</v>
      </c>
      <c r="G169" s="9" t="e">
        <f t="shared" si="30"/>
        <v>#N/A</v>
      </c>
      <c r="H169" s="198" t="e">
        <f>VLOOKUP(A169,'Audience 2020 pivot'!$A$3:$D$409,3,FALSE)</f>
        <v>#N/A</v>
      </c>
      <c r="I169" s="199" t="e">
        <f t="shared" si="31"/>
        <v>#N/A</v>
      </c>
      <c r="J169" s="9" t="e">
        <f t="shared" si="32"/>
        <v>#N/A</v>
      </c>
      <c r="K169" s="51" t="e">
        <f>VLOOKUP(A169,'Audience 2020 pivot'!$A$3:$D$409,4,FALSE)</f>
        <v>#N/A</v>
      </c>
      <c r="L169" s="51" t="e">
        <f t="shared" si="33"/>
        <v>#N/A</v>
      </c>
      <c r="M169" s="9" t="e">
        <f t="shared" si="34"/>
        <v>#N/A</v>
      </c>
    </row>
    <row r="170" spans="5:13" x14ac:dyDescent="0.25">
      <c r="E170" s="51" t="e">
        <f>VLOOKUP(A170,'Audience 2020 pivot'!$A$3:$D$409,2,FALSE)</f>
        <v>#N/A</v>
      </c>
      <c r="F170" s="19" t="e">
        <f t="shared" si="29"/>
        <v>#N/A</v>
      </c>
      <c r="G170" s="9" t="e">
        <f t="shared" si="30"/>
        <v>#N/A</v>
      </c>
      <c r="H170" s="198" t="e">
        <f>VLOOKUP(A170,'Audience 2020 pivot'!$A$3:$D$409,3,FALSE)</f>
        <v>#N/A</v>
      </c>
      <c r="I170" s="199" t="e">
        <f t="shared" si="31"/>
        <v>#N/A</v>
      </c>
      <c r="J170" s="9" t="e">
        <f t="shared" si="32"/>
        <v>#N/A</v>
      </c>
      <c r="K170" s="51" t="e">
        <f>VLOOKUP(A170,'Audience 2020 pivot'!$A$3:$D$409,4,FALSE)</f>
        <v>#N/A</v>
      </c>
      <c r="L170" s="51" t="e">
        <f t="shared" si="33"/>
        <v>#N/A</v>
      </c>
      <c r="M170" s="9" t="e">
        <f t="shared" si="34"/>
        <v>#N/A</v>
      </c>
    </row>
    <row r="171" spans="5:13" x14ac:dyDescent="0.25">
      <c r="E171" s="51" t="e">
        <f>VLOOKUP(A171,'Audience 2020 pivot'!$A$3:$D$409,2,FALSE)</f>
        <v>#N/A</v>
      </c>
      <c r="F171" s="19" t="e">
        <f t="shared" si="29"/>
        <v>#N/A</v>
      </c>
      <c r="G171" s="9" t="e">
        <f t="shared" si="30"/>
        <v>#N/A</v>
      </c>
      <c r="H171" s="198" t="e">
        <f>VLOOKUP(A171,'Audience 2020 pivot'!$A$3:$D$409,3,FALSE)</f>
        <v>#N/A</v>
      </c>
      <c r="I171" s="199" t="e">
        <f t="shared" si="31"/>
        <v>#N/A</v>
      </c>
      <c r="J171" s="9" t="e">
        <f t="shared" si="32"/>
        <v>#N/A</v>
      </c>
      <c r="K171" s="51" t="e">
        <f>VLOOKUP(A171,'Audience 2020 pivot'!$A$3:$D$409,4,FALSE)</f>
        <v>#N/A</v>
      </c>
      <c r="L171" s="51" t="e">
        <f t="shared" si="33"/>
        <v>#N/A</v>
      </c>
      <c r="M171" s="9" t="e">
        <f t="shared" si="34"/>
        <v>#N/A</v>
      </c>
    </row>
    <row r="172" spans="5:13" x14ac:dyDescent="0.25">
      <c r="E172" s="51" t="e">
        <f>VLOOKUP(A172,'Audience 2020 pivot'!$A$3:$D$409,2,FALSE)</f>
        <v>#N/A</v>
      </c>
      <c r="F172" s="19" t="e">
        <f t="shared" si="29"/>
        <v>#N/A</v>
      </c>
      <c r="G172" s="9" t="e">
        <f t="shared" si="30"/>
        <v>#N/A</v>
      </c>
      <c r="H172" s="198" t="e">
        <f>VLOOKUP(A172,'Audience 2020 pivot'!$A$3:$D$409,3,FALSE)</f>
        <v>#N/A</v>
      </c>
      <c r="I172" s="199" t="e">
        <f t="shared" si="31"/>
        <v>#N/A</v>
      </c>
      <c r="J172" s="9" t="e">
        <f t="shared" si="32"/>
        <v>#N/A</v>
      </c>
      <c r="K172" s="51" t="e">
        <f>VLOOKUP(A172,'Audience 2020 pivot'!$A$3:$D$409,4,FALSE)</f>
        <v>#N/A</v>
      </c>
      <c r="L172" s="51" t="e">
        <f t="shared" si="33"/>
        <v>#N/A</v>
      </c>
      <c r="M172" s="9" t="e">
        <f t="shared" si="34"/>
        <v>#N/A</v>
      </c>
    </row>
    <row r="173" spans="5:13" x14ac:dyDescent="0.25">
      <c r="E173" s="51" t="e">
        <f>VLOOKUP(A173,'Audience 2020 pivot'!$A$3:$D$409,2,FALSE)</f>
        <v>#N/A</v>
      </c>
      <c r="F173" s="19" t="e">
        <f t="shared" si="29"/>
        <v>#N/A</v>
      </c>
      <c r="G173" s="9" t="e">
        <f t="shared" si="30"/>
        <v>#N/A</v>
      </c>
      <c r="H173" s="198" t="e">
        <f>VLOOKUP(A173,'Audience 2020 pivot'!$A$3:$D$409,3,FALSE)</f>
        <v>#N/A</v>
      </c>
      <c r="I173" s="199" t="e">
        <f t="shared" si="31"/>
        <v>#N/A</v>
      </c>
      <c r="J173" s="9" t="e">
        <f t="shared" si="32"/>
        <v>#N/A</v>
      </c>
      <c r="K173" s="51" t="e">
        <f>VLOOKUP(A173,'Audience 2020 pivot'!$A$3:$D$409,4,FALSE)</f>
        <v>#N/A</v>
      </c>
      <c r="L173" s="51" t="e">
        <f t="shared" si="33"/>
        <v>#N/A</v>
      </c>
      <c r="M173" s="9" t="e">
        <f t="shared" si="34"/>
        <v>#N/A</v>
      </c>
    </row>
    <row r="174" spans="5:13" x14ac:dyDescent="0.25">
      <c r="E174" s="51" t="e">
        <f>VLOOKUP(A174,'Audience 2020 pivot'!$A$3:$D$409,2,FALSE)</f>
        <v>#N/A</v>
      </c>
      <c r="F174" s="19" t="e">
        <f t="shared" si="29"/>
        <v>#N/A</v>
      </c>
      <c r="G174" s="9" t="e">
        <f t="shared" si="30"/>
        <v>#N/A</v>
      </c>
      <c r="H174" s="198" t="e">
        <f>VLOOKUP(A174,'Audience 2020 pivot'!$A$3:$D$409,3,FALSE)</f>
        <v>#N/A</v>
      </c>
      <c r="I174" s="199" t="e">
        <f t="shared" si="31"/>
        <v>#N/A</v>
      </c>
      <c r="J174" s="9" t="e">
        <f t="shared" si="32"/>
        <v>#N/A</v>
      </c>
      <c r="K174" s="51" t="e">
        <f>VLOOKUP(A174,'Audience 2020 pivot'!$A$3:$D$409,4,FALSE)</f>
        <v>#N/A</v>
      </c>
      <c r="L174" s="51" t="e">
        <f t="shared" si="33"/>
        <v>#N/A</v>
      </c>
      <c r="M174" s="9" t="e">
        <f t="shared" si="34"/>
        <v>#N/A</v>
      </c>
    </row>
    <row r="175" spans="5:13" x14ac:dyDescent="0.25">
      <c r="E175" s="51" t="e">
        <f>VLOOKUP(A175,'Audience 2020 pivot'!$A$3:$D$409,2,FALSE)</f>
        <v>#N/A</v>
      </c>
      <c r="F175" s="19" t="e">
        <f t="shared" si="29"/>
        <v>#N/A</v>
      </c>
      <c r="G175" s="9" t="e">
        <f t="shared" si="30"/>
        <v>#N/A</v>
      </c>
      <c r="H175" s="198" t="e">
        <f>VLOOKUP(A175,'Audience 2020 pivot'!$A$3:$D$409,3,FALSE)</f>
        <v>#N/A</v>
      </c>
      <c r="I175" s="199" t="e">
        <f t="shared" si="31"/>
        <v>#N/A</v>
      </c>
      <c r="J175" s="9" t="e">
        <f t="shared" si="32"/>
        <v>#N/A</v>
      </c>
      <c r="K175" s="51" t="e">
        <f>VLOOKUP(A175,'Audience 2020 pivot'!$A$3:$D$409,4,FALSE)</f>
        <v>#N/A</v>
      </c>
      <c r="L175" s="51" t="e">
        <f t="shared" si="33"/>
        <v>#N/A</v>
      </c>
      <c r="M175" s="9" t="e">
        <f t="shared" si="34"/>
        <v>#N/A</v>
      </c>
    </row>
    <row r="176" spans="5:13" x14ac:dyDescent="0.25">
      <c r="E176" s="51" t="e">
        <f>VLOOKUP(A176,'Audience 2020 pivot'!$A$3:$D$409,2,FALSE)</f>
        <v>#N/A</v>
      </c>
      <c r="F176" s="19" t="e">
        <f t="shared" si="29"/>
        <v>#N/A</v>
      </c>
      <c r="G176" s="9" t="e">
        <f t="shared" si="30"/>
        <v>#N/A</v>
      </c>
      <c r="H176" s="198" t="e">
        <f>VLOOKUP(A176,'Audience 2020 pivot'!$A$3:$D$409,3,FALSE)</f>
        <v>#N/A</v>
      </c>
      <c r="I176" s="199" t="e">
        <f t="shared" si="31"/>
        <v>#N/A</v>
      </c>
      <c r="J176" s="9" t="e">
        <f t="shared" si="32"/>
        <v>#N/A</v>
      </c>
      <c r="K176" s="51" t="e">
        <f>VLOOKUP(A176,'Audience 2020 pivot'!$A$3:$D$409,4,FALSE)</f>
        <v>#N/A</v>
      </c>
      <c r="L176" s="51" t="e">
        <f t="shared" si="33"/>
        <v>#N/A</v>
      </c>
      <c r="M176" s="9" t="e">
        <f t="shared" si="34"/>
        <v>#N/A</v>
      </c>
    </row>
    <row r="177" spans="5:13" x14ac:dyDescent="0.25">
      <c r="E177" s="51" t="e">
        <f>VLOOKUP(A177,'Audience 2020 pivot'!$A$3:$D$409,2,FALSE)</f>
        <v>#N/A</v>
      </c>
      <c r="F177" s="19" t="e">
        <f t="shared" si="29"/>
        <v>#N/A</v>
      </c>
      <c r="G177" s="9" t="e">
        <f t="shared" si="30"/>
        <v>#N/A</v>
      </c>
      <c r="H177" s="198" t="e">
        <f>VLOOKUP(A177,'Audience 2020 pivot'!$A$3:$D$409,3,FALSE)</f>
        <v>#N/A</v>
      </c>
      <c r="I177" s="199" t="e">
        <f t="shared" si="31"/>
        <v>#N/A</v>
      </c>
      <c r="J177" s="9" t="e">
        <f t="shared" si="32"/>
        <v>#N/A</v>
      </c>
      <c r="K177" s="51" t="e">
        <f>VLOOKUP(A177,'Audience 2020 pivot'!$A$3:$D$409,4,FALSE)</f>
        <v>#N/A</v>
      </c>
      <c r="L177" s="51" t="e">
        <f t="shared" si="33"/>
        <v>#N/A</v>
      </c>
      <c r="M177" s="9" t="e">
        <f t="shared" si="34"/>
        <v>#N/A</v>
      </c>
    </row>
    <row r="178" spans="5:13" x14ac:dyDescent="0.25">
      <c r="E178" s="51" t="e">
        <f>VLOOKUP(A178,'Audience 2020 pivot'!$A$3:$D$409,2,FALSE)</f>
        <v>#N/A</v>
      </c>
      <c r="F178" s="19" t="e">
        <f t="shared" si="29"/>
        <v>#N/A</v>
      </c>
      <c r="G178" s="9" t="e">
        <f t="shared" si="30"/>
        <v>#N/A</v>
      </c>
      <c r="H178" s="198" t="e">
        <f>VLOOKUP(A178,'Audience 2020 pivot'!$A$3:$D$409,3,FALSE)</f>
        <v>#N/A</v>
      </c>
      <c r="I178" s="199" t="e">
        <f t="shared" si="31"/>
        <v>#N/A</v>
      </c>
      <c r="J178" s="9" t="e">
        <f t="shared" si="32"/>
        <v>#N/A</v>
      </c>
      <c r="K178" s="51" t="e">
        <f>VLOOKUP(A178,'Audience 2020 pivot'!$A$3:$D$409,4,FALSE)</f>
        <v>#N/A</v>
      </c>
      <c r="L178" s="51" t="e">
        <f t="shared" si="33"/>
        <v>#N/A</v>
      </c>
      <c r="M178" s="9" t="e">
        <f t="shared" si="34"/>
        <v>#N/A</v>
      </c>
    </row>
    <row r="179" spans="5:13" x14ac:dyDescent="0.25">
      <c r="E179" s="51" t="e">
        <f>VLOOKUP(A179,'Audience 2020 pivot'!$A$3:$D$409,2,FALSE)</f>
        <v>#N/A</v>
      </c>
      <c r="F179" s="19" t="e">
        <f t="shared" si="29"/>
        <v>#N/A</v>
      </c>
      <c r="G179" s="9" t="e">
        <f t="shared" si="30"/>
        <v>#N/A</v>
      </c>
      <c r="H179" s="198" t="e">
        <f>VLOOKUP(A179,'Audience 2020 pivot'!$A$3:$D$409,3,FALSE)</f>
        <v>#N/A</v>
      </c>
      <c r="I179" s="199" t="e">
        <f t="shared" si="31"/>
        <v>#N/A</v>
      </c>
      <c r="J179" s="9" t="e">
        <f t="shared" si="32"/>
        <v>#N/A</v>
      </c>
      <c r="K179" s="51" t="e">
        <f>VLOOKUP(A179,'Audience 2020 pivot'!$A$3:$D$409,4,FALSE)</f>
        <v>#N/A</v>
      </c>
      <c r="L179" s="51" t="e">
        <f t="shared" si="33"/>
        <v>#N/A</v>
      </c>
      <c r="M179" s="9" t="e">
        <f t="shared" si="34"/>
        <v>#N/A</v>
      </c>
    </row>
    <row r="180" spans="5:13" x14ac:dyDescent="0.25">
      <c r="E180" s="51" t="e">
        <f>VLOOKUP(A180,'Audience 2020 pivot'!$A$3:$D$409,2,FALSE)</f>
        <v>#N/A</v>
      </c>
      <c r="F180" s="19" t="e">
        <f t="shared" si="29"/>
        <v>#N/A</v>
      </c>
      <c r="G180" s="9" t="e">
        <f t="shared" si="30"/>
        <v>#N/A</v>
      </c>
      <c r="H180" s="198" t="e">
        <f>VLOOKUP(A180,'Audience 2020 pivot'!$A$3:$D$409,3,FALSE)</f>
        <v>#N/A</v>
      </c>
      <c r="I180" s="199" t="e">
        <f t="shared" si="31"/>
        <v>#N/A</v>
      </c>
      <c r="J180" s="9" t="e">
        <f t="shared" si="32"/>
        <v>#N/A</v>
      </c>
      <c r="K180" s="51" t="e">
        <f>VLOOKUP(A180,'Audience 2020 pivot'!$A$3:$D$409,4,FALSE)</f>
        <v>#N/A</v>
      </c>
      <c r="L180" s="51" t="e">
        <f t="shared" si="33"/>
        <v>#N/A</v>
      </c>
      <c r="M180" s="9" t="e">
        <f t="shared" si="34"/>
        <v>#N/A</v>
      </c>
    </row>
    <row r="181" spans="5:13" x14ac:dyDescent="0.25">
      <c r="E181" s="51" t="e">
        <f>VLOOKUP(A181,'Audience 2020 pivot'!$A$3:$D$409,2,FALSE)</f>
        <v>#N/A</v>
      </c>
      <c r="F181" s="19" t="e">
        <f t="shared" si="29"/>
        <v>#N/A</v>
      </c>
      <c r="G181" s="9" t="e">
        <f t="shared" si="30"/>
        <v>#N/A</v>
      </c>
      <c r="H181" s="198" t="e">
        <f>VLOOKUP(A181,'Audience 2020 pivot'!$A$3:$D$409,3,FALSE)</f>
        <v>#N/A</v>
      </c>
      <c r="I181" s="199" t="e">
        <f t="shared" si="31"/>
        <v>#N/A</v>
      </c>
      <c r="J181" s="9" t="e">
        <f t="shared" si="32"/>
        <v>#N/A</v>
      </c>
      <c r="K181" s="51" t="e">
        <f>VLOOKUP(A181,'Audience 2020 pivot'!$A$3:$D$409,4,FALSE)</f>
        <v>#N/A</v>
      </c>
      <c r="L181" s="51" t="e">
        <f t="shared" si="33"/>
        <v>#N/A</v>
      </c>
      <c r="M181" s="9" t="e">
        <f t="shared" si="34"/>
        <v>#N/A</v>
      </c>
    </row>
    <row r="182" spans="5:13" x14ac:dyDescent="0.25">
      <c r="E182" s="51" t="e">
        <f>VLOOKUP(A182,'Audience 2020 pivot'!$A$3:$D$409,2,FALSE)</f>
        <v>#N/A</v>
      </c>
      <c r="F182" s="19" t="e">
        <f t="shared" si="29"/>
        <v>#N/A</v>
      </c>
      <c r="G182" s="9" t="e">
        <f t="shared" si="30"/>
        <v>#N/A</v>
      </c>
      <c r="H182" s="198" t="e">
        <f>VLOOKUP(A182,'Audience 2020 pivot'!$A$3:$D$409,3,FALSE)</f>
        <v>#N/A</v>
      </c>
      <c r="I182" s="199" t="e">
        <f t="shared" si="31"/>
        <v>#N/A</v>
      </c>
      <c r="J182" s="9" t="e">
        <f t="shared" si="32"/>
        <v>#N/A</v>
      </c>
      <c r="K182" s="51" t="e">
        <f>VLOOKUP(A182,'Audience 2020 pivot'!$A$3:$D$409,4,FALSE)</f>
        <v>#N/A</v>
      </c>
      <c r="L182" s="51" t="e">
        <f t="shared" si="33"/>
        <v>#N/A</v>
      </c>
      <c r="M182" s="9" t="e">
        <f t="shared" si="34"/>
        <v>#N/A</v>
      </c>
    </row>
    <row r="183" spans="5:13" x14ac:dyDescent="0.25">
      <c r="E183" s="51" t="e">
        <f>VLOOKUP(A183,'Audience 2020 pivot'!$A$3:$D$409,2,FALSE)</f>
        <v>#N/A</v>
      </c>
      <c r="F183" s="19" t="e">
        <f t="shared" si="29"/>
        <v>#N/A</v>
      </c>
      <c r="G183" s="9" t="e">
        <f t="shared" si="30"/>
        <v>#N/A</v>
      </c>
      <c r="H183" s="198" t="e">
        <f>VLOOKUP(A183,'Audience 2020 pivot'!$A$3:$D$409,3,FALSE)</f>
        <v>#N/A</v>
      </c>
      <c r="I183" s="199" t="e">
        <f t="shared" si="31"/>
        <v>#N/A</v>
      </c>
      <c r="J183" s="9" t="e">
        <f t="shared" si="32"/>
        <v>#N/A</v>
      </c>
      <c r="K183" s="51" t="e">
        <f>VLOOKUP(A183,'Audience 2020 pivot'!$A$3:$D$409,4,FALSE)</f>
        <v>#N/A</v>
      </c>
      <c r="L183" s="51" t="e">
        <f t="shared" si="33"/>
        <v>#N/A</v>
      </c>
      <c r="M183" s="9" t="e">
        <f t="shared" si="34"/>
        <v>#N/A</v>
      </c>
    </row>
    <row r="184" spans="5:13" x14ac:dyDescent="0.25">
      <c r="E184" s="51" t="e">
        <f>VLOOKUP(A184,'Audience 2020 pivot'!$A$3:$D$409,2,FALSE)</f>
        <v>#N/A</v>
      </c>
      <c r="F184" s="19" t="e">
        <f t="shared" si="29"/>
        <v>#N/A</v>
      </c>
      <c r="G184" s="9" t="e">
        <f t="shared" si="30"/>
        <v>#N/A</v>
      </c>
      <c r="H184" s="198" t="e">
        <f>VLOOKUP(A184,'Audience 2020 pivot'!$A$3:$D$409,3,FALSE)</f>
        <v>#N/A</v>
      </c>
      <c r="I184" s="199" t="e">
        <f t="shared" si="31"/>
        <v>#N/A</v>
      </c>
      <c r="J184" s="9" t="e">
        <f t="shared" si="32"/>
        <v>#N/A</v>
      </c>
      <c r="K184" s="51" t="e">
        <f>VLOOKUP(A184,'Audience 2020 pivot'!$A$3:$D$409,4,FALSE)</f>
        <v>#N/A</v>
      </c>
      <c r="L184" s="51" t="e">
        <f t="shared" si="33"/>
        <v>#N/A</v>
      </c>
      <c r="M184" s="9" t="e">
        <f t="shared" si="34"/>
        <v>#N/A</v>
      </c>
    </row>
    <row r="185" spans="5:13" x14ac:dyDescent="0.25">
      <c r="E185" s="51" t="e">
        <f>VLOOKUP(A185,'Audience 2020 pivot'!$A$3:$D$409,2,FALSE)</f>
        <v>#N/A</v>
      </c>
      <c r="F185" s="19" t="e">
        <f t="shared" si="29"/>
        <v>#N/A</v>
      </c>
      <c r="G185" s="9" t="e">
        <f t="shared" si="30"/>
        <v>#N/A</v>
      </c>
      <c r="H185" s="198" t="e">
        <f>VLOOKUP(A185,'Audience 2020 pivot'!$A$3:$D$409,3,FALSE)</f>
        <v>#N/A</v>
      </c>
      <c r="I185" s="199" t="e">
        <f t="shared" si="31"/>
        <v>#N/A</v>
      </c>
      <c r="J185" s="9" t="e">
        <f t="shared" si="32"/>
        <v>#N/A</v>
      </c>
      <c r="K185" s="51" t="e">
        <f>VLOOKUP(A185,'Audience 2020 pivot'!$A$3:$D$409,4,FALSE)</f>
        <v>#N/A</v>
      </c>
      <c r="L185" s="51" t="e">
        <f t="shared" si="33"/>
        <v>#N/A</v>
      </c>
      <c r="M185" s="9" t="e">
        <f t="shared" si="34"/>
        <v>#N/A</v>
      </c>
    </row>
    <row r="186" spans="5:13" x14ac:dyDescent="0.25">
      <c r="E186" s="51" t="e">
        <f>VLOOKUP(A186,'Audience 2020 pivot'!$A$3:$D$409,2,FALSE)</f>
        <v>#N/A</v>
      </c>
      <c r="F186" s="19" t="e">
        <f t="shared" si="29"/>
        <v>#N/A</v>
      </c>
      <c r="G186" s="9" t="e">
        <f t="shared" si="30"/>
        <v>#N/A</v>
      </c>
      <c r="H186" s="198" t="e">
        <f>VLOOKUP(A186,'Audience 2020 pivot'!$A$3:$D$409,3,FALSE)</f>
        <v>#N/A</v>
      </c>
      <c r="I186" s="199" t="e">
        <f t="shared" si="31"/>
        <v>#N/A</v>
      </c>
      <c r="J186" s="9" t="e">
        <f t="shared" si="32"/>
        <v>#N/A</v>
      </c>
      <c r="K186" s="51" t="e">
        <f>VLOOKUP(A186,'Audience 2020 pivot'!$A$3:$D$409,4,FALSE)</f>
        <v>#N/A</v>
      </c>
      <c r="L186" s="51" t="e">
        <f t="shared" si="33"/>
        <v>#N/A</v>
      </c>
      <c r="M186" s="9" t="e">
        <f t="shared" si="34"/>
        <v>#N/A</v>
      </c>
    </row>
    <row r="187" spans="5:13" x14ac:dyDescent="0.25">
      <c r="E187" s="51" t="e">
        <f>VLOOKUP(A187,'Audience 2020 pivot'!$A$3:$D$409,2,FALSE)</f>
        <v>#N/A</v>
      </c>
      <c r="F187" s="19" t="e">
        <f t="shared" si="29"/>
        <v>#N/A</v>
      </c>
      <c r="G187" s="9" t="e">
        <f t="shared" si="30"/>
        <v>#N/A</v>
      </c>
      <c r="H187" s="198" t="e">
        <f>VLOOKUP(A187,'Audience 2020 pivot'!$A$3:$D$409,3,FALSE)</f>
        <v>#N/A</v>
      </c>
      <c r="I187" s="199" t="e">
        <f t="shared" si="31"/>
        <v>#N/A</v>
      </c>
      <c r="J187" s="9" t="e">
        <f t="shared" si="32"/>
        <v>#N/A</v>
      </c>
      <c r="K187" s="51" t="e">
        <f>VLOOKUP(A187,'Audience 2020 pivot'!$A$3:$D$409,4,FALSE)</f>
        <v>#N/A</v>
      </c>
      <c r="L187" s="51" t="e">
        <f t="shared" si="33"/>
        <v>#N/A</v>
      </c>
      <c r="M187" s="9" t="e">
        <f t="shared" si="34"/>
        <v>#N/A</v>
      </c>
    </row>
    <row r="188" spans="5:13" x14ac:dyDescent="0.25">
      <c r="E188" s="51" t="e">
        <f>VLOOKUP(A188,'Audience 2020 pivot'!$A$3:$D$409,2,FALSE)</f>
        <v>#N/A</v>
      </c>
      <c r="F188" s="19" t="e">
        <f t="shared" si="29"/>
        <v>#N/A</v>
      </c>
      <c r="G188" s="9" t="e">
        <f t="shared" si="30"/>
        <v>#N/A</v>
      </c>
      <c r="H188" s="198" t="e">
        <f>VLOOKUP(A188,'Audience 2020 pivot'!$A$3:$D$409,3,FALSE)</f>
        <v>#N/A</v>
      </c>
      <c r="I188" s="199" t="e">
        <f t="shared" si="31"/>
        <v>#N/A</v>
      </c>
      <c r="J188" s="9" t="e">
        <f t="shared" si="32"/>
        <v>#N/A</v>
      </c>
      <c r="K188" s="51" t="e">
        <f>VLOOKUP(A188,'Audience 2020 pivot'!$A$3:$D$409,4,FALSE)</f>
        <v>#N/A</v>
      </c>
      <c r="L188" s="51" t="e">
        <f t="shared" si="33"/>
        <v>#N/A</v>
      </c>
      <c r="M188" s="9" t="e">
        <f t="shared" si="34"/>
        <v>#N/A</v>
      </c>
    </row>
    <row r="189" spans="5:13" x14ac:dyDescent="0.25">
      <c r="E189" s="51" t="e">
        <f>VLOOKUP(A189,'Audience 2020 pivot'!$A$3:$D$409,2,FALSE)</f>
        <v>#N/A</v>
      </c>
      <c r="F189" s="19" t="e">
        <f t="shared" si="29"/>
        <v>#N/A</v>
      </c>
      <c r="G189" s="9" t="e">
        <f t="shared" si="30"/>
        <v>#N/A</v>
      </c>
      <c r="H189" s="198" t="e">
        <f>VLOOKUP(A189,'Audience 2020 pivot'!$A$3:$D$409,3,FALSE)</f>
        <v>#N/A</v>
      </c>
      <c r="I189" s="199" t="e">
        <f t="shared" si="31"/>
        <v>#N/A</v>
      </c>
      <c r="J189" s="9" t="e">
        <f t="shared" si="32"/>
        <v>#N/A</v>
      </c>
      <c r="K189" s="51" t="e">
        <f>VLOOKUP(A189,'Audience 2020 pivot'!$A$3:$D$409,4,FALSE)</f>
        <v>#N/A</v>
      </c>
      <c r="L189" s="51" t="e">
        <f t="shared" si="33"/>
        <v>#N/A</v>
      </c>
      <c r="M189" s="9" t="e">
        <f t="shared" si="34"/>
        <v>#N/A</v>
      </c>
    </row>
    <row r="190" spans="5:13" x14ac:dyDescent="0.25">
      <c r="E190" s="51" t="e">
        <f>VLOOKUP(A190,'Audience 2020 pivot'!$A$3:$D$409,2,FALSE)</f>
        <v>#N/A</v>
      </c>
      <c r="F190" s="19" t="e">
        <f t="shared" si="29"/>
        <v>#N/A</v>
      </c>
      <c r="G190" s="9" t="e">
        <f t="shared" si="30"/>
        <v>#N/A</v>
      </c>
      <c r="H190" s="198" t="e">
        <f>VLOOKUP(A190,'Audience 2020 pivot'!$A$3:$D$409,3,FALSE)</f>
        <v>#N/A</v>
      </c>
      <c r="I190" s="199" t="e">
        <f t="shared" si="31"/>
        <v>#N/A</v>
      </c>
      <c r="J190" s="9" t="e">
        <f t="shared" si="32"/>
        <v>#N/A</v>
      </c>
      <c r="K190" s="51" t="e">
        <f>VLOOKUP(A190,'Audience 2020 pivot'!$A$3:$D$409,4,FALSE)</f>
        <v>#N/A</v>
      </c>
      <c r="L190" s="51" t="e">
        <f t="shared" si="33"/>
        <v>#N/A</v>
      </c>
      <c r="M190" s="9" t="e">
        <f t="shared" si="34"/>
        <v>#N/A</v>
      </c>
    </row>
    <row r="191" spans="5:13" x14ac:dyDescent="0.25">
      <c r="E191" s="51" t="e">
        <f>VLOOKUP(A191,'Audience 2020 pivot'!$A$3:$D$409,2,FALSE)</f>
        <v>#N/A</v>
      </c>
      <c r="F191" s="19" t="e">
        <f t="shared" si="29"/>
        <v>#N/A</v>
      </c>
      <c r="G191" s="9" t="e">
        <f t="shared" si="30"/>
        <v>#N/A</v>
      </c>
      <c r="H191" s="198" t="e">
        <f>VLOOKUP(A191,'Audience 2020 pivot'!$A$3:$D$409,3,FALSE)</f>
        <v>#N/A</v>
      </c>
      <c r="I191" s="199" t="e">
        <f t="shared" si="31"/>
        <v>#N/A</v>
      </c>
      <c r="J191" s="9" t="e">
        <f t="shared" si="32"/>
        <v>#N/A</v>
      </c>
      <c r="K191" s="51" t="e">
        <f>VLOOKUP(A191,'Audience 2020 pivot'!$A$3:$D$409,4,FALSE)</f>
        <v>#N/A</v>
      </c>
      <c r="L191" s="51" t="e">
        <f t="shared" si="33"/>
        <v>#N/A</v>
      </c>
      <c r="M191" s="9" t="e">
        <f t="shared" si="34"/>
        <v>#N/A</v>
      </c>
    </row>
    <row r="192" spans="5:13" x14ac:dyDescent="0.25">
      <c r="E192" s="51" t="e">
        <f>VLOOKUP(A192,'Audience 2020 pivot'!$A$3:$D$409,2,FALSE)</f>
        <v>#N/A</v>
      </c>
      <c r="F192" s="19" t="e">
        <f t="shared" si="29"/>
        <v>#N/A</v>
      </c>
      <c r="G192" s="9" t="e">
        <f t="shared" si="30"/>
        <v>#N/A</v>
      </c>
      <c r="H192" s="198" t="e">
        <f>VLOOKUP(A192,'Audience 2020 pivot'!$A$3:$D$409,3,FALSE)</f>
        <v>#N/A</v>
      </c>
      <c r="I192" s="199" t="e">
        <f t="shared" si="31"/>
        <v>#N/A</v>
      </c>
      <c r="J192" s="9" t="e">
        <f t="shared" si="32"/>
        <v>#N/A</v>
      </c>
      <c r="K192" s="51" t="e">
        <f>VLOOKUP(A192,'Audience 2020 pivot'!$A$3:$D$409,4,FALSE)</f>
        <v>#N/A</v>
      </c>
      <c r="L192" s="51" t="e">
        <f t="shared" si="33"/>
        <v>#N/A</v>
      </c>
      <c r="M192" s="9" t="e">
        <f t="shared" si="34"/>
        <v>#N/A</v>
      </c>
    </row>
    <row r="193" spans="5:13" x14ac:dyDescent="0.25">
      <c r="E193" s="51" t="e">
        <f>VLOOKUP(A193,'Audience 2020 pivot'!$A$3:$D$409,2,FALSE)</f>
        <v>#N/A</v>
      </c>
      <c r="F193" s="19" t="e">
        <f t="shared" si="29"/>
        <v>#N/A</v>
      </c>
      <c r="G193" s="9" t="e">
        <f t="shared" si="30"/>
        <v>#N/A</v>
      </c>
      <c r="H193" s="198" t="e">
        <f>VLOOKUP(A193,'Audience 2020 pivot'!$A$3:$D$409,3,FALSE)</f>
        <v>#N/A</v>
      </c>
      <c r="I193" s="199" t="e">
        <f t="shared" si="31"/>
        <v>#N/A</v>
      </c>
      <c r="J193" s="9" t="e">
        <f t="shared" si="32"/>
        <v>#N/A</v>
      </c>
      <c r="K193" s="51" t="e">
        <f>VLOOKUP(A193,'Audience 2020 pivot'!$A$3:$D$409,4,FALSE)</f>
        <v>#N/A</v>
      </c>
      <c r="L193" s="51" t="e">
        <f t="shared" si="33"/>
        <v>#N/A</v>
      </c>
      <c r="M193" s="9" t="e">
        <f t="shared" si="34"/>
        <v>#N/A</v>
      </c>
    </row>
    <row r="194" spans="5:13" x14ac:dyDescent="0.25">
      <c r="E194" s="51" t="e">
        <f>VLOOKUP(A194,'Audience 2020 pivot'!$A$3:$D$409,2,FALSE)</f>
        <v>#N/A</v>
      </c>
      <c r="F194" s="19" t="e">
        <f t="shared" si="29"/>
        <v>#N/A</v>
      </c>
      <c r="G194" s="9" t="e">
        <f t="shared" si="30"/>
        <v>#N/A</v>
      </c>
      <c r="H194" s="198" t="e">
        <f>VLOOKUP(A194,'Audience 2020 pivot'!$A$3:$D$409,3,FALSE)</f>
        <v>#N/A</v>
      </c>
      <c r="I194" s="199" t="e">
        <f t="shared" si="31"/>
        <v>#N/A</v>
      </c>
      <c r="J194" s="9" t="e">
        <f t="shared" si="32"/>
        <v>#N/A</v>
      </c>
      <c r="K194" s="51" t="e">
        <f>VLOOKUP(A194,'Audience 2020 pivot'!$A$3:$D$409,4,FALSE)</f>
        <v>#N/A</v>
      </c>
      <c r="L194" s="51" t="e">
        <f t="shared" si="33"/>
        <v>#N/A</v>
      </c>
      <c r="M194" s="9" t="e">
        <f t="shared" si="34"/>
        <v>#N/A</v>
      </c>
    </row>
    <row r="195" spans="5:13" x14ac:dyDescent="0.25">
      <c r="E195" s="51" t="e">
        <f>VLOOKUP(A195,'Audience 2020 pivot'!$A$3:$D$409,2,FALSE)</f>
        <v>#N/A</v>
      </c>
      <c r="F195" s="19" t="e">
        <f t="shared" si="29"/>
        <v>#N/A</v>
      </c>
      <c r="G195" s="9" t="e">
        <f t="shared" si="30"/>
        <v>#N/A</v>
      </c>
      <c r="H195" s="198" t="e">
        <f>VLOOKUP(A195,'Audience 2020 pivot'!$A$3:$D$409,3,FALSE)</f>
        <v>#N/A</v>
      </c>
      <c r="I195" s="199" t="e">
        <f t="shared" si="31"/>
        <v>#N/A</v>
      </c>
      <c r="J195" s="9" t="e">
        <f t="shared" si="32"/>
        <v>#N/A</v>
      </c>
      <c r="K195" s="51" t="e">
        <f>VLOOKUP(A195,'Audience 2020 pivot'!$A$3:$D$409,4,FALSE)</f>
        <v>#N/A</v>
      </c>
      <c r="L195" s="51" t="e">
        <f t="shared" si="33"/>
        <v>#N/A</v>
      </c>
      <c r="M195" s="9" t="e">
        <f t="shared" si="34"/>
        <v>#N/A</v>
      </c>
    </row>
    <row r="196" spans="5:13" x14ac:dyDescent="0.25">
      <c r="E196" s="51" t="e">
        <f>VLOOKUP(A196,'Audience 2020 pivot'!$A$3:$D$409,2,FALSE)</f>
        <v>#N/A</v>
      </c>
      <c r="F196" s="19" t="e">
        <f t="shared" si="29"/>
        <v>#N/A</v>
      </c>
      <c r="G196" s="9" t="e">
        <f t="shared" si="30"/>
        <v>#N/A</v>
      </c>
      <c r="H196" s="198" t="e">
        <f>VLOOKUP(A196,'Audience 2020 pivot'!$A$3:$D$409,3,FALSE)</f>
        <v>#N/A</v>
      </c>
      <c r="I196" s="199" t="e">
        <f t="shared" si="31"/>
        <v>#N/A</v>
      </c>
      <c r="J196" s="9" t="e">
        <f t="shared" si="32"/>
        <v>#N/A</v>
      </c>
      <c r="K196" s="51" t="e">
        <f>VLOOKUP(A196,'Audience 2020 pivot'!$A$3:$D$409,4,FALSE)</f>
        <v>#N/A</v>
      </c>
      <c r="L196" s="51" t="e">
        <f t="shared" si="33"/>
        <v>#N/A</v>
      </c>
      <c r="M196" s="9" t="e">
        <f t="shared" si="34"/>
        <v>#N/A</v>
      </c>
    </row>
    <row r="197" spans="5:13" x14ac:dyDescent="0.25">
      <c r="E197" s="51" t="e">
        <f>VLOOKUP(A197,'Audience 2020 pivot'!$A$3:$D$409,2,FALSE)</f>
        <v>#N/A</v>
      </c>
      <c r="F197" s="19" t="e">
        <f t="shared" si="29"/>
        <v>#N/A</v>
      </c>
      <c r="G197" s="9" t="e">
        <f t="shared" si="30"/>
        <v>#N/A</v>
      </c>
      <c r="H197" s="198" t="e">
        <f>VLOOKUP(A197,'Audience 2020 pivot'!$A$3:$D$409,3,FALSE)</f>
        <v>#N/A</v>
      </c>
      <c r="I197" s="199" t="e">
        <f t="shared" si="31"/>
        <v>#N/A</v>
      </c>
      <c r="J197" s="9" t="e">
        <f t="shared" si="32"/>
        <v>#N/A</v>
      </c>
      <c r="K197" s="51" t="e">
        <f>VLOOKUP(A197,'Audience 2020 pivot'!$A$3:$D$409,4,FALSE)</f>
        <v>#N/A</v>
      </c>
      <c r="L197" s="51" t="e">
        <f t="shared" si="33"/>
        <v>#N/A</v>
      </c>
      <c r="M197" s="9" t="e">
        <f t="shared" si="34"/>
        <v>#N/A</v>
      </c>
    </row>
    <row r="198" spans="5:13" x14ac:dyDescent="0.25">
      <c r="E198" s="51" t="e">
        <f>VLOOKUP(A198,'Audience 2020 pivot'!$A$3:$D$409,2,FALSE)</f>
        <v>#N/A</v>
      </c>
      <c r="F198" s="19" t="e">
        <f t="shared" si="29"/>
        <v>#N/A</v>
      </c>
      <c r="G198" s="9" t="e">
        <f t="shared" si="30"/>
        <v>#N/A</v>
      </c>
      <c r="H198" s="198" t="e">
        <f>VLOOKUP(A198,'Audience 2020 pivot'!$A$3:$D$409,3,FALSE)</f>
        <v>#N/A</v>
      </c>
      <c r="I198" s="199" t="e">
        <f t="shared" si="31"/>
        <v>#N/A</v>
      </c>
      <c r="J198" s="9" t="e">
        <f t="shared" si="32"/>
        <v>#N/A</v>
      </c>
      <c r="K198" s="51" t="e">
        <f>VLOOKUP(A198,'Audience 2020 pivot'!$A$3:$D$409,4,FALSE)</f>
        <v>#N/A</v>
      </c>
      <c r="L198" s="51" t="e">
        <f t="shared" si="33"/>
        <v>#N/A</v>
      </c>
      <c r="M198" s="9" t="e">
        <f t="shared" si="34"/>
        <v>#N/A</v>
      </c>
    </row>
    <row r="199" spans="5:13" x14ac:dyDescent="0.25">
      <c r="E199" s="51" t="e">
        <f>VLOOKUP(A199,'Audience 2020 pivot'!$A$3:$D$409,2,FALSE)</f>
        <v>#N/A</v>
      </c>
      <c r="F199" s="19" t="e">
        <f t="shared" si="29"/>
        <v>#N/A</v>
      </c>
      <c r="G199" s="9" t="e">
        <f t="shared" si="30"/>
        <v>#N/A</v>
      </c>
      <c r="H199" s="198" t="e">
        <f>VLOOKUP(A199,'Audience 2020 pivot'!$A$3:$D$409,3,FALSE)</f>
        <v>#N/A</v>
      </c>
      <c r="I199" s="199" t="e">
        <f t="shared" si="31"/>
        <v>#N/A</v>
      </c>
      <c r="J199" s="9" t="e">
        <f t="shared" si="32"/>
        <v>#N/A</v>
      </c>
      <c r="K199" s="51" t="e">
        <f>VLOOKUP(A199,'Audience 2020 pivot'!$A$3:$D$409,4,FALSE)</f>
        <v>#N/A</v>
      </c>
      <c r="L199" s="51" t="e">
        <f t="shared" si="33"/>
        <v>#N/A</v>
      </c>
      <c r="M199" s="9" t="e">
        <f t="shared" si="34"/>
        <v>#N/A</v>
      </c>
    </row>
    <row r="200" spans="5:13" x14ac:dyDescent="0.25">
      <c r="E200" s="51" t="e">
        <f>VLOOKUP(A200,'Audience 2020 pivot'!$A$3:$D$409,2,FALSE)</f>
        <v>#N/A</v>
      </c>
      <c r="F200" s="19" t="e">
        <f t="shared" si="29"/>
        <v>#N/A</v>
      </c>
      <c r="G200" s="9" t="e">
        <f t="shared" si="30"/>
        <v>#N/A</v>
      </c>
      <c r="H200" s="198" t="e">
        <f>VLOOKUP(A200,'Audience 2020 pivot'!$A$3:$D$409,3,FALSE)</f>
        <v>#N/A</v>
      </c>
      <c r="I200" s="199" t="e">
        <f t="shared" si="31"/>
        <v>#N/A</v>
      </c>
      <c r="J200" s="9" t="e">
        <f t="shared" si="32"/>
        <v>#N/A</v>
      </c>
      <c r="K200" s="51" t="e">
        <f>VLOOKUP(A200,'Audience 2020 pivot'!$A$3:$D$409,4,FALSE)</f>
        <v>#N/A</v>
      </c>
      <c r="L200" s="51" t="e">
        <f t="shared" si="33"/>
        <v>#N/A</v>
      </c>
      <c r="M200" s="9" t="e">
        <f t="shared" si="34"/>
        <v>#N/A</v>
      </c>
    </row>
    <row r="201" spans="5:13" x14ac:dyDescent="0.25">
      <c r="E201" s="51" t="e">
        <f>VLOOKUP(A201,'Audience 2020 pivot'!$A$3:$D$409,2,FALSE)</f>
        <v>#N/A</v>
      </c>
      <c r="F201" s="19" t="e">
        <f t="shared" si="29"/>
        <v>#N/A</v>
      </c>
      <c r="G201" s="9" t="e">
        <f t="shared" si="30"/>
        <v>#N/A</v>
      </c>
      <c r="H201" s="198" t="e">
        <f>VLOOKUP(A201,'Audience 2020 pivot'!$A$3:$D$409,3,FALSE)</f>
        <v>#N/A</v>
      </c>
      <c r="I201" s="199" t="e">
        <f t="shared" si="31"/>
        <v>#N/A</v>
      </c>
      <c r="J201" s="9" t="e">
        <f t="shared" si="32"/>
        <v>#N/A</v>
      </c>
      <c r="K201" s="51" t="e">
        <f>VLOOKUP(A201,'Audience 2020 pivot'!$A$3:$D$409,4,FALSE)</f>
        <v>#N/A</v>
      </c>
      <c r="L201" s="51" t="e">
        <f t="shared" si="33"/>
        <v>#N/A</v>
      </c>
      <c r="M201" s="9" t="e">
        <f t="shared" si="34"/>
        <v>#N/A</v>
      </c>
    </row>
    <row r="202" spans="5:13" x14ac:dyDescent="0.25">
      <c r="E202" s="51" t="e">
        <f>VLOOKUP(A202,'Audience 2020 pivot'!$A$3:$D$409,2,FALSE)</f>
        <v>#N/A</v>
      </c>
      <c r="F202" s="19" t="e">
        <f t="shared" si="29"/>
        <v>#N/A</v>
      </c>
      <c r="G202" s="9" t="e">
        <f t="shared" si="30"/>
        <v>#N/A</v>
      </c>
      <c r="H202" s="198" t="e">
        <f>VLOOKUP(A202,'Audience 2020 pivot'!$A$3:$D$409,3,FALSE)</f>
        <v>#N/A</v>
      </c>
      <c r="I202" s="199" t="e">
        <f t="shared" si="31"/>
        <v>#N/A</v>
      </c>
      <c r="J202" s="9" t="e">
        <f t="shared" si="32"/>
        <v>#N/A</v>
      </c>
      <c r="K202" s="51" t="e">
        <f>VLOOKUP(A202,'Audience 2020 pivot'!$A$3:$D$409,4,FALSE)</f>
        <v>#N/A</v>
      </c>
      <c r="L202" s="51" t="e">
        <f t="shared" si="33"/>
        <v>#N/A</v>
      </c>
      <c r="M202" s="9" t="e">
        <f t="shared" si="34"/>
        <v>#N/A</v>
      </c>
    </row>
    <row r="203" spans="5:13" x14ac:dyDescent="0.25">
      <c r="E203" s="51" t="e">
        <f>VLOOKUP(A203,'Audience 2020 pivot'!$A$3:$D$409,2,FALSE)</f>
        <v>#N/A</v>
      </c>
      <c r="F203" s="19" t="e">
        <f t="shared" ref="F203:F244" si="35">B203-E203</f>
        <v>#N/A</v>
      </c>
      <c r="G203" s="9" t="e">
        <f t="shared" ref="G203:G244" si="36">B203/E203-1</f>
        <v>#N/A</v>
      </c>
      <c r="H203" s="198" t="e">
        <f>VLOOKUP(A203,'Audience 2020 pivot'!$A$3:$D$409,3,FALSE)</f>
        <v>#N/A</v>
      </c>
      <c r="I203" s="199" t="e">
        <f t="shared" ref="I203:I244" si="37">(C203-H203)*24</f>
        <v>#N/A</v>
      </c>
      <c r="J203" s="9" t="e">
        <f t="shared" ref="J203:J244" si="38">C203/H203-1</f>
        <v>#N/A</v>
      </c>
      <c r="K203" s="51" t="e">
        <f>VLOOKUP(A203,'Audience 2020 pivot'!$A$3:$D$409,4,FALSE)</f>
        <v>#N/A</v>
      </c>
      <c r="L203" s="51" t="e">
        <f t="shared" ref="L203:L244" si="39">D203-K203</f>
        <v>#N/A</v>
      </c>
      <c r="M203" s="9" t="e">
        <f t="shared" ref="M203:M244" si="40">D203/K203-1</f>
        <v>#N/A</v>
      </c>
    </row>
    <row r="204" spans="5:13" x14ac:dyDescent="0.25">
      <c r="E204" s="51" t="e">
        <f>VLOOKUP(A204,'Audience 2020 pivot'!$A$3:$D$409,2,FALSE)</f>
        <v>#N/A</v>
      </c>
      <c r="F204" s="19" t="e">
        <f t="shared" si="35"/>
        <v>#N/A</v>
      </c>
      <c r="G204" s="9" t="e">
        <f t="shared" si="36"/>
        <v>#N/A</v>
      </c>
      <c r="H204" s="198" t="e">
        <f>VLOOKUP(A204,'Audience 2020 pivot'!$A$3:$D$409,3,FALSE)</f>
        <v>#N/A</v>
      </c>
      <c r="I204" s="199" t="e">
        <f t="shared" si="37"/>
        <v>#N/A</v>
      </c>
      <c r="J204" s="9" t="e">
        <f t="shared" si="38"/>
        <v>#N/A</v>
      </c>
      <c r="K204" s="51" t="e">
        <f>VLOOKUP(A204,'Audience 2020 pivot'!$A$3:$D$409,4,FALSE)</f>
        <v>#N/A</v>
      </c>
      <c r="L204" s="51" t="e">
        <f t="shared" si="39"/>
        <v>#N/A</v>
      </c>
      <c r="M204" s="9" t="e">
        <f t="shared" si="40"/>
        <v>#N/A</v>
      </c>
    </row>
    <row r="205" spans="5:13" x14ac:dyDescent="0.25">
      <c r="E205" s="51" t="e">
        <f>VLOOKUP(A205,'Audience 2020 pivot'!$A$3:$D$409,2,FALSE)</f>
        <v>#N/A</v>
      </c>
      <c r="F205" s="19" t="e">
        <f t="shared" si="35"/>
        <v>#N/A</v>
      </c>
      <c r="G205" s="9" t="e">
        <f t="shared" si="36"/>
        <v>#N/A</v>
      </c>
      <c r="H205" s="198" t="e">
        <f>VLOOKUP(A205,'Audience 2020 pivot'!$A$3:$D$409,3,FALSE)</f>
        <v>#N/A</v>
      </c>
      <c r="I205" s="199" t="e">
        <f t="shared" si="37"/>
        <v>#N/A</v>
      </c>
      <c r="J205" s="9" t="e">
        <f t="shared" si="38"/>
        <v>#N/A</v>
      </c>
      <c r="K205" s="51" t="e">
        <f>VLOOKUP(A205,'Audience 2020 pivot'!$A$3:$D$409,4,FALSE)</f>
        <v>#N/A</v>
      </c>
      <c r="L205" s="51" t="e">
        <f t="shared" si="39"/>
        <v>#N/A</v>
      </c>
      <c r="M205" s="9" t="e">
        <f t="shared" si="40"/>
        <v>#N/A</v>
      </c>
    </row>
    <row r="206" spans="5:13" x14ac:dyDescent="0.25">
      <c r="E206" s="51" t="e">
        <f>VLOOKUP(A206,'Audience 2020 pivot'!$A$3:$D$409,2,FALSE)</f>
        <v>#N/A</v>
      </c>
      <c r="F206" s="19" t="e">
        <f t="shared" si="35"/>
        <v>#N/A</v>
      </c>
      <c r="G206" s="9" t="e">
        <f t="shared" si="36"/>
        <v>#N/A</v>
      </c>
      <c r="H206" s="198" t="e">
        <f>VLOOKUP(A206,'Audience 2020 pivot'!$A$3:$D$409,3,FALSE)</f>
        <v>#N/A</v>
      </c>
      <c r="I206" s="199" t="e">
        <f t="shared" si="37"/>
        <v>#N/A</v>
      </c>
      <c r="J206" s="9" t="e">
        <f t="shared" si="38"/>
        <v>#N/A</v>
      </c>
      <c r="K206" s="51" t="e">
        <f>VLOOKUP(A206,'Audience 2020 pivot'!$A$3:$D$409,4,FALSE)</f>
        <v>#N/A</v>
      </c>
      <c r="L206" s="51" t="e">
        <f t="shared" si="39"/>
        <v>#N/A</v>
      </c>
      <c r="M206" s="9" t="e">
        <f t="shared" si="40"/>
        <v>#N/A</v>
      </c>
    </row>
    <row r="207" spans="5:13" x14ac:dyDescent="0.25">
      <c r="E207" s="51" t="e">
        <f>VLOOKUP(A207,'Audience 2020 pivot'!$A$3:$D$409,2,FALSE)</f>
        <v>#N/A</v>
      </c>
      <c r="F207" s="19" t="e">
        <f t="shared" si="35"/>
        <v>#N/A</v>
      </c>
      <c r="G207" s="9" t="e">
        <f t="shared" si="36"/>
        <v>#N/A</v>
      </c>
      <c r="H207" s="198" t="e">
        <f>VLOOKUP(A207,'Audience 2020 pivot'!$A$3:$D$409,3,FALSE)</f>
        <v>#N/A</v>
      </c>
      <c r="I207" s="199" t="e">
        <f t="shared" si="37"/>
        <v>#N/A</v>
      </c>
      <c r="J207" s="9" t="e">
        <f t="shared" si="38"/>
        <v>#N/A</v>
      </c>
      <c r="K207" s="51" t="e">
        <f>VLOOKUP(A207,'Audience 2020 pivot'!$A$3:$D$409,4,FALSE)</f>
        <v>#N/A</v>
      </c>
      <c r="L207" s="51" t="e">
        <f t="shared" si="39"/>
        <v>#N/A</v>
      </c>
      <c r="M207" s="9" t="e">
        <f t="shared" si="40"/>
        <v>#N/A</v>
      </c>
    </row>
    <row r="208" spans="5:13" x14ac:dyDescent="0.25">
      <c r="E208" s="51" t="e">
        <f>VLOOKUP(A208,'Audience 2020 pivot'!$A$3:$D$409,2,FALSE)</f>
        <v>#N/A</v>
      </c>
      <c r="F208" s="19" t="e">
        <f t="shared" si="35"/>
        <v>#N/A</v>
      </c>
      <c r="G208" s="9" t="e">
        <f t="shared" si="36"/>
        <v>#N/A</v>
      </c>
      <c r="H208" s="198" t="e">
        <f>VLOOKUP(A208,'Audience 2020 pivot'!$A$3:$D$409,3,FALSE)</f>
        <v>#N/A</v>
      </c>
      <c r="I208" s="199" t="e">
        <f t="shared" si="37"/>
        <v>#N/A</v>
      </c>
      <c r="J208" s="9" t="e">
        <f t="shared" si="38"/>
        <v>#N/A</v>
      </c>
      <c r="K208" s="51" t="e">
        <f>VLOOKUP(A208,'Audience 2020 pivot'!$A$3:$D$409,4,FALSE)</f>
        <v>#N/A</v>
      </c>
      <c r="L208" s="51" t="e">
        <f t="shared" si="39"/>
        <v>#N/A</v>
      </c>
      <c r="M208" s="9" t="e">
        <f t="shared" si="40"/>
        <v>#N/A</v>
      </c>
    </row>
    <row r="209" spans="5:13" x14ac:dyDescent="0.25">
      <c r="E209" s="51" t="e">
        <f>VLOOKUP(A209,'Audience 2020 pivot'!$A$3:$D$409,2,FALSE)</f>
        <v>#N/A</v>
      </c>
      <c r="F209" s="19" t="e">
        <f t="shared" si="35"/>
        <v>#N/A</v>
      </c>
      <c r="G209" s="9" t="e">
        <f t="shared" si="36"/>
        <v>#N/A</v>
      </c>
      <c r="H209" s="198" t="e">
        <f>VLOOKUP(A209,'Audience 2020 pivot'!$A$3:$D$409,3,FALSE)</f>
        <v>#N/A</v>
      </c>
      <c r="I209" s="199" t="e">
        <f t="shared" si="37"/>
        <v>#N/A</v>
      </c>
      <c r="J209" s="9" t="e">
        <f t="shared" si="38"/>
        <v>#N/A</v>
      </c>
      <c r="K209" s="51" t="e">
        <f>VLOOKUP(A209,'Audience 2020 pivot'!$A$3:$D$409,4,FALSE)</f>
        <v>#N/A</v>
      </c>
      <c r="L209" s="51" t="e">
        <f t="shared" si="39"/>
        <v>#N/A</v>
      </c>
      <c r="M209" s="9" t="e">
        <f t="shared" si="40"/>
        <v>#N/A</v>
      </c>
    </row>
    <row r="210" spans="5:13" x14ac:dyDescent="0.25">
      <c r="E210" s="51" t="e">
        <f>VLOOKUP(A210,'Audience 2020 pivot'!$A$3:$D$409,2,FALSE)</f>
        <v>#N/A</v>
      </c>
      <c r="F210" s="19" t="e">
        <f t="shared" si="35"/>
        <v>#N/A</v>
      </c>
      <c r="G210" s="9" t="e">
        <f t="shared" si="36"/>
        <v>#N/A</v>
      </c>
      <c r="H210" s="198" t="e">
        <f>VLOOKUP(A210,'Audience 2020 pivot'!$A$3:$D$409,3,FALSE)</f>
        <v>#N/A</v>
      </c>
      <c r="I210" s="199" t="e">
        <f t="shared" si="37"/>
        <v>#N/A</v>
      </c>
      <c r="J210" s="9" t="e">
        <f t="shared" si="38"/>
        <v>#N/A</v>
      </c>
      <c r="K210" s="51" t="e">
        <f>VLOOKUP(A210,'Audience 2020 pivot'!$A$3:$D$409,4,FALSE)</f>
        <v>#N/A</v>
      </c>
      <c r="L210" s="51" t="e">
        <f t="shared" si="39"/>
        <v>#N/A</v>
      </c>
      <c r="M210" s="9" t="e">
        <f t="shared" si="40"/>
        <v>#N/A</v>
      </c>
    </row>
    <row r="211" spans="5:13" x14ac:dyDescent="0.25">
      <c r="E211" s="51" t="e">
        <f>VLOOKUP(A211,'Audience 2020 pivot'!$A$3:$D$409,2,FALSE)</f>
        <v>#N/A</v>
      </c>
      <c r="F211" s="19" t="e">
        <f t="shared" si="35"/>
        <v>#N/A</v>
      </c>
      <c r="G211" s="9" t="e">
        <f t="shared" si="36"/>
        <v>#N/A</v>
      </c>
      <c r="H211" s="198" t="e">
        <f>VLOOKUP(A211,'Audience 2020 pivot'!$A$3:$D$409,3,FALSE)</f>
        <v>#N/A</v>
      </c>
      <c r="I211" s="199" t="e">
        <f t="shared" si="37"/>
        <v>#N/A</v>
      </c>
      <c r="J211" s="9" t="e">
        <f t="shared" si="38"/>
        <v>#N/A</v>
      </c>
      <c r="K211" s="51" t="e">
        <f>VLOOKUP(A211,'Audience 2020 pivot'!$A$3:$D$409,4,FALSE)</f>
        <v>#N/A</v>
      </c>
      <c r="L211" s="51" t="e">
        <f t="shared" si="39"/>
        <v>#N/A</v>
      </c>
      <c r="M211" s="9" t="e">
        <f t="shared" si="40"/>
        <v>#N/A</v>
      </c>
    </row>
    <row r="212" spans="5:13" x14ac:dyDescent="0.25">
      <c r="E212" s="51" t="e">
        <f>VLOOKUP(A212,'Audience 2020 pivot'!$A$3:$D$409,2,FALSE)</f>
        <v>#N/A</v>
      </c>
      <c r="F212" s="19" t="e">
        <f t="shared" si="35"/>
        <v>#N/A</v>
      </c>
      <c r="G212" s="9" t="e">
        <f t="shared" si="36"/>
        <v>#N/A</v>
      </c>
      <c r="H212" s="198" t="e">
        <f>VLOOKUP(A212,'Audience 2020 pivot'!$A$3:$D$409,3,FALSE)</f>
        <v>#N/A</v>
      </c>
      <c r="I212" s="199" t="e">
        <f t="shared" si="37"/>
        <v>#N/A</v>
      </c>
      <c r="J212" s="9" t="e">
        <f t="shared" si="38"/>
        <v>#N/A</v>
      </c>
      <c r="K212" s="51" t="e">
        <f>VLOOKUP(A212,'Audience 2020 pivot'!$A$3:$D$409,4,FALSE)</f>
        <v>#N/A</v>
      </c>
      <c r="L212" s="51" t="e">
        <f t="shared" si="39"/>
        <v>#N/A</v>
      </c>
      <c r="M212" s="9" t="e">
        <f t="shared" si="40"/>
        <v>#N/A</v>
      </c>
    </row>
    <row r="213" spans="5:13" x14ac:dyDescent="0.25">
      <c r="E213" s="51" t="e">
        <f>VLOOKUP(A213,'Audience 2020 pivot'!$A$3:$D$409,2,FALSE)</f>
        <v>#N/A</v>
      </c>
      <c r="F213" s="19" t="e">
        <f t="shared" si="35"/>
        <v>#N/A</v>
      </c>
      <c r="G213" s="9" t="e">
        <f t="shared" si="36"/>
        <v>#N/A</v>
      </c>
      <c r="H213" s="198" t="e">
        <f>VLOOKUP(A213,'Audience 2020 pivot'!$A$3:$D$409,3,FALSE)</f>
        <v>#N/A</v>
      </c>
      <c r="I213" s="199" t="e">
        <f t="shared" si="37"/>
        <v>#N/A</v>
      </c>
      <c r="J213" s="9" t="e">
        <f t="shared" si="38"/>
        <v>#N/A</v>
      </c>
      <c r="K213" s="51" t="e">
        <f>VLOOKUP(A213,'Audience 2020 pivot'!$A$3:$D$409,4,FALSE)</f>
        <v>#N/A</v>
      </c>
      <c r="L213" s="51" t="e">
        <f t="shared" si="39"/>
        <v>#N/A</v>
      </c>
      <c r="M213" s="9" t="e">
        <f t="shared" si="40"/>
        <v>#N/A</v>
      </c>
    </row>
    <row r="214" spans="5:13" x14ac:dyDescent="0.25">
      <c r="E214" s="51" t="e">
        <f>VLOOKUP(A214,'Audience 2020 pivot'!$A$3:$D$409,2,FALSE)</f>
        <v>#N/A</v>
      </c>
      <c r="F214" s="19" t="e">
        <f t="shared" si="35"/>
        <v>#N/A</v>
      </c>
      <c r="G214" s="9" t="e">
        <f t="shared" si="36"/>
        <v>#N/A</v>
      </c>
      <c r="H214" s="198" t="e">
        <f>VLOOKUP(A214,'Audience 2020 pivot'!$A$3:$D$409,3,FALSE)</f>
        <v>#N/A</v>
      </c>
      <c r="I214" s="199" t="e">
        <f t="shared" si="37"/>
        <v>#N/A</v>
      </c>
      <c r="J214" s="9" t="e">
        <f t="shared" si="38"/>
        <v>#N/A</v>
      </c>
      <c r="K214" s="51" t="e">
        <f>VLOOKUP(A214,'Audience 2020 pivot'!$A$3:$D$409,4,FALSE)</f>
        <v>#N/A</v>
      </c>
      <c r="L214" s="51" t="e">
        <f t="shared" si="39"/>
        <v>#N/A</v>
      </c>
      <c r="M214" s="9" t="e">
        <f t="shared" si="40"/>
        <v>#N/A</v>
      </c>
    </row>
    <row r="215" spans="5:13" x14ac:dyDescent="0.25">
      <c r="E215" s="51" t="e">
        <f>VLOOKUP(A215,'Audience 2020 pivot'!$A$3:$D$409,2,FALSE)</f>
        <v>#N/A</v>
      </c>
      <c r="F215" s="19" t="e">
        <f t="shared" si="35"/>
        <v>#N/A</v>
      </c>
      <c r="G215" s="9" t="e">
        <f t="shared" si="36"/>
        <v>#N/A</v>
      </c>
      <c r="H215" s="198" t="e">
        <f>VLOOKUP(A215,'Audience 2020 pivot'!$A$3:$D$409,3,FALSE)</f>
        <v>#N/A</v>
      </c>
      <c r="I215" s="199" t="e">
        <f t="shared" si="37"/>
        <v>#N/A</v>
      </c>
      <c r="J215" s="9" t="e">
        <f t="shared" si="38"/>
        <v>#N/A</v>
      </c>
      <c r="K215" s="51" t="e">
        <f>VLOOKUP(A215,'Audience 2020 pivot'!$A$3:$D$409,4,FALSE)</f>
        <v>#N/A</v>
      </c>
      <c r="L215" s="51" t="e">
        <f t="shared" si="39"/>
        <v>#N/A</v>
      </c>
      <c r="M215" s="9" t="e">
        <f t="shared" si="40"/>
        <v>#N/A</v>
      </c>
    </row>
    <row r="216" spans="5:13" x14ac:dyDescent="0.25">
      <c r="E216" s="51" t="e">
        <f>VLOOKUP(A216,'Audience 2020 pivot'!$A$3:$D$409,2,FALSE)</f>
        <v>#N/A</v>
      </c>
      <c r="F216" s="19" t="e">
        <f t="shared" si="35"/>
        <v>#N/A</v>
      </c>
      <c r="G216" s="9" t="e">
        <f t="shared" si="36"/>
        <v>#N/A</v>
      </c>
      <c r="H216" s="198" t="e">
        <f>VLOOKUP(A216,'Audience 2020 pivot'!$A$3:$D$409,3,FALSE)</f>
        <v>#N/A</v>
      </c>
      <c r="I216" s="199" t="e">
        <f t="shared" si="37"/>
        <v>#N/A</v>
      </c>
      <c r="J216" s="9" t="e">
        <f t="shared" si="38"/>
        <v>#N/A</v>
      </c>
      <c r="K216" s="51" t="e">
        <f>VLOOKUP(A216,'Audience 2020 pivot'!$A$3:$D$409,4,FALSE)</f>
        <v>#N/A</v>
      </c>
      <c r="L216" s="51" t="e">
        <f t="shared" si="39"/>
        <v>#N/A</v>
      </c>
      <c r="M216" s="9" t="e">
        <f t="shared" si="40"/>
        <v>#N/A</v>
      </c>
    </row>
    <row r="217" spans="5:13" x14ac:dyDescent="0.25">
      <c r="E217" s="51" t="e">
        <f>VLOOKUP(A217,'Audience 2020 pivot'!$A$3:$D$409,2,FALSE)</f>
        <v>#N/A</v>
      </c>
      <c r="F217" s="19" t="e">
        <f t="shared" si="35"/>
        <v>#N/A</v>
      </c>
      <c r="G217" s="9" t="e">
        <f t="shared" si="36"/>
        <v>#N/A</v>
      </c>
      <c r="H217" s="198" t="e">
        <f>VLOOKUP(A217,'Audience 2020 pivot'!$A$3:$D$409,3,FALSE)</f>
        <v>#N/A</v>
      </c>
      <c r="I217" s="199" t="e">
        <f t="shared" si="37"/>
        <v>#N/A</v>
      </c>
      <c r="J217" s="9" t="e">
        <f t="shared" si="38"/>
        <v>#N/A</v>
      </c>
      <c r="K217" s="51" t="e">
        <f>VLOOKUP(A217,'Audience 2020 pivot'!$A$3:$D$409,4,FALSE)</f>
        <v>#N/A</v>
      </c>
      <c r="L217" s="51" t="e">
        <f t="shared" si="39"/>
        <v>#N/A</v>
      </c>
      <c r="M217" s="9" t="e">
        <f t="shared" si="40"/>
        <v>#N/A</v>
      </c>
    </row>
    <row r="218" spans="5:13" x14ac:dyDescent="0.25">
      <c r="E218" s="51" t="e">
        <f>VLOOKUP(A218,'Audience 2020 pivot'!$A$3:$D$409,2,FALSE)</f>
        <v>#N/A</v>
      </c>
      <c r="F218" s="19" t="e">
        <f t="shared" si="35"/>
        <v>#N/A</v>
      </c>
      <c r="G218" s="9" t="e">
        <f t="shared" si="36"/>
        <v>#N/A</v>
      </c>
      <c r="H218" s="198" t="e">
        <f>VLOOKUP(A218,'Audience 2020 pivot'!$A$3:$D$409,3,FALSE)</f>
        <v>#N/A</v>
      </c>
      <c r="I218" s="199" t="e">
        <f t="shared" si="37"/>
        <v>#N/A</v>
      </c>
      <c r="J218" s="9" t="e">
        <f t="shared" si="38"/>
        <v>#N/A</v>
      </c>
      <c r="K218" s="51" t="e">
        <f>VLOOKUP(A218,'Audience 2020 pivot'!$A$3:$D$409,4,FALSE)</f>
        <v>#N/A</v>
      </c>
      <c r="L218" s="51" t="e">
        <f t="shared" si="39"/>
        <v>#N/A</v>
      </c>
      <c r="M218" s="9" t="e">
        <f t="shared" si="40"/>
        <v>#N/A</v>
      </c>
    </row>
    <row r="219" spans="5:13" x14ac:dyDescent="0.25">
      <c r="E219" s="51" t="e">
        <f>VLOOKUP(A219,'Audience 2020 pivot'!$A$3:$D$409,2,FALSE)</f>
        <v>#N/A</v>
      </c>
      <c r="F219" s="19" t="e">
        <f t="shared" si="35"/>
        <v>#N/A</v>
      </c>
      <c r="G219" s="9" t="e">
        <f t="shared" si="36"/>
        <v>#N/A</v>
      </c>
      <c r="H219" s="198" t="e">
        <f>VLOOKUP(A219,'Audience 2020 pivot'!$A$3:$D$409,3,FALSE)</f>
        <v>#N/A</v>
      </c>
      <c r="I219" s="199" t="e">
        <f t="shared" si="37"/>
        <v>#N/A</v>
      </c>
      <c r="J219" s="9" t="e">
        <f t="shared" si="38"/>
        <v>#N/A</v>
      </c>
      <c r="K219" s="51" t="e">
        <f>VLOOKUP(A219,'Audience 2020 pivot'!$A$3:$D$409,4,FALSE)</f>
        <v>#N/A</v>
      </c>
      <c r="L219" s="51" t="e">
        <f t="shared" si="39"/>
        <v>#N/A</v>
      </c>
      <c r="M219" s="9" t="e">
        <f t="shared" si="40"/>
        <v>#N/A</v>
      </c>
    </row>
    <row r="220" spans="5:13" x14ac:dyDescent="0.25">
      <c r="E220" s="51" t="e">
        <f>VLOOKUP(A220,'Audience 2020 pivot'!$A$3:$D$409,2,FALSE)</f>
        <v>#N/A</v>
      </c>
      <c r="F220" s="19" t="e">
        <f t="shared" si="35"/>
        <v>#N/A</v>
      </c>
      <c r="G220" s="9" t="e">
        <f t="shared" si="36"/>
        <v>#N/A</v>
      </c>
      <c r="H220" s="198" t="e">
        <f>VLOOKUP(A220,'Audience 2020 pivot'!$A$3:$D$409,3,FALSE)</f>
        <v>#N/A</v>
      </c>
      <c r="I220" s="199" t="e">
        <f t="shared" si="37"/>
        <v>#N/A</v>
      </c>
      <c r="J220" s="9" t="e">
        <f t="shared" si="38"/>
        <v>#N/A</v>
      </c>
      <c r="K220" s="51" t="e">
        <f>VLOOKUP(A220,'Audience 2020 pivot'!$A$3:$D$409,4,FALSE)</f>
        <v>#N/A</v>
      </c>
      <c r="L220" s="51" t="e">
        <f t="shared" si="39"/>
        <v>#N/A</v>
      </c>
      <c r="M220" s="9" t="e">
        <f t="shared" si="40"/>
        <v>#N/A</v>
      </c>
    </row>
    <row r="221" spans="5:13" x14ac:dyDescent="0.25">
      <c r="E221" s="51" t="e">
        <f>VLOOKUP(A221,'Audience 2020 pivot'!$A$3:$D$409,2,FALSE)</f>
        <v>#N/A</v>
      </c>
      <c r="F221" s="19" t="e">
        <f t="shared" si="35"/>
        <v>#N/A</v>
      </c>
      <c r="G221" s="9" t="e">
        <f t="shared" si="36"/>
        <v>#N/A</v>
      </c>
      <c r="H221" s="198" t="e">
        <f>VLOOKUP(A221,'Audience 2020 pivot'!$A$3:$D$409,3,FALSE)</f>
        <v>#N/A</v>
      </c>
      <c r="I221" s="199" t="e">
        <f t="shared" si="37"/>
        <v>#N/A</v>
      </c>
      <c r="J221" s="9" t="e">
        <f t="shared" si="38"/>
        <v>#N/A</v>
      </c>
      <c r="K221" s="51" t="e">
        <f>VLOOKUP(A221,'Audience 2020 pivot'!$A$3:$D$409,4,FALSE)</f>
        <v>#N/A</v>
      </c>
      <c r="L221" s="51" t="e">
        <f t="shared" si="39"/>
        <v>#N/A</v>
      </c>
      <c r="M221" s="9" t="e">
        <f t="shared" si="40"/>
        <v>#N/A</v>
      </c>
    </row>
    <row r="222" spans="5:13" x14ac:dyDescent="0.25">
      <c r="E222" s="51" t="e">
        <f>VLOOKUP(A222,'Audience 2020 pivot'!$A$3:$D$409,2,FALSE)</f>
        <v>#N/A</v>
      </c>
      <c r="F222" s="19" t="e">
        <f t="shared" si="35"/>
        <v>#N/A</v>
      </c>
      <c r="G222" s="9" t="e">
        <f t="shared" si="36"/>
        <v>#N/A</v>
      </c>
      <c r="H222" s="198" t="e">
        <f>VLOOKUP(A222,'Audience 2020 pivot'!$A$3:$D$409,3,FALSE)</f>
        <v>#N/A</v>
      </c>
      <c r="I222" s="199" t="e">
        <f t="shared" si="37"/>
        <v>#N/A</v>
      </c>
      <c r="J222" s="9" t="e">
        <f t="shared" si="38"/>
        <v>#N/A</v>
      </c>
      <c r="K222" s="51" t="e">
        <f>VLOOKUP(A222,'Audience 2020 pivot'!$A$3:$D$409,4,FALSE)</f>
        <v>#N/A</v>
      </c>
      <c r="L222" s="51" t="e">
        <f t="shared" si="39"/>
        <v>#N/A</v>
      </c>
      <c r="M222" s="9" t="e">
        <f t="shared" si="40"/>
        <v>#N/A</v>
      </c>
    </row>
    <row r="223" spans="5:13" x14ac:dyDescent="0.25">
      <c r="E223" s="51" t="e">
        <f>VLOOKUP(A223,'Audience 2020 pivot'!$A$3:$D$409,2,FALSE)</f>
        <v>#N/A</v>
      </c>
      <c r="F223" s="19" t="e">
        <f t="shared" si="35"/>
        <v>#N/A</v>
      </c>
      <c r="G223" s="9" t="e">
        <f t="shared" si="36"/>
        <v>#N/A</v>
      </c>
      <c r="H223" s="198" t="e">
        <f>VLOOKUP(A223,'Audience 2020 pivot'!$A$3:$D$409,3,FALSE)</f>
        <v>#N/A</v>
      </c>
      <c r="I223" s="199" t="e">
        <f t="shared" si="37"/>
        <v>#N/A</v>
      </c>
      <c r="J223" s="9" t="e">
        <f t="shared" si="38"/>
        <v>#N/A</v>
      </c>
      <c r="K223" s="51" t="e">
        <f>VLOOKUP(A223,'Audience 2020 pivot'!$A$3:$D$409,4,FALSE)</f>
        <v>#N/A</v>
      </c>
      <c r="L223" s="51" t="e">
        <f t="shared" si="39"/>
        <v>#N/A</v>
      </c>
      <c r="M223" s="9" t="e">
        <f t="shared" si="40"/>
        <v>#N/A</v>
      </c>
    </row>
    <row r="224" spans="5:13" x14ac:dyDescent="0.25">
      <c r="E224" s="51" t="e">
        <f>VLOOKUP(A224,'Audience 2020 pivot'!$A$3:$D$409,2,FALSE)</f>
        <v>#N/A</v>
      </c>
      <c r="F224" s="19" t="e">
        <f t="shared" si="35"/>
        <v>#N/A</v>
      </c>
      <c r="G224" s="9" t="e">
        <f t="shared" si="36"/>
        <v>#N/A</v>
      </c>
      <c r="H224" s="198" t="e">
        <f>VLOOKUP(A224,'Audience 2020 pivot'!$A$3:$D$409,3,FALSE)</f>
        <v>#N/A</v>
      </c>
      <c r="I224" s="199" t="e">
        <f t="shared" si="37"/>
        <v>#N/A</v>
      </c>
      <c r="J224" s="9" t="e">
        <f t="shared" si="38"/>
        <v>#N/A</v>
      </c>
      <c r="K224" s="51" t="e">
        <f>VLOOKUP(A224,'Audience 2020 pivot'!$A$3:$D$409,4,FALSE)</f>
        <v>#N/A</v>
      </c>
      <c r="L224" s="51" t="e">
        <f t="shared" si="39"/>
        <v>#N/A</v>
      </c>
      <c r="M224" s="9" t="e">
        <f t="shared" si="40"/>
        <v>#N/A</v>
      </c>
    </row>
    <row r="225" spans="5:13" x14ac:dyDescent="0.25">
      <c r="E225" s="51" t="e">
        <f>VLOOKUP(A225,'Audience 2020 pivot'!$A$3:$D$409,2,FALSE)</f>
        <v>#N/A</v>
      </c>
      <c r="F225" s="19" t="e">
        <f t="shared" si="35"/>
        <v>#N/A</v>
      </c>
      <c r="G225" s="9" t="e">
        <f t="shared" si="36"/>
        <v>#N/A</v>
      </c>
      <c r="H225" s="198" t="e">
        <f>VLOOKUP(A225,'Audience 2020 pivot'!$A$3:$D$409,3,FALSE)</f>
        <v>#N/A</v>
      </c>
      <c r="I225" s="199" t="e">
        <f t="shared" si="37"/>
        <v>#N/A</v>
      </c>
      <c r="J225" s="9" t="e">
        <f t="shared" si="38"/>
        <v>#N/A</v>
      </c>
      <c r="K225" s="51" t="e">
        <f>VLOOKUP(A225,'Audience 2020 pivot'!$A$3:$D$409,4,FALSE)</f>
        <v>#N/A</v>
      </c>
      <c r="L225" s="51" t="e">
        <f t="shared" si="39"/>
        <v>#N/A</v>
      </c>
      <c r="M225" s="9" t="e">
        <f t="shared" si="40"/>
        <v>#N/A</v>
      </c>
    </row>
    <row r="226" spans="5:13" x14ac:dyDescent="0.25">
      <c r="E226" s="51" t="e">
        <f>VLOOKUP(A226,'Audience 2020 pivot'!$A$3:$D$409,2,FALSE)</f>
        <v>#N/A</v>
      </c>
      <c r="F226" s="19" t="e">
        <f t="shared" si="35"/>
        <v>#N/A</v>
      </c>
      <c r="G226" s="9" t="e">
        <f t="shared" si="36"/>
        <v>#N/A</v>
      </c>
      <c r="H226" s="198" t="e">
        <f>VLOOKUP(A226,'Audience 2020 pivot'!$A$3:$D$409,3,FALSE)</f>
        <v>#N/A</v>
      </c>
      <c r="I226" s="199" t="e">
        <f t="shared" si="37"/>
        <v>#N/A</v>
      </c>
      <c r="J226" s="9" t="e">
        <f t="shared" si="38"/>
        <v>#N/A</v>
      </c>
      <c r="K226" s="51" t="e">
        <f>VLOOKUP(A226,'Audience 2020 pivot'!$A$3:$D$409,4,FALSE)</f>
        <v>#N/A</v>
      </c>
      <c r="L226" s="51" t="e">
        <f t="shared" si="39"/>
        <v>#N/A</v>
      </c>
      <c r="M226" s="9" t="e">
        <f t="shared" si="40"/>
        <v>#N/A</v>
      </c>
    </row>
    <row r="227" spans="5:13" x14ac:dyDescent="0.25">
      <c r="E227" s="51" t="e">
        <f>VLOOKUP(A227,'Audience 2020 pivot'!$A$3:$D$409,2,FALSE)</f>
        <v>#N/A</v>
      </c>
      <c r="F227" s="19" t="e">
        <f t="shared" si="35"/>
        <v>#N/A</v>
      </c>
      <c r="G227" s="9" t="e">
        <f t="shared" si="36"/>
        <v>#N/A</v>
      </c>
      <c r="H227" s="198" t="e">
        <f>VLOOKUP(A227,'Audience 2020 pivot'!$A$3:$D$409,3,FALSE)</f>
        <v>#N/A</v>
      </c>
      <c r="I227" s="199" t="e">
        <f t="shared" si="37"/>
        <v>#N/A</v>
      </c>
      <c r="J227" s="9" t="e">
        <f t="shared" si="38"/>
        <v>#N/A</v>
      </c>
      <c r="K227" s="51" t="e">
        <f>VLOOKUP(A227,'Audience 2020 pivot'!$A$3:$D$409,4,FALSE)</f>
        <v>#N/A</v>
      </c>
      <c r="L227" s="51" t="e">
        <f t="shared" si="39"/>
        <v>#N/A</v>
      </c>
      <c r="M227" s="9" t="e">
        <f t="shared" si="40"/>
        <v>#N/A</v>
      </c>
    </row>
    <row r="228" spans="5:13" x14ac:dyDescent="0.25">
      <c r="E228" s="51" t="e">
        <f>VLOOKUP(A228,'Audience 2020 pivot'!$A$3:$D$409,2,FALSE)</f>
        <v>#N/A</v>
      </c>
      <c r="F228" s="19" t="e">
        <f t="shared" si="35"/>
        <v>#N/A</v>
      </c>
      <c r="G228" s="9" t="e">
        <f t="shared" si="36"/>
        <v>#N/A</v>
      </c>
      <c r="H228" s="198" t="e">
        <f>VLOOKUP(A228,'Audience 2020 pivot'!$A$3:$D$409,3,FALSE)</f>
        <v>#N/A</v>
      </c>
      <c r="I228" s="199" t="e">
        <f t="shared" si="37"/>
        <v>#N/A</v>
      </c>
      <c r="J228" s="9" t="e">
        <f t="shared" si="38"/>
        <v>#N/A</v>
      </c>
      <c r="K228" s="51" t="e">
        <f>VLOOKUP(A228,'Audience 2020 pivot'!$A$3:$D$409,4,FALSE)</f>
        <v>#N/A</v>
      </c>
      <c r="L228" s="51" t="e">
        <f t="shared" si="39"/>
        <v>#N/A</v>
      </c>
      <c r="M228" s="9" t="e">
        <f t="shared" si="40"/>
        <v>#N/A</v>
      </c>
    </row>
    <row r="229" spans="5:13" x14ac:dyDescent="0.25">
      <c r="E229" s="51" t="e">
        <f>VLOOKUP(A229,'Audience 2020 pivot'!$A$3:$D$409,2,FALSE)</f>
        <v>#N/A</v>
      </c>
      <c r="F229" s="19" t="e">
        <f t="shared" si="35"/>
        <v>#N/A</v>
      </c>
      <c r="G229" s="9" t="e">
        <f t="shared" si="36"/>
        <v>#N/A</v>
      </c>
      <c r="H229" s="198" t="e">
        <f>VLOOKUP(A229,'Audience 2020 pivot'!$A$3:$D$409,3,FALSE)</f>
        <v>#N/A</v>
      </c>
      <c r="I229" s="199" t="e">
        <f t="shared" si="37"/>
        <v>#N/A</v>
      </c>
      <c r="J229" s="9" t="e">
        <f t="shared" si="38"/>
        <v>#N/A</v>
      </c>
      <c r="K229" s="51" t="e">
        <f>VLOOKUP(A229,'Audience 2020 pivot'!$A$3:$D$409,4,FALSE)</f>
        <v>#N/A</v>
      </c>
      <c r="L229" s="51" t="e">
        <f t="shared" si="39"/>
        <v>#N/A</v>
      </c>
      <c r="M229" s="9" t="e">
        <f t="shared" si="40"/>
        <v>#N/A</v>
      </c>
    </row>
    <row r="230" spans="5:13" x14ac:dyDescent="0.25">
      <c r="E230" s="51" t="e">
        <f>VLOOKUP(A230,'Audience 2020 pivot'!$A$3:$D$409,2,FALSE)</f>
        <v>#N/A</v>
      </c>
      <c r="F230" s="19" t="e">
        <f t="shared" si="35"/>
        <v>#N/A</v>
      </c>
      <c r="G230" s="9" t="e">
        <f t="shared" si="36"/>
        <v>#N/A</v>
      </c>
      <c r="H230" s="198" t="e">
        <f>VLOOKUP(A230,'Audience 2020 pivot'!$A$3:$D$409,3,FALSE)</f>
        <v>#N/A</v>
      </c>
      <c r="I230" s="199" t="e">
        <f t="shared" si="37"/>
        <v>#N/A</v>
      </c>
      <c r="J230" s="9" t="e">
        <f t="shared" si="38"/>
        <v>#N/A</v>
      </c>
      <c r="K230" s="51" t="e">
        <f>VLOOKUP(A230,'Audience 2020 pivot'!$A$3:$D$409,4,FALSE)</f>
        <v>#N/A</v>
      </c>
      <c r="L230" s="51" t="e">
        <f t="shared" si="39"/>
        <v>#N/A</v>
      </c>
      <c r="M230" s="9" t="e">
        <f t="shared" si="40"/>
        <v>#N/A</v>
      </c>
    </row>
    <row r="231" spans="5:13" x14ac:dyDescent="0.25">
      <c r="E231" s="51" t="e">
        <f>VLOOKUP(A231,'Audience 2020 pivot'!$A$3:$D$409,2,FALSE)</f>
        <v>#N/A</v>
      </c>
      <c r="F231" s="19" t="e">
        <f t="shared" si="35"/>
        <v>#N/A</v>
      </c>
      <c r="G231" s="9" t="e">
        <f t="shared" si="36"/>
        <v>#N/A</v>
      </c>
      <c r="H231" s="198" t="e">
        <f>VLOOKUP(A231,'Audience 2020 pivot'!$A$3:$D$409,3,FALSE)</f>
        <v>#N/A</v>
      </c>
      <c r="I231" s="199" t="e">
        <f t="shared" si="37"/>
        <v>#N/A</v>
      </c>
      <c r="J231" s="9" t="e">
        <f t="shared" si="38"/>
        <v>#N/A</v>
      </c>
      <c r="K231" s="51" t="e">
        <f>VLOOKUP(A231,'Audience 2020 pivot'!$A$3:$D$409,4,FALSE)</f>
        <v>#N/A</v>
      </c>
      <c r="L231" s="51" t="e">
        <f t="shared" si="39"/>
        <v>#N/A</v>
      </c>
      <c r="M231" s="9" t="e">
        <f t="shared" si="40"/>
        <v>#N/A</v>
      </c>
    </row>
    <row r="232" spans="5:13" x14ac:dyDescent="0.25">
      <c r="E232" s="51" t="e">
        <f>VLOOKUP(A232,'Audience 2020 pivot'!$A$3:$D$409,2,FALSE)</f>
        <v>#N/A</v>
      </c>
      <c r="F232" s="19" t="e">
        <f t="shared" si="35"/>
        <v>#N/A</v>
      </c>
      <c r="G232" s="9" t="e">
        <f t="shared" si="36"/>
        <v>#N/A</v>
      </c>
      <c r="H232" s="198" t="e">
        <f>VLOOKUP(A232,'Audience 2020 pivot'!$A$3:$D$409,3,FALSE)</f>
        <v>#N/A</v>
      </c>
      <c r="I232" s="199" t="e">
        <f t="shared" si="37"/>
        <v>#N/A</v>
      </c>
      <c r="J232" s="9" t="e">
        <f t="shared" si="38"/>
        <v>#N/A</v>
      </c>
      <c r="K232" s="51" t="e">
        <f>VLOOKUP(A232,'Audience 2020 pivot'!$A$3:$D$409,4,FALSE)</f>
        <v>#N/A</v>
      </c>
      <c r="L232" s="51" t="e">
        <f t="shared" si="39"/>
        <v>#N/A</v>
      </c>
      <c r="M232" s="9" t="e">
        <f t="shared" si="40"/>
        <v>#N/A</v>
      </c>
    </row>
    <row r="233" spans="5:13" x14ac:dyDescent="0.25">
      <c r="E233" s="51" t="e">
        <f>VLOOKUP(A233,'Audience 2020 pivot'!$A$3:$D$409,2,FALSE)</f>
        <v>#N/A</v>
      </c>
      <c r="F233" s="19" t="e">
        <f t="shared" si="35"/>
        <v>#N/A</v>
      </c>
      <c r="G233" s="9" t="e">
        <f t="shared" si="36"/>
        <v>#N/A</v>
      </c>
      <c r="H233" s="198" t="e">
        <f>VLOOKUP(A233,'Audience 2020 pivot'!$A$3:$D$409,3,FALSE)</f>
        <v>#N/A</v>
      </c>
      <c r="I233" s="199" t="e">
        <f t="shared" si="37"/>
        <v>#N/A</v>
      </c>
      <c r="J233" s="9" t="e">
        <f t="shared" si="38"/>
        <v>#N/A</v>
      </c>
      <c r="K233" s="51" t="e">
        <f>VLOOKUP(A233,'Audience 2020 pivot'!$A$3:$D$409,4,FALSE)</f>
        <v>#N/A</v>
      </c>
      <c r="L233" s="51" t="e">
        <f t="shared" si="39"/>
        <v>#N/A</v>
      </c>
      <c r="M233" s="9" t="e">
        <f t="shared" si="40"/>
        <v>#N/A</v>
      </c>
    </row>
    <row r="234" spans="5:13" x14ac:dyDescent="0.25">
      <c r="E234" s="51" t="e">
        <f>VLOOKUP(A234,'Audience 2020 pivot'!$A$3:$D$409,2,FALSE)</f>
        <v>#N/A</v>
      </c>
      <c r="F234" s="19" t="e">
        <f t="shared" si="35"/>
        <v>#N/A</v>
      </c>
      <c r="G234" s="9" t="e">
        <f t="shared" si="36"/>
        <v>#N/A</v>
      </c>
      <c r="H234" s="198" t="e">
        <f>VLOOKUP(A234,'Audience 2020 pivot'!$A$3:$D$409,3,FALSE)</f>
        <v>#N/A</v>
      </c>
      <c r="I234" s="199" t="e">
        <f t="shared" si="37"/>
        <v>#N/A</v>
      </c>
      <c r="J234" s="9" t="e">
        <f t="shared" si="38"/>
        <v>#N/A</v>
      </c>
      <c r="K234" s="51" t="e">
        <f>VLOOKUP(A234,'Audience 2020 pivot'!$A$3:$D$409,4,FALSE)</f>
        <v>#N/A</v>
      </c>
      <c r="L234" s="51" t="e">
        <f t="shared" si="39"/>
        <v>#N/A</v>
      </c>
      <c r="M234" s="9" t="e">
        <f t="shared" si="40"/>
        <v>#N/A</v>
      </c>
    </row>
    <row r="235" spans="5:13" x14ac:dyDescent="0.25">
      <c r="E235" s="51" t="e">
        <f>VLOOKUP(A235,'Audience 2020 pivot'!$A$3:$D$409,2,FALSE)</f>
        <v>#N/A</v>
      </c>
      <c r="F235" s="19" t="e">
        <f t="shared" si="35"/>
        <v>#N/A</v>
      </c>
      <c r="G235" s="9" t="e">
        <f t="shared" si="36"/>
        <v>#N/A</v>
      </c>
      <c r="H235" s="198" t="e">
        <f>VLOOKUP(A235,'Audience 2020 pivot'!$A$3:$D$409,3,FALSE)</f>
        <v>#N/A</v>
      </c>
      <c r="I235" s="199" t="e">
        <f t="shared" si="37"/>
        <v>#N/A</v>
      </c>
      <c r="J235" s="9" t="e">
        <f t="shared" si="38"/>
        <v>#N/A</v>
      </c>
      <c r="K235" s="51" t="e">
        <f>VLOOKUP(A235,'Audience 2020 pivot'!$A$3:$D$409,4,FALSE)</f>
        <v>#N/A</v>
      </c>
      <c r="L235" s="51" t="e">
        <f t="shared" si="39"/>
        <v>#N/A</v>
      </c>
      <c r="M235" s="9" t="e">
        <f t="shared" si="40"/>
        <v>#N/A</v>
      </c>
    </row>
    <row r="236" spans="5:13" x14ac:dyDescent="0.25">
      <c r="E236" s="51" t="e">
        <f>VLOOKUP(A236,'Audience 2020 pivot'!$A$3:$D$409,2,FALSE)</f>
        <v>#N/A</v>
      </c>
      <c r="F236" s="19" t="e">
        <f t="shared" si="35"/>
        <v>#N/A</v>
      </c>
      <c r="G236" s="9" t="e">
        <f t="shared" si="36"/>
        <v>#N/A</v>
      </c>
      <c r="H236" s="198" t="e">
        <f>VLOOKUP(A236,'Audience 2020 pivot'!$A$3:$D$409,3,FALSE)</f>
        <v>#N/A</v>
      </c>
      <c r="I236" s="199" t="e">
        <f t="shared" si="37"/>
        <v>#N/A</v>
      </c>
      <c r="J236" s="9" t="e">
        <f t="shared" si="38"/>
        <v>#N/A</v>
      </c>
      <c r="K236" s="51" t="e">
        <f>VLOOKUP(A236,'Audience 2020 pivot'!$A$3:$D$409,4,FALSE)</f>
        <v>#N/A</v>
      </c>
      <c r="L236" s="51" t="e">
        <f t="shared" si="39"/>
        <v>#N/A</v>
      </c>
      <c r="M236" s="9" t="e">
        <f t="shared" si="40"/>
        <v>#N/A</v>
      </c>
    </row>
    <row r="237" spans="5:13" x14ac:dyDescent="0.25">
      <c r="E237" s="51" t="e">
        <f>VLOOKUP(A237,'Audience 2020 pivot'!$A$3:$D$409,2,FALSE)</f>
        <v>#N/A</v>
      </c>
      <c r="F237" s="19" t="e">
        <f t="shared" si="35"/>
        <v>#N/A</v>
      </c>
      <c r="G237" s="9" t="e">
        <f t="shared" si="36"/>
        <v>#N/A</v>
      </c>
      <c r="H237" s="198" t="e">
        <f>VLOOKUP(A237,'Audience 2020 pivot'!$A$3:$D$409,3,FALSE)</f>
        <v>#N/A</v>
      </c>
      <c r="I237" s="199" t="e">
        <f t="shared" si="37"/>
        <v>#N/A</v>
      </c>
      <c r="J237" s="9" t="e">
        <f t="shared" si="38"/>
        <v>#N/A</v>
      </c>
      <c r="K237" s="51" t="e">
        <f>VLOOKUP(A237,'Audience 2020 pivot'!$A$3:$D$409,4,FALSE)</f>
        <v>#N/A</v>
      </c>
      <c r="L237" s="51" t="e">
        <f t="shared" si="39"/>
        <v>#N/A</v>
      </c>
      <c r="M237" s="9" t="e">
        <f t="shared" si="40"/>
        <v>#N/A</v>
      </c>
    </row>
    <row r="238" spans="5:13" x14ac:dyDescent="0.25">
      <c r="E238" s="51" t="e">
        <f>VLOOKUP(A238,'Audience 2020 pivot'!$A$3:$D$409,2,FALSE)</f>
        <v>#N/A</v>
      </c>
      <c r="F238" s="19" t="e">
        <f t="shared" si="35"/>
        <v>#N/A</v>
      </c>
      <c r="G238" s="9" t="e">
        <f t="shared" si="36"/>
        <v>#N/A</v>
      </c>
      <c r="H238" s="198" t="e">
        <f>VLOOKUP(A238,'Audience 2020 pivot'!$A$3:$D$409,3,FALSE)</f>
        <v>#N/A</v>
      </c>
      <c r="I238" s="199" t="e">
        <f t="shared" si="37"/>
        <v>#N/A</v>
      </c>
      <c r="J238" s="9" t="e">
        <f t="shared" si="38"/>
        <v>#N/A</v>
      </c>
      <c r="K238" s="51" t="e">
        <f>VLOOKUP(A238,'Audience 2020 pivot'!$A$3:$D$409,4,FALSE)</f>
        <v>#N/A</v>
      </c>
      <c r="L238" s="51" t="e">
        <f t="shared" si="39"/>
        <v>#N/A</v>
      </c>
      <c r="M238" s="9" t="e">
        <f t="shared" si="40"/>
        <v>#N/A</v>
      </c>
    </row>
    <row r="239" spans="5:13" x14ac:dyDescent="0.25">
      <c r="E239" s="51" t="e">
        <f>VLOOKUP(A239,'Audience 2020 pivot'!$A$3:$D$409,2,FALSE)</f>
        <v>#N/A</v>
      </c>
      <c r="F239" s="19" t="e">
        <f t="shared" si="35"/>
        <v>#N/A</v>
      </c>
      <c r="G239" s="9" t="e">
        <f t="shared" si="36"/>
        <v>#N/A</v>
      </c>
      <c r="H239" s="198" t="e">
        <f>VLOOKUP(A239,'Audience 2020 pivot'!$A$3:$D$409,3,FALSE)</f>
        <v>#N/A</v>
      </c>
      <c r="I239" s="199" t="e">
        <f t="shared" si="37"/>
        <v>#N/A</v>
      </c>
      <c r="J239" s="9" t="e">
        <f t="shared" si="38"/>
        <v>#N/A</v>
      </c>
      <c r="K239" s="51" t="e">
        <f>VLOOKUP(A239,'Audience 2020 pivot'!$A$3:$D$409,4,FALSE)</f>
        <v>#N/A</v>
      </c>
      <c r="L239" s="51" t="e">
        <f t="shared" si="39"/>
        <v>#N/A</v>
      </c>
      <c r="M239" s="9" t="e">
        <f t="shared" si="40"/>
        <v>#N/A</v>
      </c>
    </row>
    <row r="240" spans="5:13" x14ac:dyDescent="0.25">
      <c r="E240" s="51" t="e">
        <f>VLOOKUP(A240,'Audience 2020 pivot'!$A$3:$D$409,2,FALSE)</f>
        <v>#N/A</v>
      </c>
      <c r="F240" s="19" t="e">
        <f t="shared" si="35"/>
        <v>#N/A</v>
      </c>
      <c r="G240" s="9" t="e">
        <f t="shared" si="36"/>
        <v>#N/A</v>
      </c>
      <c r="H240" s="198" t="e">
        <f>VLOOKUP(A240,'Audience 2020 pivot'!$A$3:$D$409,3,FALSE)</f>
        <v>#N/A</v>
      </c>
      <c r="I240" s="199" t="e">
        <f t="shared" si="37"/>
        <v>#N/A</v>
      </c>
      <c r="J240" s="9" t="e">
        <f t="shared" si="38"/>
        <v>#N/A</v>
      </c>
      <c r="K240" s="51" t="e">
        <f>VLOOKUP(A240,'Audience 2020 pivot'!$A$3:$D$409,4,FALSE)</f>
        <v>#N/A</v>
      </c>
      <c r="L240" s="51" t="e">
        <f t="shared" si="39"/>
        <v>#N/A</v>
      </c>
      <c r="M240" s="9" t="e">
        <f t="shared" si="40"/>
        <v>#N/A</v>
      </c>
    </row>
    <row r="241" spans="5:13" x14ac:dyDescent="0.25">
      <c r="E241" s="51" t="e">
        <f>VLOOKUP(A241,'Audience 2020 pivot'!$A$3:$D$409,2,FALSE)</f>
        <v>#N/A</v>
      </c>
      <c r="F241" s="19" t="e">
        <f t="shared" si="35"/>
        <v>#N/A</v>
      </c>
      <c r="G241" s="9" t="e">
        <f t="shared" si="36"/>
        <v>#N/A</v>
      </c>
      <c r="H241" s="198" t="e">
        <f>VLOOKUP(A241,'Audience 2020 pivot'!$A$3:$D$409,3,FALSE)</f>
        <v>#N/A</v>
      </c>
      <c r="I241" s="199" t="e">
        <f t="shared" si="37"/>
        <v>#N/A</v>
      </c>
      <c r="J241" s="9" t="e">
        <f t="shared" si="38"/>
        <v>#N/A</v>
      </c>
      <c r="K241" s="51" t="e">
        <f>VLOOKUP(A241,'Audience 2020 pivot'!$A$3:$D$409,4,FALSE)</f>
        <v>#N/A</v>
      </c>
      <c r="L241" s="51" t="e">
        <f t="shared" si="39"/>
        <v>#N/A</v>
      </c>
      <c r="M241" s="9" t="e">
        <f t="shared" si="40"/>
        <v>#N/A</v>
      </c>
    </row>
    <row r="242" spans="5:13" x14ac:dyDescent="0.25">
      <c r="E242" s="51" t="e">
        <f>VLOOKUP(A242,'Audience 2020 pivot'!$A$3:$D$409,2,FALSE)</f>
        <v>#N/A</v>
      </c>
      <c r="F242" s="19" t="e">
        <f t="shared" si="35"/>
        <v>#N/A</v>
      </c>
      <c r="G242" s="9" t="e">
        <f t="shared" si="36"/>
        <v>#N/A</v>
      </c>
      <c r="H242" s="198" t="e">
        <f>VLOOKUP(A242,'Audience 2020 pivot'!$A$3:$D$409,3,FALSE)</f>
        <v>#N/A</v>
      </c>
      <c r="I242" s="199" t="e">
        <f t="shared" si="37"/>
        <v>#N/A</v>
      </c>
      <c r="J242" s="9" t="e">
        <f t="shared" si="38"/>
        <v>#N/A</v>
      </c>
      <c r="K242" s="51" t="e">
        <f>VLOOKUP(A242,'Audience 2020 pivot'!$A$3:$D$409,4,FALSE)</f>
        <v>#N/A</v>
      </c>
      <c r="L242" s="51" t="e">
        <f t="shared" si="39"/>
        <v>#N/A</v>
      </c>
      <c r="M242" s="9" t="e">
        <f t="shared" si="40"/>
        <v>#N/A</v>
      </c>
    </row>
    <row r="243" spans="5:13" x14ac:dyDescent="0.25">
      <c r="E243" s="51" t="e">
        <f>VLOOKUP(A243,'Audience 2020 pivot'!$A$3:$D$409,2,FALSE)</f>
        <v>#N/A</v>
      </c>
      <c r="F243" s="19" t="e">
        <f t="shared" si="35"/>
        <v>#N/A</v>
      </c>
      <c r="G243" s="9" t="e">
        <f t="shared" si="36"/>
        <v>#N/A</v>
      </c>
      <c r="H243" s="198" t="e">
        <f>VLOOKUP(A243,'Audience 2020 pivot'!$A$3:$D$409,3,FALSE)</f>
        <v>#N/A</v>
      </c>
      <c r="I243" s="199" t="e">
        <f t="shared" si="37"/>
        <v>#N/A</v>
      </c>
      <c r="J243" s="9" t="e">
        <f t="shared" si="38"/>
        <v>#N/A</v>
      </c>
      <c r="K243" s="51" t="e">
        <f>VLOOKUP(A243,'Audience 2020 pivot'!$A$3:$D$409,4,FALSE)</f>
        <v>#N/A</v>
      </c>
      <c r="L243" s="51" t="e">
        <f t="shared" si="39"/>
        <v>#N/A</v>
      </c>
      <c r="M243" s="9" t="e">
        <f t="shared" si="40"/>
        <v>#N/A</v>
      </c>
    </row>
    <row r="244" spans="5:13" x14ac:dyDescent="0.25">
      <c r="E244" s="51" t="e">
        <f>VLOOKUP(A244,'Audience 2020 pivot'!$A$3:$D$409,2,FALSE)</f>
        <v>#N/A</v>
      </c>
      <c r="F244" s="19" t="e">
        <f t="shared" si="35"/>
        <v>#N/A</v>
      </c>
      <c r="G244" s="9" t="e">
        <f t="shared" si="36"/>
        <v>#N/A</v>
      </c>
      <c r="H244" s="198" t="e">
        <f>VLOOKUP(A244,'Audience 2020 pivot'!$A$3:$D$409,3,FALSE)</f>
        <v>#N/A</v>
      </c>
      <c r="I244" s="199" t="e">
        <f t="shared" si="37"/>
        <v>#N/A</v>
      </c>
      <c r="J244" s="9" t="e">
        <f t="shared" si="38"/>
        <v>#N/A</v>
      </c>
      <c r="K244" s="51" t="e">
        <f>VLOOKUP(A244,'Audience 2020 pivot'!$A$3:$D$409,4,FALSE)</f>
        <v>#N/A</v>
      </c>
      <c r="L244" s="51" t="e">
        <f t="shared" si="39"/>
        <v>#N/A</v>
      </c>
      <c r="M244" s="9" t="e">
        <f t="shared" si="40"/>
        <v>#N/A</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2:G558"/>
  <sheetViews>
    <sheetView topLeftCell="B1" zoomScale="70" zoomScaleNormal="70" workbookViewId="0">
      <selection activeCell="B22" sqref="B22"/>
    </sheetView>
  </sheetViews>
  <sheetFormatPr defaultRowHeight="15" x14ac:dyDescent="0.25"/>
  <cols>
    <col min="1" max="1" width="30.42578125" bestFit="1" customWidth="1"/>
    <col min="2" max="2" width="14.85546875" bestFit="1" customWidth="1"/>
    <col min="3" max="3" width="23.5703125" bestFit="1" customWidth="1"/>
    <col min="4" max="5" width="13.42578125" bestFit="1" customWidth="1"/>
    <col min="6" max="6" width="15.85546875" bestFit="1" customWidth="1"/>
    <col min="7" max="7" width="16.140625" bestFit="1" customWidth="1"/>
  </cols>
  <sheetData>
    <row r="2" spans="1:7" x14ac:dyDescent="0.25">
      <c r="A2" s="6" t="s">
        <v>1627</v>
      </c>
      <c r="B2" t="s">
        <v>1628</v>
      </c>
    </row>
    <row r="3" spans="1:7" x14ac:dyDescent="0.25">
      <c r="D3" t="s">
        <v>1640</v>
      </c>
    </row>
    <row r="4" spans="1:7" x14ac:dyDescent="0.25">
      <c r="A4" s="6" t="s">
        <v>1630</v>
      </c>
      <c r="B4" t="s">
        <v>1631</v>
      </c>
      <c r="C4" t="s">
        <v>1632</v>
      </c>
      <c r="D4" t="s">
        <v>1641</v>
      </c>
      <c r="E4" s="9"/>
      <c r="F4" s="21"/>
      <c r="G4" s="9"/>
    </row>
    <row r="5" spans="1:7" x14ac:dyDescent="0.25">
      <c r="A5" s="7" t="s">
        <v>122</v>
      </c>
      <c r="B5" s="1">
        <v>28766560</v>
      </c>
      <c r="C5" s="8">
        <v>23.886111111111106</v>
      </c>
      <c r="D5" s="1">
        <v>5989351.8076915154</v>
      </c>
      <c r="E5" s="9"/>
      <c r="F5" s="21"/>
      <c r="G5" s="9"/>
    </row>
    <row r="6" spans="1:7" x14ac:dyDescent="0.25">
      <c r="A6" s="17" t="s">
        <v>149</v>
      </c>
      <c r="B6" s="1">
        <v>28766560</v>
      </c>
      <c r="C6" s="8">
        <v>23.886111111111106</v>
      </c>
      <c r="D6" s="1">
        <v>5989351.8076915154</v>
      </c>
      <c r="E6" s="9"/>
      <c r="F6" s="22"/>
      <c r="G6" s="9"/>
    </row>
    <row r="7" spans="1:7" x14ac:dyDescent="0.25">
      <c r="A7" s="125" t="s">
        <v>183</v>
      </c>
      <c r="B7" s="1">
        <v>17023600</v>
      </c>
      <c r="C7" s="8">
        <v>3.6534722222222218</v>
      </c>
      <c r="D7" s="1">
        <v>3712759.3086894895</v>
      </c>
      <c r="E7" s="9"/>
      <c r="F7" s="21"/>
      <c r="G7" s="9"/>
    </row>
    <row r="8" spans="1:7" x14ac:dyDescent="0.25">
      <c r="A8" s="139" t="s">
        <v>1642</v>
      </c>
      <c r="B8" s="1">
        <v>495000</v>
      </c>
      <c r="C8" s="8">
        <v>2.9861111111111113E-2</v>
      </c>
      <c r="D8" s="1">
        <v>14398.674885179225</v>
      </c>
      <c r="E8" s="9"/>
      <c r="G8" s="9"/>
    </row>
    <row r="9" spans="1:7" x14ac:dyDescent="0.25">
      <c r="A9" s="139" t="s">
        <v>1643</v>
      </c>
      <c r="B9" s="1">
        <v>16528600</v>
      </c>
      <c r="C9" s="8">
        <v>3.6236111111111109</v>
      </c>
      <c r="D9" s="1">
        <v>3698360.6338043101</v>
      </c>
      <c r="E9" s="9"/>
      <c r="F9" s="21"/>
      <c r="G9" s="9"/>
    </row>
    <row r="10" spans="1:7" x14ac:dyDescent="0.25">
      <c r="A10" s="125" t="s">
        <v>220</v>
      </c>
      <c r="B10" s="1">
        <v>8593100</v>
      </c>
      <c r="C10" s="8">
        <v>2.8479166666666669</v>
      </c>
      <c r="D10" s="1">
        <v>1921112.9665717392</v>
      </c>
      <c r="E10" s="9"/>
      <c r="F10" s="22"/>
      <c r="G10" s="141"/>
    </row>
    <row r="11" spans="1:7" x14ac:dyDescent="0.25">
      <c r="A11" s="139" t="s">
        <v>1643</v>
      </c>
      <c r="B11" s="1">
        <v>8458400</v>
      </c>
      <c r="C11" s="8">
        <v>2.7229166666666669</v>
      </c>
      <c r="D11" s="1">
        <v>1904711.2624953447</v>
      </c>
      <c r="E11" s="9"/>
      <c r="G11" s="9"/>
    </row>
    <row r="12" spans="1:7" x14ac:dyDescent="0.25">
      <c r="A12" s="139" t="s">
        <v>1644</v>
      </c>
      <c r="B12" s="1">
        <v>134700</v>
      </c>
      <c r="C12" s="8">
        <v>0.125</v>
      </c>
      <c r="D12" s="1">
        <v>16401.704076394377</v>
      </c>
      <c r="E12" s="9"/>
      <c r="G12" s="9"/>
    </row>
    <row r="13" spans="1:7" x14ac:dyDescent="0.25">
      <c r="A13" s="125" t="s">
        <v>1594</v>
      </c>
      <c r="B13" s="1">
        <v>2909519</v>
      </c>
      <c r="C13" s="8">
        <v>6.7631944444444443</v>
      </c>
      <c r="D13" s="1">
        <v>304188.84098992124</v>
      </c>
    </row>
    <row r="14" spans="1:7" x14ac:dyDescent="0.25">
      <c r="A14" s="139" t="s">
        <v>1642</v>
      </c>
      <c r="B14" s="1">
        <v>729652</v>
      </c>
      <c r="C14" s="8">
        <v>0.81597222222222221</v>
      </c>
      <c r="D14" s="1">
        <v>30048.280143365024</v>
      </c>
      <c r="E14" s="9"/>
      <c r="G14" s="9"/>
    </row>
    <row r="15" spans="1:7" x14ac:dyDescent="0.25">
      <c r="A15" s="139" t="s">
        <v>1643</v>
      </c>
      <c r="B15" s="1">
        <v>33700</v>
      </c>
      <c r="C15" s="8">
        <v>7.7777777777777779E-2</v>
      </c>
      <c r="D15" s="1">
        <v>2596.389687579921</v>
      </c>
      <c r="E15" s="9"/>
      <c r="G15" s="9"/>
    </row>
    <row r="16" spans="1:7" x14ac:dyDescent="0.25">
      <c r="A16" s="139" t="s">
        <v>1644</v>
      </c>
      <c r="B16" s="1">
        <v>2146167</v>
      </c>
      <c r="C16" s="8">
        <v>5.8694444444444445</v>
      </c>
      <c r="D16" s="1">
        <v>271544.17115897627</v>
      </c>
      <c r="E16" s="9"/>
      <c r="F16" s="100"/>
      <c r="G16" s="9"/>
    </row>
    <row r="17" spans="1:7" x14ac:dyDescent="0.25">
      <c r="A17" s="125" t="s">
        <v>187</v>
      </c>
      <c r="B17" s="1">
        <v>192649</v>
      </c>
      <c r="C17" s="8">
        <v>3.5798611111111116</v>
      </c>
      <c r="D17" s="1">
        <v>41423.19205487275</v>
      </c>
      <c r="E17" s="9"/>
      <c r="F17" s="21"/>
      <c r="G17" s="9"/>
    </row>
    <row r="18" spans="1:7" x14ac:dyDescent="0.25">
      <c r="A18" s="139" t="s">
        <v>1642</v>
      </c>
      <c r="B18" s="1">
        <v>3600</v>
      </c>
      <c r="C18" s="8">
        <v>2.0833333333333332E-2</v>
      </c>
      <c r="D18" s="1">
        <v>73.058815485053003</v>
      </c>
      <c r="F18" s="21"/>
    </row>
    <row r="19" spans="1:7" x14ac:dyDescent="0.25">
      <c r="A19" s="139" t="s">
        <v>1643</v>
      </c>
      <c r="B19" s="1">
        <v>189000</v>
      </c>
      <c r="C19" s="8">
        <v>3.4756944444444446</v>
      </c>
      <c r="D19" s="1">
        <v>41346.155592766845</v>
      </c>
      <c r="E19" s="9"/>
      <c r="G19" s="9"/>
    </row>
    <row r="20" spans="1:7" x14ac:dyDescent="0.25">
      <c r="A20" s="139" t="s">
        <v>1644</v>
      </c>
      <c r="B20" s="1">
        <v>49</v>
      </c>
      <c r="C20" s="8">
        <v>8.3333333333333329E-2</v>
      </c>
      <c r="D20" s="1">
        <v>3.9776466208529002</v>
      </c>
      <c r="E20" s="9"/>
    </row>
    <row r="21" spans="1:7" x14ac:dyDescent="0.25">
      <c r="A21" s="125" t="s">
        <v>1573</v>
      </c>
      <c r="B21" s="1">
        <v>33260</v>
      </c>
      <c r="C21" s="8">
        <v>4.666666666666667</v>
      </c>
      <c r="D21" s="1">
        <v>6623.6609505721854</v>
      </c>
      <c r="E21" s="1"/>
      <c r="F21" s="9"/>
    </row>
    <row r="22" spans="1:7" x14ac:dyDescent="0.25">
      <c r="A22" s="139" t="s">
        <v>1643</v>
      </c>
      <c r="B22" s="1">
        <v>23190</v>
      </c>
      <c r="C22" s="8">
        <v>3.625</v>
      </c>
      <c r="D22" s="1">
        <v>5066.4155016517843</v>
      </c>
      <c r="E22" s="9"/>
    </row>
    <row r="23" spans="1:7" x14ac:dyDescent="0.25">
      <c r="A23" s="139" t="s">
        <v>1644</v>
      </c>
      <c r="B23" s="1">
        <v>10070</v>
      </c>
      <c r="C23" s="8">
        <v>1.0416666666666667</v>
      </c>
      <c r="D23" s="1">
        <v>1557.2454489204008</v>
      </c>
      <c r="E23" s="9"/>
      <c r="F23" s="21"/>
      <c r="G23" s="9"/>
    </row>
    <row r="24" spans="1:7" x14ac:dyDescent="0.25">
      <c r="A24" s="125" t="s">
        <v>1574</v>
      </c>
      <c r="B24" s="1">
        <v>14432</v>
      </c>
      <c r="C24" s="8">
        <v>2.375</v>
      </c>
      <c r="D24" s="1">
        <v>3243.8384349200096</v>
      </c>
    </row>
    <row r="25" spans="1:7" x14ac:dyDescent="0.25">
      <c r="A25" s="139" t="s">
        <v>1643</v>
      </c>
      <c r="B25" s="1">
        <v>7872</v>
      </c>
      <c r="C25" s="8">
        <v>1.5416666666666665</v>
      </c>
      <c r="D25" s="1">
        <v>2105.6495103866728</v>
      </c>
    </row>
    <row r="26" spans="1:7" x14ac:dyDescent="0.25">
      <c r="A26" s="139" t="s">
        <v>1644</v>
      </c>
      <c r="B26" s="1">
        <v>6560</v>
      </c>
      <c r="C26" s="8">
        <v>0.83333333333333337</v>
      </c>
      <c r="D26" s="1">
        <v>1138.1889245333366</v>
      </c>
    </row>
    <row r="27" spans="1:7" x14ac:dyDescent="0.25">
      <c r="A27" s="7" t="s">
        <v>24</v>
      </c>
      <c r="B27" s="1">
        <v>28497489</v>
      </c>
      <c r="C27" s="8">
        <v>15.061921296296296</v>
      </c>
      <c r="D27" s="1">
        <v>2247675.7297266657</v>
      </c>
    </row>
    <row r="28" spans="1:7" x14ac:dyDescent="0.25">
      <c r="A28" s="17" t="s">
        <v>149</v>
      </c>
      <c r="B28" s="1">
        <v>28497489</v>
      </c>
      <c r="C28" s="8">
        <v>15.061921296296296</v>
      </c>
      <c r="D28" s="1">
        <v>2247675.7297266657</v>
      </c>
      <c r="E28" s="9"/>
      <c r="G28" s="9"/>
    </row>
    <row r="29" spans="1:7" x14ac:dyDescent="0.25">
      <c r="A29" s="125" t="s">
        <v>268</v>
      </c>
      <c r="B29" s="1">
        <v>18175746</v>
      </c>
      <c r="C29" s="8">
        <v>8.759641203703703</v>
      </c>
      <c r="D29" s="1">
        <v>1478428.538875344</v>
      </c>
      <c r="F29" s="8"/>
    </row>
    <row r="30" spans="1:7" x14ac:dyDescent="0.25">
      <c r="A30" s="139" t="s">
        <v>1642</v>
      </c>
      <c r="B30" s="1">
        <v>2995135</v>
      </c>
      <c r="C30" s="8">
        <v>0.95768518518518519</v>
      </c>
      <c r="D30" s="1">
        <v>84394.73930267604</v>
      </c>
    </row>
    <row r="31" spans="1:7" x14ac:dyDescent="0.25">
      <c r="A31" s="139" t="s">
        <v>1643</v>
      </c>
      <c r="B31" s="1">
        <v>13070896</v>
      </c>
      <c r="C31" s="8">
        <v>6.1838194444444445</v>
      </c>
      <c r="D31" s="1">
        <v>1261984.7855912389</v>
      </c>
    </row>
    <row r="32" spans="1:7" x14ac:dyDescent="0.25">
      <c r="A32" s="139" t="s">
        <v>1644</v>
      </c>
      <c r="B32" s="1">
        <v>2109715</v>
      </c>
      <c r="C32" s="8">
        <v>1.6181365740740741</v>
      </c>
      <c r="D32" s="1">
        <v>132049.01398142919</v>
      </c>
    </row>
    <row r="33" spans="1:4" x14ac:dyDescent="0.25">
      <c r="A33" s="125" t="s">
        <v>269</v>
      </c>
      <c r="B33" s="1">
        <v>10321743</v>
      </c>
      <c r="C33" s="8">
        <v>6.3022800925925928</v>
      </c>
      <c r="D33" s="1">
        <v>769247.19085132144</v>
      </c>
    </row>
    <row r="34" spans="1:4" x14ac:dyDescent="0.25">
      <c r="A34" s="139" t="s">
        <v>1642</v>
      </c>
      <c r="B34" s="1">
        <v>1918900</v>
      </c>
      <c r="C34" s="8">
        <v>0.83843749999999995</v>
      </c>
      <c r="D34" s="1">
        <v>58457.551142343364</v>
      </c>
    </row>
    <row r="35" spans="1:4" x14ac:dyDescent="0.25">
      <c r="A35" s="139" t="s">
        <v>1643</v>
      </c>
      <c r="B35" s="1">
        <v>6028551</v>
      </c>
      <c r="C35" s="8">
        <v>3.0458796296296295</v>
      </c>
      <c r="D35" s="1">
        <v>566377.20412267605</v>
      </c>
    </row>
    <row r="36" spans="1:4" x14ac:dyDescent="0.25">
      <c r="A36" s="139" t="s">
        <v>1644</v>
      </c>
      <c r="B36" s="1">
        <v>2374292</v>
      </c>
      <c r="C36" s="8">
        <v>2.4179629629629629</v>
      </c>
      <c r="D36" s="1">
        <v>144412.43558630202</v>
      </c>
    </row>
    <row r="37" spans="1:4" x14ac:dyDescent="0.25">
      <c r="A37" s="7" t="s">
        <v>56</v>
      </c>
      <c r="B37" s="1">
        <v>14502618</v>
      </c>
      <c r="C37" s="8">
        <v>14.097685185185185</v>
      </c>
      <c r="D37" s="1">
        <v>994020.71465399477</v>
      </c>
    </row>
    <row r="38" spans="1:4" x14ac:dyDescent="0.25">
      <c r="A38" s="17" t="s">
        <v>142</v>
      </c>
      <c r="B38" s="1">
        <v>13513775</v>
      </c>
      <c r="C38" s="8">
        <v>7.795405092592592</v>
      </c>
      <c r="D38" s="1">
        <v>921650.63027638581</v>
      </c>
    </row>
    <row r="39" spans="1:4" x14ac:dyDescent="0.25">
      <c r="A39" s="125" t="s">
        <v>268</v>
      </c>
      <c r="B39" s="1">
        <v>13513775</v>
      </c>
      <c r="C39" s="8">
        <v>7.795405092592592</v>
      </c>
      <c r="D39" s="1">
        <v>921650.63027638581</v>
      </c>
    </row>
    <row r="40" spans="1:4" x14ac:dyDescent="0.25">
      <c r="A40" s="139" t="s">
        <v>1642</v>
      </c>
      <c r="B40" s="1">
        <v>2219900</v>
      </c>
      <c r="C40" s="8">
        <v>0.98739583333333336</v>
      </c>
      <c r="D40" s="1">
        <v>42868.23726444639</v>
      </c>
    </row>
    <row r="41" spans="1:4" x14ac:dyDescent="0.25">
      <c r="A41" s="139" t="s">
        <v>1643</v>
      </c>
      <c r="B41" s="1">
        <v>10162267</v>
      </c>
      <c r="C41" s="8">
        <v>5.3803819444444443</v>
      </c>
      <c r="D41" s="1">
        <v>817343.16426436917</v>
      </c>
    </row>
    <row r="42" spans="1:4" x14ac:dyDescent="0.25">
      <c r="A42" s="139" t="s">
        <v>1644</v>
      </c>
      <c r="B42" s="1">
        <v>1131608</v>
      </c>
      <c r="C42" s="8">
        <v>1.4276273148148149</v>
      </c>
      <c r="D42" s="1">
        <v>61439.228747570342</v>
      </c>
    </row>
    <row r="43" spans="1:4" x14ac:dyDescent="0.25">
      <c r="A43" s="17" t="s">
        <v>149</v>
      </c>
      <c r="B43" s="1">
        <v>988843</v>
      </c>
      <c r="C43" s="8">
        <v>6.3022800925925928</v>
      </c>
      <c r="D43" s="1">
        <v>72370.084377608975</v>
      </c>
    </row>
    <row r="44" spans="1:4" x14ac:dyDescent="0.25">
      <c r="A44" s="125" t="s">
        <v>269</v>
      </c>
      <c r="B44" s="1">
        <v>988843</v>
      </c>
      <c r="C44" s="8">
        <v>6.3022800925925928</v>
      </c>
      <c r="D44" s="1">
        <v>72370.084377608975</v>
      </c>
    </row>
    <row r="45" spans="1:4" x14ac:dyDescent="0.25">
      <c r="A45" s="139" t="s">
        <v>1642</v>
      </c>
      <c r="B45" s="1">
        <v>174026</v>
      </c>
      <c r="C45" s="8">
        <v>0.83843749999999995</v>
      </c>
      <c r="D45" s="1">
        <v>5084.8596293139481</v>
      </c>
    </row>
    <row r="46" spans="1:4" x14ac:dyDescent="0.25">
      <c r="A46" s="139" t="s">
        <v>1643</v>
      </c>
      <c r="B46" s="1">
        <v>621969</v>
      </c>
      <c r="C46" s="8">
        <v>3.0458796296296295</v>
      </c>
      <c r="D46" s="1">
        <v>56112.133254268316</v>
      </c>
    </row>
    <row r="47" spans="1:4" x14ac:dyDescent="0.25">
      <c r="A47" s="139" t="s">
        <v>1644</v>
      </c>
      <c r="B47" s="1">
        <v>192848</v>
      </c>
      <c r="C47" s="8">
        <v>2.4179629629629629</v>
      </c>
      <c r="D47" s="1">
        <v>11173.09149402671</v>
      </c>
    </row>
    <row r="48" spans="1:4" x14ac:dyDescent="0.25">
      <c r="A48" s="7" t="s">
        <v>35</v>
      </c>
      <c r="B48" s="1">
        <v>11949231</v>
      </c>
      <c r="C48" s="8">
        <v>16.898611111111112</v>
      </c>
      <c r="D48" s="1">
        <v>1853523.1853359491</v>
      </c>
    </row>
    <row r="49" spans="1:4" x14ac:dyDescent="0.25">
      <c r="A49" s="17" t="s">
        <v>149</v>
      </c>
      <c r="B49" s="1">
        <v>11949231</v>
      </c>
      <c r="C49" s="8">
        <v>16.898611111111112</v>
      </c>
      <c r="D49" s="1">
        <v>1853523.1853359491</v>
      </c>
    </row>
    <row r="50" spans="1:4" x14ac:dyDescent="0.25">
      <c r="A50" s="125" t="s">
        <v>492</v>
      </c>
      <c r="B50" s="1">
        <v>7538232</v>
      </c>
      <c r="C50" s="8">
        <v>8.0687499999999996</v>
      </c>
      <c r="D50" s="1">
        <v>1029440.3566770391</v>
      </c>
    </row>
    <row r="51" spans="1:4" x14ac:dyDescent="0.25">
      <c r="A51" s="139" t="s">
        <v>1642</v>
      </c>
      <c r="B51" s="1">
        <v>405500</v>
      </c>
      <c r="C51" s="8">
        <v>5.0694444444444452E-2</v>
      </c>
      <c r="D51" s="1">
        <v>6353.8356231346661</v>
      </c>
    </row>
    <row r="52" spans="1:4" x14ac:dyDescent="0.25">
      <c r="A52" s="139" t="s">
        <v>1643</v>
      </c>
      <c r="B52" s="1">
        <v>6650233</v>
      </c>
      <c r="C52" s="8">
        <v>6.6916666666666664</v>
      </c>
      <c r="D52" s="1">
        <v>974487.17641881225</v>
      </c>
    </row>
    <row r="53" spans="1:4" x14ac:dyDescent="0.25">
      <c r="A53" s="139" t="s">
        <v>1644</v>
      </c>
      <c r="B53" s="1">
        <v>482499</v>
      </c>
      <c r="C53" s="8">
        <v>1.3263888888888888</v>
      </c>
      <c r="D53" s="1">
        <v>48599.344635092246</v>
      </c>
    </row>
    <row r="54" spans="1:4" x14ac:dyDescent="0.25">
      <c r="A54" s="125" t="s">
        <v>481</v>
      </c>
      <c r="B54" s="1">
        <v>3591002</v>
      </c>
      <c r="C54" s="8">
        <v>5.5201388888888889</v>
      </c>
      <c r="D54" s="1">
        <v>698346.02787018812</v>
      </c>
    </row>
    <row r="55" spans="1:4" x14ac:dyDescent="0.25">
      <c r="A55" s="139" t="s">
        <v>1643</v>
      </c>
      <c r="B55" s="1">
        <v>3552602</v>
      </c>
      <c r="C55" s="8">
        <v>5.2680555555555557</v>
      </c>
      <c r="D55" s="1">
        <v>695162.28445313277</v>
      </c>
    </row>
    <row r="56" spans="1:4" x14ac:dyDescent="0.25">
      <c r="A56" s="139" t="s">
        <v>1644</v>
      </c>
      <c r="B56" s="1">
        <v>38400</v>
      </c>
      <c r="C56" s="8">
        <v>0.25208333333333333</v>
      </c>
      <c r="D56" s="1">
        <v>3183.7434170553101</v>
      </c>
    </row>
    <row r="57" spans="1:4" x14ac:dyDescent="0.25">
      <c r="A57" s="125" t="s">
        <v>486</v>
      </c>
      <c r="B57" s="1">
        <v>411196</v>
      </c>
      <c r="C57" s="8">
        <v>1.7249999999999999</v>
      </c>
      <c r="D57" s="1">
        <v>60973.869745838449</v>
      </c>
    </row>
    <row r="58" spans="1:4" x14ac:dyDescent="0.25">
      <c r="A58" s="139" t="s">
        <v>1643</v>
      </c>
      <c r="B58" s="1">
        <v>299196</v>
      </c>
      <c r="C58" s="8">
        <v>0.87083333333333324</v>
      </c>
      <c r="D58" s="1">
        <v>50586.635811584099</v>
      </c>
    </row>
    <row r="59" spans="1:4" x14ac:dyDescent="0.25">
      <c r="A59" s="139" t="s">
        <v>1644</v>
      </c>
      <c r="B59" s="1">
        <v>112000</v>
      </c>
      <c r="C59" s="8">
        <v>0.85416666666666663</v>
      </c>
      <c r="D59" s="1">
        <v>10387.233934254349</v>
      </c>
    </row>
    <row r="60" spans="1:4" x14ac:dyDescent="0.25">
      <c r="A60" s="125" t="s">
        <v>498</v>
      </c>
      <c r="B60" s="1">
        <v>408801</v>
      </c>
      <c r="C60" s="8">
        <v>1.5847222222222221</v>
      </c>
      <c r="D60" s="1">
        <v>64762.9310428834</v>
      </c>
    </row>
    <row r="61" spans="1:4" x14ac:dyDescent="0.25">
      <c r="A61" s="139" t="s">
        <v>1643</v>
      </c>
      <c r="B61" s="1">
        <v>317000</v>
      </c>
      <c r="C61" s="8">
        <v>0.59791666666666665</v>
      </c>
      <c r="D61" s="1">
        <v>57448.887758273086</v>
      </c>
    </row>
    <row r="62" spans="1:4" x14ac:dyDescent="0.25">
      <c r="A62" s="139" t="s">
        <v>1644</v>
      </c>
      <c r="B62" s="1">
        <v>91801</v>
      </c>
      <c r="C62" s="8">
        <v>0.9868055555555556</v>
      </c>
      <c r="D62" s="1">
        <v>7314.0432846103113</v>
      </c>
    </row>
    <row r="63" spans="1:4" x14ac:dyDescent="0.25">
      <c r="A63" s="7" t="s">
        <v>38</v>
      </c>
      <c r="B63" s="1">
        <v>9833675</v>
      </c>
      <c r="C63" s="8">
        <v>13.815659722222222</v>
      </c>
      <c r="D63" s="1">
        <v>344694.4530953184</v>
      </c>
    </row>
    <row r="64" spans="1:4" x14ac:dyDescent="0.25">
      <c r="A64" s="17" t="s">
        <v>142</v>
      </c>
      <c r="B64" s="1">
        <v>8160376</v>
      </c>
      <c r="C64" s="8">
        <v>4.3781597222222226</v>
      </c>
      <c r="D64" s="1">
        <v>276785.86921015615</v>
      </c>
    </row>
    <row r="65" spans="1:4" x14ac:dyDescent="0.25">
      <c r="A65" s="125" t="s">
        <v>515</v>
      </c>
      <c r="B65" s="1">
        <v>5930257</v>
      </c>
      <c r="C65" s="8">
        <v>2.3267592592592594</v>
      </c>
      <c r="D65" s="1">
        <v>204784.15276700704</v>
      </c>
    </row>
    <row r="66" spans="1:4" x14ac:dyDescent="0.25">
      <c r="A66" s="139" t="s">
        <v>1642</v>
      </c>
      <c r="B66" s="1">
        <v>84641</v>
      </c>
      <c r="C66" s="8">
        <v>3.5034722222222224E-2</v>
      </c>
      <c r="D66" s="1">
        <v>901.23081156440981</v>
      </c>
    </row>
    <row r="67" spans="1:4" x14ac:dyDescent="0.25">
      <c r="A67" s="139" t="s">
        <v>1643</v>
      </c>
      <c r="B67" s="1">
        <v>4516253</v>
      </c>
      <c r="C67" s="8">
        <v>2.1389814814814816</v>
      </c>
      <c r="D67" s="1">
        <v>174382.04456394442</v>
      </c>
    </row>
    <row r="68" spans="1:4" x14ac:dyDescent="0.25">
      <c r="A68" s="139" t="s">
        <v>1644</v>
      </c>
      <c r="B68" s="1">
        <v>1329363</v>
      </c>
      <c r="C68" s="8">
        <v>0.15274305555555556</v>
      </c>
      <c r="D68" s="1">
        <v>29500.877391498212</v>
      </c>
    </row>
    <row r="69" spans="1:4" x14ac:dyDescent="0.25">
      <c r="A69" s="125" t="s">
        <v>518</v>
      </c>
      <c r="B69" s="1">
        <v>2230119</v>
      </c>
      <c r="C69" s="8">
        <v>2.0514004629629632</v>
      </c>
      <c r="D69" s="1">
        <v>72001.71644314914</v>
      </c>
    </row>
    <row r="70" spans="1:4" x14ac:dyDescent="0.25">
      <c r="A70" s="139" t="s">
        <v>1643</v>
      </c>
      <c r="B70" s="1">
        <v>1058920</v>
      </c>
      <c r="C70" s="8">
        <v>1.5625</v>
      </c>
      <c r="D70" s="1">
        <v>49423.42945222155</v>
      </c>
    </row>
    <row r="71" spans="1:4" x14ac:dyDescent="0.25">
      <c r="A71" s="139" t="s">
        <v>1644</v>
      </c>
      <c r="B71" s="1">
        <v>1171199</v>
      </c>
      <c r="C71" s="8">
        <v>0.48890046296296297</v>
      </c>
      <c r="D71" s="1">
        <v>22578.286990927583</v>
      </c>
    </row>
    <row r="72" spans="1:4" x14ac:dyDescent="0.25">
      <c r="A72" s="17" t="s">
        <v>149</v>
      </c>
      <c r="B72" s="1">
        <v>1673299</v>
      </c>
      <c r="C72" s="8">
        <v>9.4375</v>
      </c>
      <c r="D72" s="1">
        <v>67908.583885162239</v>
      </c>
    </row>
    <row r="73" spans="1:4" x14ac:dyDescent="0.25">
      <c r="A73" s="125" t="s">
        <v>548</v>
      </c>
      <c r="B73" s="1">
        <v>1600323</v>
      </c>
      <c r="C73" s="8">
        <v>9.1875</v>
      </c>
      <c r="D73" s="1">
        <v>67050.336696488972</v>
      </c>
    </row>
    <row r="74" spans="1:4" x14ac:dyDescent="0.25">
      <c r="A74" s="139" t="s">
        <v>1642</v>
      </c>
      <c r="B74" s="1">
        <v>1127704</v>
      </c>
      <c r="C74" s="8">
        <v>3.1041666666666665</v>
      </c>
      <c r="D74" s="1">
        <v>10966.418518723094</v>
      </c>
    </row>
    <row r="75" spans="1:4" x14ac:dyDescent="0.25">
      <c r="A75" s="139" t="s">
        <v>1643</v>
      </c>
      <c r="B75" s="1">
        <v>472619</v>
      </c>
      <c r="C75" s="8">
        <v>6.083333333333333</v>
      </c>
      <c r="D75" s="1">
        <v>56083.918177765881</v>
      </c>
    </row>
    <row r="76" spans="1:4" x14ac:dyDescent="0.25">
      <c r="A76" s="125" t="s">
        <v>549</v>
      </c>
      <c r="B76" s="1">
        <v>72976</v>
      </c>
      <c r="C76" s="8">
        <v>0.25</v>
      </c>
      <c r="D76" s="1">
        <v>858.24718867326328</v>
      </c>
    </row>
    <row r="77" spans="1:4" x14ac:dyDescent="0.25">
      <c r="A77" s="139" t="s">
        <v>1642</v>
      </c>
      <c r="B77" s="1">
        <v>72976</v>
      </c>
      <c r="C77" s="8">
        <v>0.25</v>
      </c>
      <c r="D77" s="1">
        <v>858.24718867326328</v>
      </c>
    </row>
    <row r="78" spans="1:4" x14ac:dyDescent="0.25">
      <c r="A78" s="7" t="s">
        <v>31</v>
      </c>
      <c r="B78" s="1">
        <v>8758918</v>
      </c>
      <c r="C78" s="8">
        <v>16.545138888888889</v>
      </c>
      <c r="D78" s="1">
        <v>584144.23929966928</v>
      </c>
    </row>
    <row r="79" spans="1:4" x14ac:dyDescent="0.25">
      <c r="A79" s="17" t="s">
        <v>149</v>
      </c>
      <c r="B79" s="1">
        <v>8758918</v>
      </c>
      <c r="C79" s="8">
        <v>16.545138888888889</v>
      </c>
      <c r="D79" s="1">
        <v>584144.23929966928</v>
      </c>
    </row>
    <row r="80" spans="1:4" x14ac:dyDescent="0.25">
      <c r="A80" s="125" t="s">
        <v>421</v>
      </c>
      <c r="B80" s="1">
        <v>7059037</v>
      </c>
      <c r="C80" s="8">
        <v>6.8263888888888884</v>
      </c>
      <c r="D80" s="1">
        <v>411282.48946595634</v>
      </c>
    </row>
    <row r="81" spans="1:4" x14ac:dyDescent="0.25">
      <c r="A81" s="139" t="s">
        <v>1643</v>
      </c>
      <c r="B81" s="1">
        <v>6962772</v>
      </c>
      <c r="C81" s="8">
        <v>6.6180555555555554</v>
      </c>
      <c r="D81" s="1">
        <v>405775.14346504898</v>
      </c>
    </row>
    <row r="82" spans="1:4" x14ac:dyDescent="0.25">
      <c r="A82" s="139" t="s">
        <v>1644</v>
      </c>
      <c r="B82" s="1">
        <v>96265</v>
      </c>
      <c r="C82" s="8">
        <v>0.20833333333333334</v>
      </c>
      <c r="D82" s="1">
        <v>5507.3460009073324</v>
      </c>
    </row>
    <row r="83" spans="1:4" x14ac:dyDescent="0.25">
      <c r="A83" s="125" t="s">
        <v>183</v>
      </c>
      <c r="B83" s="1">
        <v>1291375</v>
      </c>
      <c r="C83" s="8">
        <v>7.09375</v>
      </c>
      <c r="D83" s="1">
        <v>145289.72932723502</v>
      </c>
    </row>
    <row r="84" spans="1:4" x14ac:dyDescent="0.25">
      <c r="A84" s="139" t="s">
        <v>1642</v>
      </c>
      <c r="B84" s="1">
        <v>214971</v>
      </c>
      <c r="C84" s="8">
        <v>0.69791666666666663</v>
      </c>
      <c r="D84" s="1">
        <v>4699.4722412482815</v>
      </c>
    </row>
    <row r="85" spans="1:4" x14ac:dyDescent="0.25">
      <c r="A85" s="139" t="s">
        <v>1643</v>
      </c>
      <c r="B85" s="1">
        <v>1015184</v>
      </c>
      <c r="C85" s="8">
        <v>5.9375</v>
      </c>
      <c r="D85" s="1">
        <v>136788.93883549137</v>
      </c>
    </row>
    <row r="86" spans="1:4" x14ac:dyDescent="0.25">
      <c r="A86" s="139" t="s">
        <v>1644</v>
      </c>
      <c r="B86" s="1">
        <v>61220</v>
      </c>
      <c r="C86" s="8">
        <v>0.45833333333333331</v>
      </c>
      <c r="D86" s="1">
        <v>3801.3182504953538</v>
      </c>
    </row>
    <row r="87" spans="1:4" x14ac:dyDescent="0.25">
      <c r="A87" s="125" t="s">
        <v>185</v>
      </c>
      <c r="B87" s="1">
        <v>272958</v>
      </c>
      <c r="C87" s="8">
        <v>2</v>
      </c>
      <c r="D87" s="1">
        <v>19728.708178568875</v>
      </c>
    </row>
    <row r="88" spans="1:4" x14ac:dyDescent="0.25">
      <c r="A88" s="139" t="s">
        <v>1642</v>
      </c>
      <c r="B88" s="1">
        <v>20433</v>
      </c>
      <c r="C88" s="8">
        <v>4.1666666666666664E-2</v>
      </c>
      <c r="D88" s="1">
        <v>457.55769571029589</v>
      </c>
    </row>
    <row r="89" spans="1:4" x14ac:dyDescent="0.25">
      <c r="A89" s="139" t="s">
        <v>1643</v>
      </c>
      <c r="B89" s="1">
        <v>38255</v>
      </c>
      <c r="C89" s="8">
        <v>0.20833333333333334</v>
      </c>
      <c r="D89" s="1">
        <v>3621.3679888884926</v>
      </c>
    </row>
    <row r="90" spans="1:4" x14ac:dyDescent="0.25">
      <c r="A90" s="139" t="s">
        <v>1644</v>
      </c>
      <c r="B90" s="1">
        <v>214270</v>
      </c>
      <c r="C90" s="8">
        <v>1.75</v>
      </c>
      <c r="D90" s="1">
        <v>15649.782493970086</v>
      </c>
    </row>
    <row r="91" spans="1:4" x14ac:dyDescent="0.25">
      <c r="A91" s="125" t="s">
        <v>420</v>
      </c>
      <c r="B91" s="1">
        <v>74328</v>
      </c>
      <c r="C91" s="8">
        <v>0.20833333333333334</v>
      </c>
      <c r="D91" s="1">
        <v>4128.3537804246516</v>
      </c>
    </row>
    <row r="92" spans="1:4" x14ac:dyDescent="0.25">
      <c r="A92" s="139" t="s">
        <v>1644</v>
      </c>
      <c r="B92" s="1">
        <v>74328</v>
      </c>
      <c r="C92" s="8">
        <v>0.20833333333333334</v>
      </c>
      <c r="D92" s="1">
        <v>4128.3537804246516</v>
      </c>
    </row>
    <row r="93" spans="1:4" x14ac:dyDescent="0.25">
      <c r="A93" s="125" t="s">
        <v>412</v>
      </c>
      <c r="B93" s="1">
        <v>61220</v>
      </c>
      <c r="C93" s="8">
        <v>0.41666666666666669</v>
      </c>
      <c r="D93" s="1">
        <v>3714.9585474842343</v>
      </c>
    </row>
    <row r="94" spans="1:4" x14ac:dyDescent="0.25">
      <c r="A94" s="139" t="s">
        <v>1644</v>
      </c>
      <c r="B94" s="1">
        <v>61220</v>
      </c>
      <c r="C94" s="8">
        <v>0.41666666666666669</v>
      </c>
      <c r="D94" s="1">
        <v>3714.9585474842343</v>
      </c>
    </row>
    <row r="95" spans="1:4" x14ac:dyDescent="0.25">
      <c r="A95" s="7" t="s">
        <v>121</v>
      </c>
      <c r="B95" s="1">
        <v>6013000</v>
      </c>
      <c r="C95" s="8">
        <v>0.15528935185185186</v>
      </c>
      <c r="D95" s="1">
        <v>431952.20764704118</v>
      </c>
    </row>
    <row r="96" spans="1:4" x14ac:dyDescent="0.25">
      <c r="A96" s="17" t="s">
        <v>142</v>
      </c>
      <c r="B96" s="1">
        <v>6013000</v>
      </c>
      <c r="C96" s="8">
        <v>0.15528935185185186</v>
      </c>
      <c r="D96" s="1">
        <v>431952.20764704118</v>
      </c>
    </row>
    <row r="97" spans="1:4" x14ac:dyDescent="0.25">
      <c r="A97" s="125" t="s">
        <v>1560</v>
      </c>
      <c r="B97" s="1">
        <v>6013000</v>
      </c>
      <c r="C97" s="8">
        <v>0.15528935185185186</v>
      </c>
      <c r="D97" s="1">
        <v>431952.20764704118</v>
      </c>
    </row>
    <row r="98" spans="1:4" x14ac:dyDescent="0.25">
      <c r="A98" s="139" t="s">
        <v>1643</v>
      </c>
      <c r="B98" s="1">
        <v>6013000</v>
      </c>
      <c r="C98" s="8">
        <v>0.15528935185185186</v>
      </c>
      <c r="D98" s="1">
        <v>431952.20764704118</v>
      </c>
    </row>
    <row r="99" spans="1:4" x14ac:dyDescent="0.25">
      <c r="A99" s="7" t="s">
        <v>89</v>
      </c>
      <c r="B99" s="1">
        <v>5167338</v>
      </c>
      <c r="C99" s="8">
        <v>15.00082175925926</v>
      </c>
      <c r="D99" s="1">
        <v>220043.65806066743</v>
      </c>
    </row>
    <row r="100" spans="1:4" x14ac:dyDescent="0.25">
      <c r="A100" s="17" t="s">
        <v>149</v>
      </c>
      <c r="B100" s="1">
        <v>5167338</v>
      </c>
      <c r="C100" s="8">
        <v>15.00082175925926</v>
      </c>
      <c r="D100" s="1">
        <v>220043.65806066743</v>
      </c>
    </row>
    <row r="101" spans="1:4" x14ac:dyDescent="0.25">
      <c r="A101" s="125" t="s">
        <v>268</v>
      </c>
      <c r="B101" s="1">
        <v>3496790</v>
      </c>
      <c r="C101" s="8">
        <v>8.6985416666666673</v>
      </c>
      <c r="D101" s="1">
        <v>133688.5916002148</v>
      </c>
    </row>
    <row r="102" spans="1:4" x14ac:dyDescent="0.25">
      <c r="A102" s="139" t="s">
        <v>1642</v>
      </c>
      <c r="B102" s="1">
        <v>1766528</v>
      </c>
      <c r="C102" s="8">
        <v>1.5891319444444445</v>
      </c>
      <c r="D102" s="1">
        <v>20583.586778799301</v>
      </c>
    </row>
    <row r="103" spans="1:4" x14ac:dyDescent="0.25">
      <c r="A103" s="139" t="s">
        <v>1643</v>
      </c>
      <c r="B103" s="1">
        <v>1490619</v>
      </c>
      <c r="C103" s="8">
        <v>5.6700925925925922</v>
      </c>
      <c r="D103" s="1">
        <v>103675.1315104314</v>
      </c>
    </row>
    <row r="104" spans="1:4" x14ac:dyDescent="0.25">
      <c r="A104" s="139" t="s">
        <v>1644</v>
      </c>
      <c r="B104" s="1">
        <v>239643</v>
      </c>
      <c r="C104" s="8">
        <v>1.4393171296296297</v>
      </c>
      <c r="D104" s="1">
        <v>9429.8733109840869</v>
      </c>
    </row>
    <row r="105" spans="1:4" x14ac:dyDescent="0.25">
      <c r="A105" s="125" t="s">
        <v>269</v>
      </c>
      <c r="B105" s="1">
        <v>1670548</v>
      </c>
      <c r="C105" s="8">
        <v>6.3022800925925928</v>
      </c>
      <c r="D105" s="1">
        <v>86355.066460452654</v>
      </c>
    </row>
    <row r="106" spans="1:4" x14ac:dyDescent="0.25">
      <c r="A106" s="139" t="s">
        <v>1642</v>
      </c>
      <c r="B106" s="1">
        <v>377969</v>
      </c>
      <c r="C106" s="8">
        <v>0.83843749999999995</v>
      </c>
      <c r="D106" s="1">
        <v>7754.9489623043019</v>
      </c>
    </row>
    <row r="107" spans="1:4" x14ac:dyDescent="0.25">
      <c r="A107" s="139" t="s">
        <v>1643</v>
      </c>
      <c r="B107" s="1">
        <v>965628</v>
      </c>
      <c r="C107" s="8">
        <v>3.0458796296296295</v>
      </c>
      <c r="D107" s="1">
        <v>64584.693160707284</v>
      </c>
    </row>
    <row r="108" spans="1:4" x14ac:dyDescent="0.25">
      <c r="A108" s="139" t="s">
        <v>1644</v>
      </c>
      <c r="B108" s="1">
        <v>326951</v>
      </c>
      <c r="C108" s="8">
        <v>2.4179629629629629</v>
      </c>
      <c r="D108" s="1">
        <v>14015.424337441078</v>
      </c>
    </row>
    <row r="109" spans="1:4" x14ac:dyDescent="0.25">
      <c r="A109" s="7" t="s">
        <v>100</v>
      </c>
      <c r="B109" s="1">
        <v>4861631</v>
      </c>
      <c r="C109" s="8">
        <v>15.635787037037039</v>
      </c>
      <c r="D109" s="1">
        <v>153094.55749359541</v>
      </c>
    </row>
    <row r="110" spans="1:4" x14ac:dyDescent="0.25">
      <c r="A110" s="17" t="s">
        <v>149</v>
      </c>
      <c r="B110" s="1">
        <v>4861631</v>
      </c>
      <c r="C110" s="8">
        <v>15.635787037037039</v>
      </c>
      <c r="D110" s="1">
        <v>153094.55749359541</v>
      </c>
    </row>
    <row r="111" spans="1:4" x14ac:dyDescent="0.25">
      <c r="A111" s="125" t="s">
        <v>268</v>
      </c>
      <c r="B111" s="1">
        <v>3092766</v>
      </c>
      <c r="C111" s="8">
        <v>8.988321759259259</v>
      </c>
      <c r="D111" s="1">
        <v>88518.541962185904</v>
      </c>
    </row>
    <row r="112" spans="1:4" x14ac:dyDescent="0.25">
      <c r="A112" s="139" t="s">
        <v>1642</v>
      </c>
      <c r="B112" s="1">
        <v>348800</v>
      </c>
      <c r="C112" s="8">
        <v>0.880925925925926</v>
      </c>
      <c r="D112" s="1">
        <v>3805.019759240502</v>
      </c>
    </row>
    <row r="113" spans="1:4" x14ac:dyDescent="0.25">
      <c r="A113" s="139" t="s">
        <v>1643</v>
      </c>
      <c r="B113" s="1">
        <v>2435454</v>
      </c>
      <c r="C113" s="8">
        <v>6.4103935185185188</v>
      </c>
      <c r="D113" s="1">
        <v>78133.320590008923</v>
      </c>
    </row>
    <row r="114" spans="1:4" x14ac:dyDescent="0.25">
      <c r="A114" s="139" t="s">
        <v>1644</v>
      </c>
      <c r="B114" s="1">
        <v>308512</v>
      </c>
      <c r="C114" s="8">
        <v>1.697002314814815</v>
      </c>
      <c r="D114" s="1">
        <v>6580.2016129364847</v>
      </c>
    </row>
    <row r="115" spans="1:4" x14ac:dyDescent="0.25">
      <c r="A115" s="125" t="s">
        <v>269</v>
      </c>
      <c r="B115" s="1">
        <v>1768865</v>
      </c>
      <c r="C115" s="8">
        <v>6.6474652777777781</v>
      </c>
      <c r="D115" s="1">
        <v>64576.01553140951</v>
      </c>
    </row>
    <row r="116" spans="1:4" x14ac:dyDescent="0.25">
      <c r="A116" s="139" t="s">
        <v>1642</v>
      </c>
      <c r="B116" s="1">
        <v>177349</v>
      </c>
      <c r="C116" s="8">
        <v>0.76940972222222215</v>
      </c>
      <c r="D116" s="1">
        <v>2274.7558738214802</v>
      </c>
    </row>
    <row r="117" spans="1:4" x14ac:dyDescent="0.25">
      <c r="A117" s="139" t="s">
        <v>1643</v>
      </c>
      <c r="B117" s="1">
        <v>1138696</v>
      </c>
      <c r="C117" s="8">
        <v>3.4084722222222221</v>
      </c>
      <c r="D117" s="1">
        <v>53607.552691163713</v>
      </c>
    </row>
    <row r="118" spans="1:4" x14ac:dyDescent="0.25">
      <c r="A118" s="139" t="s">
        <v>1644</v>
      </c>
      <c r="B118" s="1">
        <v>452820</v>
      </c>
      <c r="C118" s="8">
        <v>2.4695833333333335</v>
      </c>
      <c r="D118" s="1">
        <v>8693.706966424319</v>
      </c>
    </row>
    <row r="119" spans="1:4" x14ac:dyDescent="0.25">
      <c r="A119" s="7" t="s">
        <v>21</v>
      </c>
      <c r="B119" s="1">
        <v>4582952</v>
      </c>
      <c r="C119" s="8">
        <v>27.326388888888889</v>
      </c>
      <c r="D119" s="1">
        <v>107466.42405814803</v>
      </c>
    </row>
    <row r="120" spans="1:4" x14ac:dyDescent="0.25">
      <c r="A120" s="17" t="s">
        <v>149</v>
      </c>
      <c r="B120" s="1">
        <v>4582952</v>
      </c>
      <c r="C120" s="8">
        <v>27.326388888888889</v>
      </c>
      <c r="D120" s="1">
        <v>107466.42405814803</v>
      </c>
    </row>
    <row r="121" spans="1:4" x14ac:dyDescent="0.25">
      <c r="A121" s="125" t="s">
        <v>1280</v>
      </c>
      <c r="B121" s="1">
        <v>2363467</v>
      </c>
      <c r="C121" s="8">
        <v>13.752777777777778</v>
      </c>
      <c r="D121" s="1">
        <v>49254.080691890893</v>
      </c>
    </row>
    <row r="122" spans="1:4" x14ac:dyDescent="0.25">
      <c r="A122" s="139" t="s">
        <v>1642</v>
      </c>
      <c r="B122" s="1">
        <v>804964</v>
      </c>
      <c r="C122" s="8">
        <v>3.0236111111111112</v>
      </c>
      <c r="D122" s="1">
        <v>5516.5176423035091</v>
      </c>
    </row>
    <row r="123" spans="1:4" x14ac:dyDescent="0.25">
      <c r="A123" s="139" t="s">
        <v>1643</v>
      </c>
      <c r="B123" s="1">
        <v>1114540</v>
      </c>
      <c r="C123" s="8">
        <v>4.5368055555555555</v>
      </c>
      <c r="D123" s="1">
        <v>30659.814745212574</v>
      </c>
    </row>
    <row r="124" spans="1:4" x14ac:dyDescent="0.25">
      <c r="A124" s="139" t="s">
        <v>1644</v>
      </c>
      <c r="B124" s="1">
        <v>443963</v>
      </c>
      <c r="C124" s="8">
        <v>6.1923611111111114</v>
      </c>
      <c r="D124" s="1">
        <v>13077.748304374809</v>
      </c>
    </row>
    <row r="125" spans="1:4" x14ac:dyDescent="0.25">
      <c r="A125" s="125" t="s">
        <v>1546</v>
      </c>
      <c r="B125" s="1">
        <v>1345942</v>
      </c>
      <c r="C125" s="8">
        <v>8.1222222222222218</v>
      </c>
      <c r="D125" s="1">
        <v>39052.672107409919</v>
      </c>
    </row>
    <row r="126" spans="1:4" x14ac:dyDescent="0.25">
      <c r="A126" s="139" t="s">
        <v>1642</v>
      </c>
      <c r="B126" s="1">
        <v>227610</v>
      </c>
      <c r="C126" s="8">
        <v>0.95833333333333337</v>
      </c>
      <c r="D126" s="1">
        <v>1790.3604981762612</v>
      </c>
    </row>
    <row r="127" spans="1:4" x14ac:dyDescent="0.25">
      <c r="A127" s="139" t="s">
        <v>1643</v>
      </c>
      <c r="B127" s="1">
        <v>849616</v>
      </c>
      <c r="C127" s="8">
        <v>3.28125</v>
      </c>
      <c r="D127" s="1">
        <v>27770.645500569641</v>
      </c>
    </row>
    <row r="128" spans="1:4" x14ac:dyDescent="0.25">
      <c r="A128" s="139" t="s">
        <v>1644</v>
      </c>
      <c r="B128" s="1">
        <v>268716</v>
      </c>
      <c r="C128" s="8">
        <v>3.8826388888888888</v>
      </c>
      <c r="D128" s="1">
        <v>9491.6661086640179</v>
      </c>
    </row>
    <row r="129" spans="1:4" x14ac:dyDescent="0.25">
      <c r="A129" s="125" t="s">
        <v>1547</v>
      </c>
      <c r="B129" s="1">
        <v>817845</v>
      </c>
      <c r="C129" s="8">
        <v>5.0798611111111107</v>
      </c>
      <c r="D129" s="1">
        <v>18582.481532457306</v>
      </c>
    </row>
    <row r="130" spans="1:4" x14ac:dyDescent="0.25">
      <c r="A130" s="139" t="s">
        <v>1642</v>
      </c>
      <c r="B130" s="1">
        <v>4852</v>
      </c>
      <c r="C130" s="8">
        <v>4.1666666666666664E-2</v>
      </c>
      <c r="D130" s="1">
        <v>96.721684537284943</v>
      </c>
    </row>
    <row r="131" spans="1:4" x14ac:dyDescent="0.25">
      <c r="A131" s="139" t="s">
        <v>1643</v>
      </c>
      <c r="B131" s="1">
        <v>640247</v>
      </c>
      <c r="C131" s="8">
        <v>2.6354166666666665</v>
      </c>
      <c r="D131" s="1">
        <v>14073.065875638773</v>
      </c>
    </row>
    <row r="132" spans="1:4" x14ac:dyDescent="0.25">
      <c r="A132" s="139" t="s">
        <v>1644</v>
      </c>
      <c r="B132" s="1">
        <v>172746</v>
      </c>
      <c r="C132" s="8">
        <v>2.4027777777777777</v>
      </c>
      <c r="D132" s="1">
        <v>4412.6939722812485</v>
      </c>
    </row>
    <row r="133" spans="1:4" x14ac:dyDescent="0.25">
      <c r="A133" s="125" t="s">
        <v>1278</v>
      </c>
      <c r="B133" s="1">
        <v>50846</v>
      </c>
      <c r="C133" s="8">
        <v>0.35069444444444442</v>
      </c>
      <c r="D133" s="1">
        <v>560.21962979967907</v>
      </c>
    </row>
    <row r="134" spans="1:4" x14ac:dyDescent="0.25">
      <c r="A134" s="139" t="s">
        <v>1643</v>
      </c>
      <c r="B134" s="1">
        <v>38050</v>
      </c>
      <c r="C134" s="8">
        <v>0.18402777777777779</v>
      </c>
      <c r="D134" s="1">
        <v>427.07791424101259</v>
      </c>
    </row>
    <row r="135" spans="1:4" x14ac:dyDescent="0.25">
      <c r="A135" s="139" t="s">
        <v>1644</v>
      </c>
      <c r="B135" s="1">
        <v>12796</v>
      </c>
      <c r="C135" s="8">
        <v>0.16666666666666666</v>
      </c>
      <c r="D135" s="1">
        <v>133.14171555866645</v>
      </c>
    </row>
    <row r="136" spans="1:4" x14ac:dyDescent="0.25">
      <c r="A136" s="125" t="s">
        <v>1277</v>
      </c>
      <c r="B136" s="1">
        <v>4852</v>
      </c>
      <c r="C136" s="8">
        <v>2.0833333333333332E-2</v>
      </c>
      <c r="D136" s="1">
        <v>16.970096590225964</v>
      </c>
    </row>
    <row r="137" spans="1:4" x14ac:dyDescent="0.25">
      <c r="A137" s="139" t="s">
        <v>1642</v>
      </c>
      <c r="B137" s="1">
        <v>4852</v>
      </c>
      <c r="C137" s="8">
        <v>2.0833333333333332E-2</v>
      </c>
      <c r="D137" s="1">
        <v>16.970096590225964</v>
      </c>
    </row>
    <row r="138" spans="1:4" x14ac:dyDescent="0.25">
      <c r="A138" s="7" t="s">
        <v>111</v>
      </c>
      <c r="B138" s="1">
        <v>4002154</v>
      </c>
      <c r="C138" s="8">
        <v>14.619942129629631</v>
      </c>
      <c r="D138" s="1">
        <v>100484.74154140752</v>
      </c>
    </row>
    <row r="139" spans="1:4" x14ac:dyDescent="0.25">
      <c r="A139" s="17" t="s">
        <v>149</v>
      </c>
      <c r="B139" s="1">
        <v>4002154</v>
      </c>
      <c r="C139" s="8">
        <v>14.619942129629631</v>
      </c>
      <c r="D139" s="1">
        <v>100484.74154140752</v>
      </c>
    </row>
    <row r="140" spans="1:4" x14ac:dyDescent="0.25">
      <c r="A140" s="125" t="s">
        <v>268</v>
      </c>
      <c r="B140" s="1">
        <v>2640232</v>
      </c>
      <c r="C140" s="8">
        <v>8.5121990740740738</v>
      </c>
      <c r="D140" s="1">
        <v>74887.279628502074</v>
      </c>
    </row>
    <row r="141" spans="1:4" x14ac:dyDescent="0.25">
      <c r="A141" s="139" t="s">
        <v>1642</v>
      </c>
      <c r="B141" s="1">
        <v>1463317</v>
      </c>
      <c r="C141" s="8">
        <v>0.93964120370370363</v>
      </c>
      <c r="D141" s="1">
        <v>8007.8756274475891</v>
      </c>
    </row>
    <row r="142" spans="1:4" x14ac:dyDescent="0.25">
      <c r="A142" s="139" t="s">
        <v>1643</v>
      </c>
      <c r="B142" s="1">
        <v>927255</v>
      </c>
      <c r="C142" s="8">
        <v>5.1748726851851856</v>
      </c>
      <c r="D142" s="1">
        <v>60243.012035237</v>
      </c>
    </row>
    <row r="143" spans="1:4" x14ac:dyDescent="0.25">
      <c r="A143" s="139" t="s">
        <v>1644</v>
      </c>
      <c r="B143" s="1">
        <v>249660</v>
      </c>
      <c r="C143" s="8">
        <v>2.397685185185185</v>
      </c>
      <c r="D143" s="1">
        <v>6636.3919658174809</v>
      </c>
    </row>
    <row r="144" spans="1:4" x14ac:dyDescent="0.25">
      <c r="A144" s="125" t="s">
        <v>269</v>
      </c>
      <c r="B144" s="1">
        <v>1361922</v>
      </c>
      <c r="C144" s="8">
        <v>6.1077430555555559</v>
      </c>
      <c r="D144" s="1">
        <v>25597.461912905448</v>
      </c>
    </row>
    <row r="145" spans="1:4" x14ac:dyDescent="0.25">
      <c r="A145" s="139" t="s">
        <v>1642</v>
      </c>
      <c r="B145" s="1">
        <v>590276</v>
      </c>
      <c r="C145" s="8">
        <v>0.33937499999999998</v>
      </c>
      <c r="D145" s="1">
        <v>1311.4182376301237</v>
      </c>
    </row>
    <row r="146" spans="1:4" x14ac:dyDescent="0.25">
      <c r="A146" s="139" t="s">
        <v>1643</v>
      </c>
      <c r="B146" s="1">
        <v>624684</v>
      </c>
      <c r="C146" s="8">
        <v>2.7304629629629629</v>
      </c>
      <c r="D146" s="1">
        <v>19432.741934476919</v>
      </c>
    </row>
    <row r="147" spans="1:4" x14ac:dyDescent="0.25">
      <c r="A147" s="139" t="s">
        <v>1644</v>
      </c>
      <c r="B147" s="1">
        <v>146962</v>
      </c>
      <c r="C147" s="8">
        <v>3.0379050925925926</v>
      </c>
      <c r="D147" s="1">
        <v>4853.3017407984053</v>
      </c>
    </row>
    <row r="148" spans="1:4" x14ac:dyDescent="0.25">
      <c r="A148" s="7" t="s">
        <v>15</v>
      </c>
      <c r="B148" s="1">
        <v>3876558</v>
      </c>
      <c r="C148" s="8">
        <v>44.262407407407402</v>
      </c>
      <c r="D148" s="1">
        <v>24129.525433350183</v>
      </c>
    </row>
    <row r="149" spans="1:4" x14ac:dyDescent="0.25">
      <c r="A149" s="17" t="s">
        <v>149</v>
      </c>
      <c r="B149" s="1">
        <v>3876558</v>
      </c>
      <c r="C149" s="8">
        <v>44.262407407407402</v>
      </c>
      <c r="D149" s="1">
        <v>24129.525433350183</v>
      </c>
    </row>
    <row r="150" spans="1:4" x14ac:dyDescent="0.25">
      <c r="A150" s="125" t="s">
        <v>268</v>
      </c>
      <c r="B150" s="1">
        <v>1671215</v>
      </c>
      <c r="C150" s="8">
        <v>8.6944444444444446</v>
      </c>
      <c r="D150" s="1">
        <v>9026.9244171206537</v>
      </c>
    </row>
    <row r="151" spans="1:4" x14ac:dyDescent="0.25">
      <c r="A151" s="139" t="s">
        <v>1642</v>
      </c>
      <c r="B151" s="1">
        <v>449995</v>
      </c>
      <c r="C151" s="8">
        <v>1.1909722222222223</v>
      </c>
      <c r="D151" s="1">
        <v>1508.9088570660897</v>
      </c>
    </row>
    <row r="152" spans="1:4" x14ac:dyDescent="0.25">
      <c r="A152" s="139" t="s">
        <v>1643</v>
      </c>
      <c r="B152" s="1">
        <v>837592</v>
      </c>
      <c r="C152" s="8">
        <v>5.7361111111111107</v>
      </c>
      <c r="D152" s="1">
        <v>5530.8222887568863</v>
      </c>
    </row>
    <row r="153" spans="1:4" x14ac:dyDescent="0.25">
      <c r="A153" s="139" t="s">
        <v>1644</v>
      </c>
      <c r="B153" s="1">
        <v>383628</v>
      </c>
      <c r="C153" s="8">
        <v>1.7673611111111112</v>
      </c>
      <c r="D153" s="1">
        <v>1987.1932712976779</v>
      </c>
    </row>
    <row r="154" spans="1:4" x14ac:dyDescent="0.25">
      <c r="A154" s="125" t="s">
        <v>269</v>
      </c>
      <c r="B154" s="1">
        <v>1240661</v>
      </c>
      <c r="C154" s="8">
        <v>6.4097222222222214</v>
      </c>
      <c r="D154" s="1">
        <v>6374.8841145993938</v>
      </c>
    </row>
    <row r="155" spans="1:4" x14ac:dyDescent="0.25">
      <c r="A155" s="139" t="s">
        <v>1642</v>
      </c>
      <c r="B155" s="1">
        <v>314895</v>
      </c>
      <c r="C155" s="8">
        <v>0.86458333333333337</v>
      </c>
      <c r="D155" s="1">
        <v>1046.5807906372409</v>
      </c>
    </row>
    <row r="156" spans="1:4" x14ac:dyDescent="0.25">
      <c r="A156" s="139" t="s">
        <v>1643</v>
      </c>
      <c r="B156" s="1">
        <v>584430</v>
      </c>
      <c r="C156" s="8">
        <v>4</v>
      </c>
      <c r="D156" s="1">
        <v>3596.8631746237747</v>
      </c>
    </row>
    <row r="157" spans="1:4" x14ac:dyDescent="0.25">
      <c r="A157" s="139" t="s">
        <v>1644</v>
      </c>
      <c r="B157" s="1">
        <v>341336</v>
      </c>
      <c r="C157" s="8">
        <v>1.5451388888888888</v>
      </c>
      <c r="D157" s="1">
        <v>1731.4401493383787</v>
      </c>
    </row>
    <row r="158" spans="1:4" x14ac:dyDescent="0.25">
      <c r="A158" s="125" t="s">
        <v>1198</v>
      </c>
      <c r="B158" s="1">
        <v>767068</v>
      </c>
      <c r="C158" s="8">
        <v>15.391215277777778</v>
      </c>
      <c r="D158" s="1">
        <v>7256.8052458203329</v>
      </c>
    </row>
    <row r="159" spans="1:4" x14ac:dyDescent="0.25">
      <c r="A159" s="139" t="s">
        <v>1642</v>
      </c>
      <c r="B159" s="1">
        <v>332783</v>
      </c>
      <c r="C159" s="8">
        <v>1.588113425925926</v>
      </c>
      <c r="D159" s="1">
        <v>648.52104867569608</v>
      </c>
    </row>
    <row r="160" spans="1:4" x14ac:dyDescent="0.25">
      <c r="A160" s="139" t="s">
        <v>1643</v>
      </c>
      <c r="B160" s="1">
        <v>201198</v>
      </c>
      <c r="C160" s="8">
        <v>7.6190046296296297</v>
      </c>
      <c r="D160" s="1">
        <v>4354.1614667973272</v>
      </c>
    </row>
    <row r="161" spans="1:7" x14ac:dyDescent="0.25">
      <c r="A161" s="139" t="s">
        <v>1644</v>
      </c>
      <c r="B161" s="1">
        <v>233087</v>
      </c>
      <c r="C161" s="8">
        <v>6.1840972222222224</v>
      </c>
      <c r="D161" s="1">
        <v>2254.1227303473097</v>
      </c>
    </row>
    <row r="162" spans="1:7" x14ac:dyDescent="0.25">
      <c r="A162" s="125" t="s">
        <v>1201</v>
      </c>
      <c r="B162" s="1">
        <v>119909</v>
      </c>
      <c r="C162" s="8">
        <v>0.23393518518518519</v>
      </c>
      <c r="D162" s="1">
        <v>182.85116822141953</v>
      </c>
      <c r="G162" s="19"/>
    </row>
    <row r="163" spans="1:7" x14ac:dyDescent="0.25">
      <c r="A163" s="139" t="s">
        <v>1642</v>
      </c>
      <c r="B163" s="1">
        <v>119909</v>
      </c>
      <c r="C163" s="8">
        <v>0.23393518518518519</v>
      </c>
      <c r="D163" s="1">
        <v>182.85116822141953</v>
      </c>
      <c r="E163" s="1"/>
      <c r="G163" s="19"/>
    </row>
    <row r="164" spans="1:7" x14ac:dyDescent="0.25">
      <c r="A164" s="125" t="s">
        <v>1196</v>
      </c>
      <c r="B164" s="1">
        <v>47950</v>
      </c>
      <c r="C164" s="8">
        <v>6.4723032407407404</v>
      </c>
      <c r="D164" s="1">
        <v>805.19101797342591</v>
      </c>
      <c r="E164" s="1"/>
      <c r="G164" s="19"/>
    </row>
    <row r="165" spans="1:7" x14ac:dyDescent="0.25">
      <c r="A165" s="139" t="s">
        <v>1642</v>
      </c>
      <c r="B165" s="1">
        <v>9575</v>
      </c>
      <c r="C165" s="8">
        <v>0.28561342592592592</v>
      </c>
      <c r="D165" s="1">
        <v>20.47316924032091</v>
      </c>
      <c r="E165" s="1"/>
      <c r="G165" s="19"/>
    </row>
    <row r="166" spans="1:7" x14ac:dyDescent="0.25">
      <c r="A166" s="139" t="s">
        <v>1643</v>
      </c>
      <c r="B166" s="1">
        <v>38326</v>
      </c>
      <c r="C166" s="8">
        <v>6.0157175925925923</v>
      </c>
      <c r="D166" s="1">
        <v>784.0596717384966</v>
      </c>
      <c r="E166" s="1"/>
      <c r="G166" s="19"/>
    </row>
    <row r="167" spans="1:7" x14ac:dyDescent="0.25">
      <c r="A167" s="139" t="s">
        <v>1644</v>
      </c>
      <c r="B167" s="1">
        <v>49</v>
      </c>
      <c r="C167" s="8">
        <v>0.17097222222222222</v>
      </c>
      <c r="D167" s="1">
        <v>0.65817699460837709</v>
      </c>
      <c r="E167" s="1"/>
      <c r="G167" s="19"/>
    </row>
    <row r="168" spans="1:7" x14ac:dyDescent="0.25">
      <c r="A168" s="125" t="s">
        <v>1203</v>
      </c>
      <c r="B168" s="1">
        <v>12103</v>
      </c>
      <c r="C168" s="8">
        <v>3.8749074074074072</v>
      </c>
      <c r="D168" s="1">
        <v>232.51393995572033</v>
      </c>
      <c r="E168" s="1"/>
      <c r="G168" s="19"/>
    </row>
    <row r="169" spans="1:7" x14ac:dyDescent="0.25">
      <c r="A169" s="139" t="s">
        <v>1642</v>
      </c>
      <c r="B169" s="1">
        <v>2737</v>
      </c>
      <c r="C169" s="8">
        <v>0.14736111111111111</v>
      </c>
      <c r="D169" s="1">
        <v>7.1763250195192301</v>
      </c>
      <c r="E169" s="1"/>
      <c r="G169" s="19"/>
    </row>
    <row r="170" spans="1:7" x14ac:dyDescent="0.25">
      <c r="A170" s="139" t="s">
        <v>1643</v>
      </c>
      <c r="B170" s="1">
        <v>9366</v>
      </c>
      <c r="C170" s="8">
        <v>3.7275462962962962</v>
      </c>
      <c r="D170" s="1">
        <v>225.33761493620111</v>
      </c>
      <c r="E170" s="1"/>
      <c r="G170" s="19"/>
    </row>
    <row r="171" spans="1:7" x14ac:dyDescent="0.25">
      <c r="A171" s="125" t="s">
        <v>1200</v>
      </c>
      <c r="B171" s="1">
        <v>10099</v>
      </c>
      <c r="C171" s="8">
        <v>0.37668981481481478</v>
      </c>
      <c r="D171" s="1">
        <v>26.481357123657745</v>
      </c>
      <c r="E171" s="1"/>
      <c r="G171" s="19"/>
    </row>
    <row r="172" spans="1:7" x14ac:dyDescent="0.25">
      <c r="A172" s="139" t="s">
        <v>1642</v>
      </c>
      <c r="B172" s="1">
        <v>8805</v>
      </c>
      <c r="C172" s="8">
        <v>0.12510416666666666</v>
      </c>
      <c r="D172" s="1">
        <v>13.434817806313555</v>
      </c>
      <c r="E172" s="1"/>
      <c r="G172" s="19"/>
    </row>
    <row r="173" spans="1:7" x14ac:dyDescent="0.25">
      <c r="A173" s="139" t="s">
        <v>1644</v>
      </c>
      <c r="B173" s="1">
        <v>1294</v>
      </c>
      <c r="C173" s="8">
        <v>0.25158564814814816</v>
      </c>
      <c r="D173" s="1">
        <v>13.046539317344189</v>
      </c>
      <c r="E173" s="1"/>
      <c r="G173" s="19"/>
    </row>
    <row r="174" spans="1:7" x14ac:dyDescent="0.25">
      <c r="A174" s="125" t="s">
        <v>1199</v>
      </c>
      <c r="B174" s="1">
        <v>7504</v>
      </c>
      <c r="C174" s="8">
        <v>2.6490393518518518</v>
      </c>
      <c r="D174" s="1">
        <v>223.25765513276721</v>
      </c>
      <c r="E174" s="1"/>
      <c r="G174" s="19"/>
    </row>
    <row r="175" spans="1:7" x14ac:dyDescent="0.25">
      <c r="A175" s="139" t="s">
        <v>1643</v>
      </c>
      <c r="B175" s="1">
        <v>7417</v>
      </c>
      <c r="C175" s="8">
        <v>2.4234722222222222</v>
      </c>
      <c r="D175" s="1">
        <v>221.71589742794055</v>
      </c>
      <c r="E175" s="1"/>
      <c r="G175" s="19"/>
    </row>
    <row r="176" spans="1:7" x14ac:dyDescent="0.25">
      <c r="A176" s="139" t="s">
        <v>1644</v>
      </c>
      <c r="B176" s="1">
        <v>87</v>
      </c>
      <c r="C176" s="8">
        <v>0.22556712962962963</v>
      </c>
      <c r="D176" s="1">
        <v>1.5417577048266586</v>
      </c>
      <c r="G176" s="19"/>
    </row>
    <row r="177" spans="1:7" x14ac:dyDescent="0.25">
      <c r="A177" s="125" t="s">
        <v>1197</v>
      </c>
      <c r="B177" s="1">
        <v>49</v>
      </c>
      <c r="C177" s="8">
        <v>0.16015046296296295</v>
      </c>
      <c r="D177" s="1">
        <v>0.61651740281587564</v>
      </c>
      <c r="G177" s="19"/>
    </row>
    <row r="178" spans="1:7" x14ac:dyDescent="0.25">
      <c r="A178" s="139" t="s">
        <v>1643</v>
      </c>
      <c r="B178" s="1">
        <v>49</v>
      </c>
      <c r="C178" s="8">
        <v>0.16015046296296295</v>
      </c>
      <c r="D178" s="1">
        <v>0.61651740281587564</v>
      </c>
      <c r="G178" s="19"/>
    </row>
    <row r="179" spans="1:7" x14ac:dyDescent="0.25">
      <c r="A179" s="7" t="s">
        <v>11</v>
      </c>
      <c r="B179" s="1">
        <v>3832848</v>
      </c>
      <c r="C179" s="8">
        <v>11.607638888888888</v>
      </c>
      <c r="D179" s="1">
        <v>469736.81169464113</v>
      </c>
      <c r="G179" s="19"/>
    </row>
    <row r="180" spans="1:7" x14ac:dyDescent="0.25">
      <c r="A180" s="17" t="s">
        <v>149</v>
      </c>
      <c r="B180" s="1">
        <v>3832848</v>
      </c>
      <c r="C180" s="8">
        <v>11.607638888888888</v>
      </c>
      <c r="D180" s="1">
        <v>469736.81169464113</v>
      </c>
      <c r="G180" s="19"/>
    </row>
    <row r="181" spans="1:7" x14ac:dyDescent="0.25">
      <c r="A181" s="125" t="s">
        <v>183</v>
      </c>
      <c r="B181" s="1">
        <v>1493302</v>
      </c>
      <c r="C181" s="8">
        <v>4.520833333333333</v>
      </c>
      <c r="D181" s="1">
        <v>201778.10094462056</v>
      </c>
    </row>
    <row r="182" spans="1:7" x14ac:dyDescent="0.25">
      <c r="A182" s="139" t="s">
        <v>1643</v>
      </c>
      <c r="B182" s="1">
        <v>1391158</v>
      </c>
      <c r="C182" s="8">
        <v>4.020833333333333</v>
      </c>
      <c r="D182" s="1">
        <v>193942.99041471886</v>
      </c>
    </row>
    <row r="183" spans="1:7" x14ac:dyDescent="0.25">
      <c r="A183" s="139" t="s">
        <v>1644</v>
      </c>
      <c r="B183" s="1">
        <v>102144</v>
      </c>
      <c r="C183" s="8">
        <v>0.5</v>
      </c>
      <c r="D183" s="1">
        <v>7835.1105299016936</v>
      </c>
    </row>
    <row r="184" spans="1:7" x14ac:dyDescent="0.25">
      <c r="A184" s="125" t="s">
        <v>185</v>
      </c>
      <c r="B184" s="1">
        <v>1036717</v>
      </c>
      <c r="C184" s="8">
        <v>3.1909722222222223</v>
      </c>
      <c r="D184" s="1">
        <v>125967.38565898556</v>
      </c>
    </row>
    <row r="185" spans="1:7" x14ac:dyDescent="0.25">
      <c r="A185" s="139" t="s">
        <v>1642</v>
      </c>
      <c r="B185" s="1">
        <v>19366</v>
      </c>
      <c r="C185" s="8">
        <v>2.0833333333333332E-2</v>
      </c>
      <c r="D185" s="1">
        <v>238.78335284956154</v>
      </c>
    </row>
    <row r="186" spans="1:7" x14ac:dyDescent="0.25">
      <c r="A186" s="139" t="s">
        <v>1643</v>
      </c>
      <c r="B186" s="1">
        <v>838599</v>
      </c>
      <c r="C186" s="8">
        <v>2.3229166666666665</v>
      </c>
      <c r="D186" s="1">
        <v>109615.07327495735</v>
      </c>
    </row>
    <row r="187" spans="1:7" x14ac:dyDescent="0.25">
      <c r="A187" s="139" t="s">
        <v>1644</v>
      </c>
      <c r="B187" s="1">
        <v>178752</v>
      </c>
      <c r="C187" s="8">
        <v>0.84722222222222221</v>
      </c>
      <c r="D187" s="1">
        <v>16113.529031178641</v>
      </c>
    </row>
    <row r="188" spans="1:7" x14ac:dyDescent="0.25">
      <c r="A188" s="125" t="s">
        <v>186</v>
      </c>
      <c r="B188" s="1">
        <v>813091</v>
      </c>
      <c r="C188" s="8">
        <v>2.1666666666666665</v>
      </c>
      <c r="D188" s="1">
        <v>91492.439561479972</v>
      </c>
    </row>
    <row r="189" spans="1:7" x14ac:dyDescent="0.25">
      <c r="A189" s="139" t="s">
        <v>1643</v>
      </c>
      <c r="B189" s="1">
        <v>710947</v>
      </c>
      <c r="C189" s="8">
        <v>1.8125</v>
      </c>
      <c r="D189" s="1">
        <v>85256.451372206153</v>
      </c>
      <c r="E189" s="19"/>
    </row>
    <row r="190" spans="1:7" x14ac:dyDescent="0.25">
      <c r="A190" s="139" t="s">
        <v>1644</v>
      </c>
      <c r="B190" s="1">
        <v>102144</v>
      </c>
      <c r="C190" s="8">
        <v>0.35416666666666669</v>
      </c>
      <c r="D190" s="1">
        <v>6235.9881892738231</v>
      </c>
    </row>
    <row r="191" spans="1:7" x14ac:dyDescent="0.25">
      <c r="A191" s="125" t="s">
        <v>184</v>
      </c>
      <c r="B191" s="1">
        <v>489738</v>
      </c>
      <c r="C191" s="8">
        <v>1.7291666666666667</v>
      </c>
      <c r="D191" s="1">
        <v>50498.885529555053</v>
      </c>
    </row>
    <row r="192" spans="1:7" x14ac:dyDescent="0.25">
      <c r="A192" s="139" t="s">
        <v>1643</v>
      </c>
      <c r="B192" s="1">
        <v>255304</v>
      </c>
      <c r="C192" s="8">
        <v>0.83333333333333337</v>
      </c>
      <c r="D192" s="1">
        <v>33641.251263753191</v>
      </c>
    </row>
    <row r="193" spans="1:5" x14ac:dyDescent="0.25">
      <c r="A193" s="139" t="s">
        <v>1644</v>
      </c>
      <c r="B193" s="1">
        <v>234434</v>
      </c>
      <c r="C193" s="8">
        <v>0.89583333333333337</v>
      </c>
      <c r="D193" s="1">
        <v>16857.634265801862</v>
      </c>
    </row>
    <row r="194" spans="1:5" x14ac:dyDescent="0.25">
      <c r="A194" s="7" t="s">
        <v>103</v>
      </c>
      <c r="B194" s="1">
        <v>3596935</v>
      </c>
      <c r="C194" s="8">
        <v>15.061921296296296</v>
      </c>
      <c r="D194" s="1">
        <v>322084.18351205025</v>
      </c>
    </row>
    <row r="195" spans="1:5" x14ac:dyDescent="0.25">
      <c r="A195" s="17" t="s">
        <v>149</v>
      </c>
      <c r="B195" s="1">
        <v>3596935</v>
      </c>
      <c r="C195" s="8">
        <v>15.061921296296296</v>
      </c>
      <c r="D195" s="1">
        <v>322084.18351205025</v>
      </c>
    </row>
    <row r="196" spans="1:5" x14ac:dyDescent="0.25">
      <c r="A196" s="125" t="s">
        <v>268</v>
      </c>
      <c r="B196" s="1">
        <v>1863706</v>
      </c>
      <c r="C196" s="8">
        <v>8.759641203703703</v>
      </c>
      <c r="D196" s="1">
        <v>172817.3855956578</v>
      </c>
    </row>
    <row r="197" spans="1:5" x14ac:dyDescent="0.25">
      <c r="A197" s="139" t="s">
        <v>1642</v>
      </c>
      <c r="B197" s="1">
        <v>251196</v>
      </c>
      <c r="C197" s="8">
        <v>0.86262731481481481</v>
      </c>
      <c r="D197" s="1">
        <v>8934.4784733559572</v>
      </c>
    </row>
    <row r="198" spans="1:5" x14ac:dyDescent="0.25">
      <c r="A198" s="139" t="s">
        <v>1643</v>
      </c>
      <c r="B198" s="1">
        <v>1395412</v>
      </c>
      <c r="C198" s="8">
        <v>6.2788773148148147</v>
      </c>
      <c r="D198" s="1">
        <v>149973.09782931354</v>
      </c>
    </row>
    <row r="199" spans="1:5" x14ac:dyDescent="0.25">
      <c r="A199" s="139" t="s">
        <v>1644</v>
      </c>
      <c r="B199" s="1">
        <v>217098</v>
      </c>
      <c r="C199" s="8">
        <v>1.6181365740740741</v>
      </c>
      <c r="D199" s="1">
        <v>13909.809292988284</v>
      </c>
    </row>
    <row r="200" spans="1:5" x14ac:dyDescent="0.25">
      <c r="A200" s="125" t="s">
        <v>269</v>
      </c>
      <c r="B200" s="1">
        <v>1733229</v>
      </c>
      <c r="C200" s="8">
        <v>6.3022800925925928</v>
      </c>
      <c r="D200" s="1">
        <v>149266.79791639248</v>
      </c>
    </row>
    <row r="201" spans="1:5" x14ac:dyDescent="0.25">
      <c r="A201" s="139" t="s">
        <v>1642</v>
      </c>
      <c r="B201" s="1">
        <v>248200</v>
      </c>
      <c r="C201" s="8">
        <v>0.78314814814814815</v>
      </c>
      <c r="D201" s="1">
        <v>11207.68027445346</v>
      </c>
    </row>
    <row r="202" spans="1:5" x14ac:dyDescent="0.25">
      <c r="A202" s="139" t="s">
        <v>1643</v>
      </c>
      <c r="B202" s="1">
        <v>1065859</v>
      </c>
      <c r="C202" s="8">
        <v>3.1011689814814813</v>
      </c>
      <c r="D202" s="1">
        <v>108576.20496684677</v>
      </c>
    </row>
    <row r="203" spans="1:5" x14ac:dyDescent="0.25">
      <c r="A203" s="139" t="s">
        <v>1644</v>
      </c>
      <c r="B203" s="1">
        <v>419170</v>
      </c>
      <c r="C203" s="8">
        <v>2.4179629629629629</v>
      </c>
      <c r="D203" s="1">
        <v>29482.912675092233</v>
      </c>
    </row>
    <row r="204" spans="1:5" x14ac:dyDescent="0.25">
      <c r="A204" s="7" t="s">
        <v>92</v>
      </c>
      <c r="B204" s="1">
        <v>3266376.4450867046</v>
      </c>
      <c r="C204" s="8">
        <v>8.8527777777777779</v>
      </c>
      <c r="D204" s="1">
        <v>341492.06637966505</v>
      </c>
      <c r="E204" s="19"/>
    </row>
    <row r="205" spans="1:5" x14ac:dyDescent="0.25">
      <c r="A205" s="17" t="s">
        <v>149</v>
      </c>
      <c r="B205" s="1">
        <v>3266376.4450867046</v>
      </c>
      <c r="C205" s="8">
        <v>8.8527777777777779</v>
      </c>
      <c r="D205" s="1">
        <v>341492.06637966505</v>
      </c>
    </row>
    <row r="206" spans="1:5" x14ac:dyDescent="0.25">
      <c r="A206" s="125" t="s">
        <v>1178</v>
      </c>
      <c r="B206" s="1">
        <v>3266376.4450867046</v>
      </c>
      <c r="C206" s="8">
        <v>8.8527777777777779</v>
      </c>
      <c r="D206" s="1">
        <v>341492.06637966505</v>
      </c>
    </row>
    <row r="207" spans="1:5" x14ac:dyDescent="0.25">
      <c r="A207" s="139" t="s">
        <v>1642</v>
      </c>
      <c r="B207" s="1">
        <v>2186224.710982658</v>
      </c>
      <c r="C207" s="8">
        <v>2.4236111111111112</v>
      </c>
      <c r="D207" s="1">
        <v>144134.72229439631</v>
      </c>
    </row>
    <row r="208" spans="1:5" x14ac:dyDescent="0.25">
      <c r="A208" s="139" t="s">
        <v>1643</v>
      </c>
      <c r="B208" s="1">
        <v>1080151.7341040464</v>
      </c>
      <c r="C208" s="8">
        <v>6.4291666666666671</v>
      </c>
      <c r="D208" s="1">
        <v>197357.34408526873</v>
      </c>
    </row>
    <row r="209" spans="1:4" x14ac:dyDescent="0.25">
      <c r="A209" s="7" t="s">
        <v>126</v>
      </c>
      <c r="B209" s="1">
        <v>2836775</v>
      </c>
      <c r="C209" s="8">
        <v>19.267361111111111</v>
      </c>
      <c r="D209" s="1">
        <v>141550.33437509122</v>
      </c>
    </row>
    <row r="210" spans="1:4" x14ac:dyDescent="0.25">
      <c r="A210" s="17" t="s">
        <v>149</v>
      </c>
      <c r="B210" s="1">
        <v>2836775</v>
      </c>
      <c r="C210" s="8">
        <v>19.267361111111111</v>
      </c>
      <c r="D210" s="1">
        <v>141550.33437509122</v>
      </c>
    </row>
    <row r="211" spans="1:4" x14ac:dyDescent="0.25">
      <c r="A211" s="125" t="s">
        <v>468</v>
      </c>
      <c r="B211" s="1">
        <v>2190586</v>
      </c>
      <c r="C211" s="8">
        <v>7.4375</v>
      </c>
      <c r="D211" s="1">
        <v>100560.60586699136</v>
      </c>
    </row>
    <row r="212" spans="1:4" x14ac:dyDescent="0.25">
      <c r="A212" s="139" t="s">
        <v>1642</v>
      </c>
      <c r="B212" s="1">
        <v>1558526</v>
      </c>
      <c r="C212" s="8">
        <v>2.75</v>
      </c>
      <c r="D212" s="1">
        <v>19614.383329594533</v>
      </c>
    </row>
    <row r="213" spans="1:4" x14ac:dyDescent="0.25">
      <c r="A213" s="139" t="s">
        <v>1643</v>
      </c>
      <c r="B213" s="1">
        <v>632060</v>
      </c>
      <c r="C213" s="8">
        <v>4.6875</v>
      </c>
      <c r="D213" s="1">
        <v>80946.222537396825</v>
      </c>
    </row>
    <row r="214" spans="1:4" x14ac:dyDescent="0.25">
      <c r="A214" s="125" t="s">
        <v>225</v>
      </c>
      <c r="B214" s="1">
        <v>436625</v>
      </c>
      <c r="C214" s="8">
        <v>4.1215277777777777</v>
      </c>
      <c r="D214" s="1">
        <v>29138.929969013683</v>
      </c>
    </row>
    <row r="215" spans="1:4" x14ac:dyDescent="0.25">
      <c r="A215" s="139" t="s">
        <v>1642</v>
      </c>
      <c r="B215" s="1">
        <v>255353</v>
      </c>
      <c r="C215" s="8">
        <v>0.89236111111111116</v>
      </c>
      <c r="D215" s="1">
        <v>3151.00814867402</v>
      </c>
    </row>
    <row r="216" spans="1:4" x14ac:dyDescent="0.25">
      <c r="A216" s="139" t="s">
        <v>1643</v>
      </c>
      <c r="B216" s="1">
        <v>181272</v>
      </c>
      <c r="C216" s="8">
        <v>3.2291666666666665</v>
      </c>
      <c r="D216" s="1">
        <v>25987.921820339663</v>
      </c>
    </row>
    <row r="217" spans="1:4" x14ac:dyDescent="0.25">
      <c r="A217" s="125" t="s">
        <v>1617</v>
      </c>
      <c r="B217" s="1">
        <v>171758</v>
      </c>
      <c r="C217" s="8">
        <v>4.6666666666666661</v>
      </c>
      <c r="D217" s="1">
        <v>5043.7092170524083</v>
      </c>
    </row>
    <row r="218" spans="1:4" x14ac:dyDescent="0.25">
      <c r="A218" s="139" t="s">
        <v>1642</v>
      </c>
      <c r="B218" s="1">
        <v>14465</v>
      </c>
      <c r="C218" s="8">
        <v>0.10416666666666667</v>
      </c>
      <c r="D218" s="1">
        <v>107.0329639383378</v>
      </c>
    </row>
    <row r="219" spans="1:4" x14ac:dyDescent="0.25">
      <c r="A219" s="139" t="s">
        <v>1643</v>
      </c>
      <c r="B219" s="1">
        <v>31880</v>
      </c>
      <c r="C219" s="8">
        <v>0.41666666666666669</v>
      </c>
      <c r="D219" s="1">
        <v>943.57715599148617</v>
      </c>
    </row>
    <row r="220" spans="1:4" x14ac:dyDescent="0.25">
      <c r="A220" s="139" t="s">
        <v>1644</v>
      </c>
      <c r="B220" s="1">
        <v>125413</v>
      </c>
      <c r="C220" s="8">
        <v>4.145833333333333</v>
      </c>
      <c r="D220" s="1">
        <v>3993.0990971225847</v>
      </c>
    </row>
    <row r="221" spans="1:4" x14ac:dyDescent="0.25">
      <c r="A221" s="125" t="s">
        <v>197</v>
      </c>
      <c r="B221" s="1">
        <v>37806</v>
      </c>
      <c r="C221" s="8">
        <v>3.0416666666666665</v>
      </c>
      <c r="D221" s="1">
        <v>6807.0893220337484</v>
      </c>
    </row>
    <row r="222" spans="1:4" x14ac:dyDescent="0.25">
      <c r="A222" s="139" t="s">
        <v>1643</v>
      </c>
      <c r="B222" s="1">
        <v>37806</v>
      </c>
      <c r="C222" s="8">
        <v>3.0416666666666665</v>
      </c>
      <c r="D222" s="1">
        <v>6807.0893220337484</v>
      </c>
    </row>
    <row r="223" spans="1:4" x14ac:dyDescent="0.25">
      <c r="A223" s="7" t="s">
        <v>66</v>
      </c>
      <c r="B223" s="1">
        <v>2612812</v>
      </c>
      <c r="C223" s="8">
        <v>15.524305555555555</v>
      </c>
      <c r="D223" s="1">
        <v>177647.75227369217</v>
      </c>
    </row>
    <row r="224" spans="1:4" x14ac:dyDescent="0.25">
      <c r="A224" s="17" t="s">
        <v>149</v>
      </c>
      <c r="B224" s="1">
        <v>2612812</v>
      </c>
      <c r="C224" s="8">
        <v>15.524305555555555</v>
      </c>
      <c r="D224" s="1">
        <v>177647.75227369217</v>
      </c>
    </row>
    <row r="225" spans="1:5" x14ac:dyDescent="0.25">
      <c r="A225" s="125" t="s">
        <v>268</v>
      </c>
      <c r="B225" s="1">
        <v>1609725</v>
      </c>
      <c r="C225" s="8">
        <v>9.1666666666666679</v>
      </c>
      <c r="D225" s="1">
        <v>116613.47829299884</v>
      </c>
    </row>
    <row r="226" spans="1:5" x14ac:dyDescent="0.25">
      <c r="A226" s="139" t="s">
        <v>1642</v>
      </c>
      <c r="B226" s="1">
        <v>249252</v>
      </c>
      <c r="C226" s="8">
        <v>0.91666666666666663</v>
      </c>
      <c r="D226" s="1">
        <v>6919.7570838273969</v>
      </c>
    </row>
    <row r="227" spans="1:5" x14ac:dyDescent="0.25">
      <c r="A227" s="139" t="s">
        <v>1643</v>
      </c>
      <c r="B227" s="1">
        <v>1094638</v>
      </c>
      <c r="C227" s="8">
        <v>6.3506944444444446</v>
      </c>
      <c r="D227" s="1">
        <v>97618.404665505805</v>
      </c>
    </row>
    <row r="228" spans="1:5" x14ac:dyDescent="0.25">
      <c r="A228" s="139" t="s">
        <v>1644</v>
      </c>
      <c r="B228" s="1">
        <v>265835</v>
      </c>
      <c r="C228" s="8">
        <v>1.8993055555555554</v>
      </c>
      <c r="D228" s="1">
        <v>12075.31654366564</v>
      </c>
    </row>
    <row r="229" spans="1:5" x14ac:dyDescent="0.25">
      <c r="A229" s="125" t="s">
        <v>269</v>
      </c>
      <c r="B229" s="1">
        <v>1003087</v>
      </c>
      <c r="C229" s="8">
        <v>6.3576388888888893</v>
      </c>
      <c r="D229" s="1">
        <v>61034.273980693339</v>
      </c>
    </row>
    <row r="230" spans="1:5" x14ac:dyDescent="0.25">
      <c r="A230" s="139" t="s">
        <v>1642</v>
      </c>
      <c r="B230" s="1">
        <v>195805</v>
      </c>
      <c r="C230" s="8">
        <v>0.95138888888888884</v>
      </c>
      <c r="D230" s="1">
        <v>5286.1131857565288</v>
      </c>
    </row>
    <row r="231" spans="1:5" x14ac:dyDescent="0.25">
      <c r="A231" s="139" t="s">
        <v>1643</v>
      </c>
      <c r="B231" s="1">
        <v>576616</v>
      </c>
      <c r="C231" s="8">
        <v>3.4513888888888888</v>
      </c>
      <c r="D231" s="1">
        <v>44835.094497703845</v>
      </c>
    </row>
    <row r="232" spans="1:5" x14ac:dyDescent="0.25">
      <c r="A232" s="139" t="s">
        <v>1644</v>
      </c>
      <c r="B232" s="1">
        <v>230666</v>
      </c>
      <c r="C232" s="8">
        <v>1.9548611111111112</v>
      </c>
      <c r="D232" s="1">
        <v>10913.066297232968</v>
      </c>
      <c r="E232" s="19"/>
    </row>
    <row r="233" spans="1:5" x14ac:dyDescent="0.25">
      <c r="A233" s="7" t="s">
        <v>113</v>
      </c>
      <c r="B233" s="1">
        <v>2503486</v>
      </c>
      <c r="C233" s="8">
        <v>18.877430555555556</v>
      </c>
      <c r="D233" s="1">
        <v>299178.72907265852</v>
      </c>
    </row>
    <row r="234" spans="1:5" x14ac:dyDescent="0.25">
      <c r="A234" s="17" t="s">
        <v>142</v>
      </c>
      <c r="B234" s="1">
        <v>1767411</v>
      </c>
      <c r="C234" s="8">
        <v>4.7797453703703701</v>
      </c>
      <c r="D234" s="1">
        <v>154724.36691271141</v>
      </c>
    </row>
    <row r="235" spans="1:5" x14ac:dyDescent="0.25">
      <c r="A235" s="125" t="s">
        <v>1480</v>
      </c>
      <c r="B235" s="1">
        <v>661900</v>
      </c>
      <c r="C235" s="8">
        <v>0.63655092592592588</v>
      </c>
      <c r="D235" s="1">
        <v>51003.230529658322</v>
      </c>
    </row>
    <row r="236" spans="1:5" x14ac:dyDescent="0.25">
      <c r="A236" s="139" t="s">
        <v>1642</v>
      </c>
      <c r="B236" s="1">
        <v>374800</v>
      </c>
      <c r="C236" s="8">
        <v>6.5451388888888892E-2</v>
      </c>
      <c r="D236" s="1">
        <v>4250.182396534773</v>
      </c>
    </row>
    <row r="237" spans="1:5" x14ac:dyDescent="0.25">
      <c r="A237" s="139" t="s">
        <v>1643</v>
      </c>
      <c r="B237" s="1">
        <v>287100</v>
      </c>
      <c r="C237" s="8">
        <v>0.57109953703703698</v>
      </c>
      <c r="D237" s="1">
        <v>46753.04813312355</v>
      </c>
    </row>
    <row r="238" spans="1:5" x14ac:dyDescent="0.25">
      <c r="A238" s="125" t="s">
        <v>143</v>
      </c>
      <c r="B238" s="1">
        <v>521337</v>
      </c>
      <c r="C238" s="8">
        <v>2.283611111111111</v>
      </c>
      <c r="D238" s="1">
        <v>56212.179977716369</v>
      </c>
    </row>
    <row r="239" spans="1:5" x14ac:dyDescent="0.25">
      <c r="A239" s="139" t="s">
        <v>1642</v>
      </c>
      <c r="B239" s="1">
        <v>298900</v>
      </c>
      <c r="C239" s="8">
        <v>0.17945601851851853</v>
      </c>
      <c r="D239" s="1">
        <v>7988.9846326924098</v>
      </c>
    </row>
    <row r="240" spans="1:5" x14ac:dyDescent="0.25">
      <c r="A240" s="139" t="s">
        <v>1643</v>
      </c>
      <c r="B240" s="1">
        <v>183037</v>
      </c>
      <c r="C240" s="8">
        <v>1.0305555555555554</v>
      </c>
      <c r="D240" s="1">
        <v>39072.875822915019</v>
      </c>
    </row>
    <row r="241" spans="1:5" x14ac:dyDescent="0.25">
      <c r="A241" s="139" t="s">
        <v>1644</v>
      </c>
      <c r="B241" s="1">
        <v>39400</v>
      </c>
      <c r="C241" s="8">
        <v>1.073599537037037</v>
      </c>
      <c r="D241" s="1">
        <v>9150.3195221089372</v>
      </c>
    </row>
    <row r="242" spans="1:5" x14ac:dyDescent="0.25">
      <c r="A242" s="125" t="s">
        <v>1482</v>
      </c>
      <c r="B242" s="1">
        <v>450300</v>
      </c>
      <c r="C242" s="8">
        <v>0.57017361111111109</v>
      </c>
      <c r="D242" s="1">
        <v>36516.192795571325</v>
      </c>
    </row>
    <row r="243" spans="1:5" x14ac:dyDescent="0.25">
      <c r="A243" s="139" t="s">
        <v>1642</v>
      </c>
      <c r="B243" s="1">
        <v>246600</v>
      </c>
      <c r="C243" s="8">
        <v>8.0914351851851848E-2</v>
      </c>
      <c r="D243" s="1">
        <v>5231.4621620031758</v>
      </c>
    </row>
    <row r="244" spans="1:5" x14ac:dyDescent="0.25">
      <c r="A244" s="139" t="s">
        <v>1643</v>
      </c>
      <c r="B244" s="1">
        <v>203700</v>
      </c>
      <c r="C244" s="8">
        <v>0.48925925925925928</v>
      </c>
      <c r="D244" s="1">
        <v>31284.73063356815</v>
      </c>
    </row>
    <row r="245" spans="1:5" x14ac:dyDescent="0.25">
      <c r="A245" s="125" t="s">
        <v>1473</v>
      </c>
      <c r="B245" s="1">
        <v>133874</v>
      </c>
      <c r="C245" s="8">
        <v>1.2894097222222223</v>
      </c>
      <c r="D245" s="1">
        <v>10992.763609765378</v>
      </c>
    </row>
    <row r="246" spans="1:5" x14ac:dyDescent="0.25">
      <c r="A246" s="139" t="s">
        <v>1642</v>
      </c>
      <c r="B246" s="1">
        <v>80549</v>
      </c>
      <c r="C246" s="8">
        <v>0.13761574074074076</v>
      </c>
      <c r="D246" s="1">
        <v>1491.5631448421407</v>
      </c>
    </row>
    <row r="247" spans="1:5" x14ac:dyDescent="0.25">
      <c r="A247" s="139" t="s">
        <v>1643</v>
      </c>
      <c r="B247" s="1">
        <v>51225</v>
      </c>
      <c r="C247" s="8">
        <v>1.0003819444444444</v>
      </c>
      <c r="D247" s="1">
        <v>9266.6139963658952</v>
      </c>
      <c r="E247" s="19"/>
    </row>
    <row r="248" spans="1:5" x14ac:dyDescent="0.25">
      <c r="A248" s="139" t="s">
        <v>1644</v>
      </c>
      <c r="B248" s="1">
        <v>2100</v>
      </c>
      <c r="C248" s="8">
        <v>0.15141203703703704</v>
      </c>
      <c r="D248" s="1">
        <v>234.58646855734102</v>
      </c>
    </row>
    <row r="249" spans="1:5" x14ac:dyDescent="0.25">
      <c r="A249" s="17" t="s">
        <v>149</v>
      </c>
      <c r="B249" s="1">
        <v>736075</v>
      </c>
      <c r="C249" s="8">
        <v>14.097685185185187</v>
      </c>
      <c r="D249" s="1">
        <v>144454.36215994711</v>
      </c>
    </row>
    <row r="250" spans="1:5" x14ac:dyDescent="0.25">
      <c r="A250" s="125" t="s">
        <v>268</v>
      </c>
      <c r="B250" s="1">
        <v>433823</v>
      </c>
      <c r="C250" s="8">
        <v>7.795405092592592</v>
      </c>
      <c r="D250" s="1">
        <v>81884.117759199027</v>
      </c>
    </row>
    <row r="251" spans="1:5" x14ac:dyDescent="0.25">
      <c r="A251" s="139" t="s">
        <v>1642</v>
      </c>
      <c r="B251" s="1">
        <v>88063</v>
      </c>
      <c r="C251" s="8">
        <v>0.98739583333333336</v>
      </c>
      <c r="D251" s="1">
        <v>5525.0523681690347</v>
      </c>
    </row>
    <row r="252" spans="1:5" x14ac:dyDescent="0.25">
      <c r="A252" s="139" t="s">
        <v>1643</v>
      </c>
      <c r="B252" s="1">
        <v>297525</v>
      </c>
      <c r="C252" s="8">
        <v>5.3803819444444443</v>
      </c>
      <c r="D252" s="1">
        <v>68477.421271021129</v>
      </c>
    </row>
    <row r="253" spans="1:5" x14ac:dyDescent="0.25">
      <c r="A253" s="139" t="s">
        <v>1644</v>
      </c>
      <c r="B253" s="1">
        <v>48235</v>
      </c>
      <c r="C253" s="8">
        <v>1.4276273148148149</v>
      </c>
      <c r="D253" s="1">
        <v>7881.6441200088557</v>
      </c>
    </row>
    <row r="254" spans="1:5" x14ac:dyDescent="0.25">
      <c r="A254" s="125" t="s">
        <v>269</v>
      </c>
      <c r="B254" s="1">
        <v>302252</v>
      </c>
      <c r="C254" s="8">
        <v>6.3022800925925928</v>
      </c>
      <c r="D254" s="1">
        <v>62570.244400748095</v>
      </c>
    </row>
    <row r="255" spans="1:5" x14ac:dyDescent="0.25">
      <c r="A255" s="139" t="s">
        <v>1642</v>
      </c>
      <c r="B255" s="1">
        <v>56191</v>
      </c>
      <c r="C255" s="8">
        <v>0.83843749999999995</v>
      </c>
      <c r="D255" s="1">
        <v>4754.8274089417291</v>
      </c>
    </row>
    <row r="256" spans="1:5" x14ac:dyDescent="0.25">
      <c r="A256" s="139" t="s">
        <v>1643</v>
      </c>
      <c r="B256" s="1">
        <v>176541</v>
      </c>
      <c r="C256" s="8">
        <v>3.0458796296296295</v>
      </c>
      <c r="D256" s="1">
        <v>46070.236083068063</v>
      </c>
    </row>
    <row r="257" spans="1:4" x14ac:dyDescent="0.25">
      <c r="A257" s="139" t="s">
        <v>1644</v>
      </c>
      <c r="B257" s="1">
        <v>69520</v>
      </c>
      <c r="C257" s="8">
        <v>2.4179629629629629</v>
      </c>
      <c r="D257" s="1">
        <v>11745.180908738304</v>
      </c>
    </row>
    <row r="258" spans="1:4" x14ac:dyDescent="0.25">
      <c r="A258" s="7" t="s">
        <v>8</v>
      </c>
      <c r="B258" s="1">
        <v>2136378</v>
      </c>
      <c r="C258" s="8">
        <v>15.504120370370369</v>
      </c>
      <c r="D258" s="1">
        <v>198926.28592271253</v>
      </c>
    </row>
    <row r="259" spans="1:4" x14ac:dyDescent="0.25">
      <c r="A259" s="17" t="s">
        <v>149</v>
      </c>
      <c r="B259" s="1">
        <v>2136378</v>
      </c>
      <c r="C259" s="8">
        <v>15.504120370370369</v>
      </c>
      <c r="D259" s="1">
        <v>198926.28592271253</v>
      </c>
    </row>
    <row r="260" spans="1:4" x14ac:dyDescent="0.25">
      <c r="A260" s="125" t="s">
        <v>199</v>
      </c>
      <c r="B260" s="1">
        <v>1592777</v>
      </c>
      <c r="C260" s="8">
        <v>6.7143171296296291</v>
      </c>
      <c r="D260" s="1">
        <v>112738.09821059732</v>
      </c>
    </row>
    <row r="261" spans="1:4" x14ac:dyDescent="0.25">
      <c r="A261" s="139" t="s">
        <v>1642</v>
      </c>
      <c r="B261" s="1">
        <v>1217081</v>
      </c>
      <c r="C261" s="8">
        <v>2.9435879629629631</v>
      </c>
      <c r="D261" s="1">
        <v>25837.175265953883</v>
      </c>
    </row>
    <row r="262" spans="1:4" x14ac:dyDescent="0.25">
      <c r="A262" s="139" t="s">
        <v>1643</v>
      </c>
      <c r="B262" s="1">
        <v>375696</v>
      </c>
      <c r="C262" s="8">
        <v>3.7707291666666665</v>
      </c>
      <c r="D262" s="1">
        <v>86900.922944643447</v>
      </c>
    </row>
    <row r="263" spans="1:4" x14ac:dyDescent="0.25">
      <c r="A263" s="125" t="s">
        <v>882</v>
      </c>
      <c r="B263" s="1">
        <v>356751</v>
      </c>
      <c r="C263" s="8">
        <v>4.5829745370370372</v>
      </c>
      <c r="D263" s="1">
        <v>42791.866246100886</v>
      </c>
    </row>
    <row r="264" spans="1:4" x14ac:dyDescent="0.25">
      <c r="A264" s="139" t="s">
        <v>1642</v>
      </c>
      <c r="B264" s="1">
        <v>169901</v>
      </c>
      <c r="C264" s="8">
        <v>0.72892361111111104</v>
      </c>
      <c r="D264" s="1">
        <v>3034.6893540104556</v>
      </c>
    </row>
    <row r="265" spans="1:4" x14ac:dyDescent="0.25">
      <c r="A265" s="139" t="s">
        <v>1643</v>
      </c>
      <c r="B265" s="1">
        <v>186850</v>
      </c>
      <c r="C265" s="8">
        <v>3.8540509259259261</v>
      </c>
      <c r="D265" s="1">
        <v>39757.176892090429</v>
      </c>
    </row>
    <row r="266" spans="1:4" x14ac:dyDescent="0.25">
      <c r="A266" s="125" t="s">
        <v>1076</v>
      </c>
      <c r="B266" s="1">
        <v>186850</v>
      </c>
      <c r="C266" s="8">
        <v>4.206828703703704</v>
      </c>
      <c r="D266" s="1">
        <v>43396.321466014328</v>
      </c>
    </row>
    <row r="267" spans="1:4" x14ac:dyDescent="0.25">
      <c r="A267" s="139" t="s">
        <v>1643</v>
      </c>
      <c r="B267" s="1">
        <v>186850</v>
      </c>
      <c r="C267" s="8">
        <v>4.206828703703704</v>
      </c>
      <c r="D267" s="1">
        <v>43396.321466014328</v>
      </c>
    </row>
    <row r="268" spans="1:4" x14ac:dyDescent="0.25">
      <c r="A268" s="7" t="s">
        <v>83</v>
      </c>
      <c r="B268" s="1">
        <v>2121736</v>
      </c>
      <c r="C268" s="8">
        <v>11.607638888888888</v>
      </c>
      <c r="D268" s="1">
        <v>320589.23551697441</v>
      </c>
    </row>
    <row r="269" spans="1:4" x14ac:dyDescent="0.25">
      <c r="A269" s="17" t="s">
        <v>149</v>
      </c>
      <c r="B269" s="1">
        <v>2121736</v>
      </c>
      <c r="C269" s="8">
        <v>11.607638888888888</v>
      </c>
      <c r="D269" s="1">
        <v>320589.23551697441</v>
      </c>
    </row>
    <row r="270" spans="1:4" x14ac:dyDescent="0.25">
      <c r="A270" s="125" t="s">
        <v>183</v>
      </c>
      <c r="B270" s="1">
        <v>826640</v>
      </c>
      <c r="C270" s="8">
        <v>4.520833333333333</v>
      </c>
      <c r="D270" s="1">
        <v>137710.67749523604</v>
      </c>
    </row>
    <row r="271" spans="1:4" x14ac:dyDescent="0.25">
      <c r="A271" s="139" t="s">
        <v>1643</v>
      </c>
      <c r="B271" s="1">
        <v>770096</v>
      </c>
      <c r="C271" s="8">
        <v>4.020833333333333</v>
      </c>
      <c r="D271" s="1">
        <v>132363.26905956364</v>
      </c>
    </row>
    <row r="272" spans="1:4" x14ac:dyDescent="0.25">
      <c r="A272" s="139" t="s">
        <v>1644</v>
      </c>
      <c r="B272" s="1">
        <v>56544</v>
      </c>
      <c r="C272" s="8">
        <v>0.5</v>
      </c>
      <c r="D272" s="1">
        <v>5347.408435672417</v>
      </c>
    </row>
    <row r="273" spans="1:4" x14ac:dyDescent="0.25">
      <c r="A273" s="125" t="s">
        <v>185</v>
      </c>
      <c r="B273" s="1">
        <v>573892</v>
      </c>
      <c r="C273" s="8">
        <v>3.1909722222222223</v>
      </c>
      <c r="D273" s="1">
        <v>85971.18861363866</v>
      </c>
    </row>
    <row r="274" spans="1:4" x14ac:dyDescent="0.25">
      <c r="A274" s="139" t="s">
        <v>1642</v>
      </c>
      <c r="B274" s="1">
        <v>10720</v>
      </c>
      <c r="C274" s="8">
        <v>2.0833333333333332E-2</v>
      </c>
      <c r="D274" s="1">
        <v>162.96091946850134</v>
      </c>
    </row>
    <row r="275" spans="1:4" x14ac:dyDescent="0.25">
      <c r="A275" s="139" t="s">
        <v>1643</v>
      </c>
      <c r="B275" s="1">
        <v>464220</v>
      </c>
      <c r="C275" s="8">
        <v>2.3229166666666665</v>
      </c>
      <c r="D275" s="1">
        <v>74810.856216009503</v>
      </c>
    </row>
    <row r="276" spans="1:4" x14ac:dyDescent="0.25">
      <c r="A276" s="139" t="s">
        <v>1644</v>
      </c>
      <c r="B276" s="1">
        <v>98952</v>
      </c>
      <c r="C276" s="8">
        <v>0.84722222222222221</v>
      </c>
      <c r="D276" s="1">
        <v>10997.371478160649</v>
      </c>
    </row>
    <row r="277" spans="1:4" x14ac:dyDescent="0.25">
      <c r="A277" s="125" t="s">
        <v>186</v>
      </c>
      <c r="B277" s="1">
        <v>450100</v>
      </c>
      <c r="C277" s="8">
        <v>2.1666666666666665</v>
      </c>
      <c r="D277" s="1">
        <v>62442.390883186381</v>
      </c>
    </row>
    <row r="278" spans="1:4" x14ac:dyDescent="0.25">
      <c r="A278" s="139" t="s">
        <v>1643</v>
      </c>
      <c r="B278" s="1">
        <v>393556</v>
      </c>
      <c r="C278" s="8">
        <v>1.8125</v>
      </c>
      <c r="D278" s="1">
        <v>58186.372321506336</v>
      </c>
    </row>
    <row r="279" spans="1:4" x14ac:dyDescent="0.25">
      <c r="A279" s="139" t="s">
        <v>1644</v>
      </c>
      <c r="B279" s="1">
        <v>56544</v>
      </c>
      <c r="C279" s="8">
        <v>0.35416666666666669</v>
      </c>
      <c r="D279" s="1">
        <v>4256.0185616800482</v>
      </c>
    </row>
    <row r="280" spans="1:4" x14ac:dyDescent="0.25">
      <c r="A280" s="125" t="s">
        <v>184</v>
      </c>
      <c r="B280" s="1">
        <v>271104</v>
      </c>
      <c r="C280" s="8">
        <v>1.7291666666666667</v>
      </c>
      <c r="D280" s="1">
        <v>34464.978524913378</v>
      </c>
    </row>
    <row r="281" spans="1:4" x14ac:dyDescent="0.25">
      <c r="A281" s="139" t="s">
        <v>1643</v>
      </c>
      <c r="B281" s="1">
        <v>141328</v>
      </c>
      <c r="C281" s="8">
        <v>0.83333333333333337</v>
      </c>
      <c r="D281" s="1">
        <v>22959.757521908909</v>
      </c>
    </row>
    <row r="282" spans="1:4" x14ac:dyDescent="0.25">
      <c r="A282" s="139" t="s">
        <v>1644</v>
      </c>
      <c r="B282" s="1">
        <v>129776</v>
      </c>
      <c r="C282" s="8">
        <v>0.89583333333333337</v>
      </c>
      <c r="D282" s="1">
        <v>11505.221003004472</v>
      </c>
    </row>
    <row r="283" spans="1:4" x14ac:dyDescent="0.25">
      <c r="A283" s="7" t="s">
        <v>62</v>
      </c>
      <c r="B283" s="1">
        <v>1859732</v>
      </c>
      <c r="C283" s="8">
        <v>35.085289351851856</v>
      </c>
      <c r="D283" s="1">
        <v>91119.49487905053</v>
      </c>
    </row>
    <row r="284" spans="1:4" x14ac:dyDescent="0.25">
      <c r="A284" s="17" t="s">
        <v>149</v>
      </c>
      <c r="B284" s="1">
        <v>1859600</v>
      </c>
      <c r="C284" s="8">
        <v>34.84899305555556</v>
      </c>
      <c r="D284" s="1">
        <v>91104.902193143746</v>
      </c>
    </row>
    <row r="285" spans="1:4" x14ac:dyDescent="0.25">
      <c r="A285" s="125" t="s">
        <v>871</v>
      </c>
      <c r="B285" s="1">
        <v>1005945</v>
      </c>
      <c r="C285" s="8">
        <v>8.5155671296296287</v>
      </c>
      <c r="D285" s="1">
        <v>26275.265667930616</v>
      </c>
    </row>
    <row r="286" spans="1:4" x14ac:dyDescent="0.25">
      <c r="A286" s="139" t="s">
        <v>1642</v>
      </c>
      <c r="B286" s="1">
        <v>960408</v>
      </c>
      <c r="C286" s="8">
        <v>3.2478703703703702</v>
      </c>
      <c r="D286" s="1">
        <v>17197.609462594104</v>
      </c>
    </row>
    <row r="287" spans="1:4" x14ac:dyDescent="0.25">
      <c r="A287" s="139" t="s">
        <v>1643</v>
      </c>
      <c r="B287" s="1">
        <v>45537</v>
      </c>
      <c r="C287" s="8">
        <v>5.267696759259259</v>
      </c>
      <c r="D287" s="1">
        <v>9077.6562053365142</v>
      </c>
    </row>
    <row r="288" spans="1:4" x14ac:dyDescent="0.25">
      <c r="A288" s="125" t="s">
        <v>868</v>
      </c>
      <c r="B288" s="1">
        <v>663919</v>
      </c>
      <c r="C288" s="8">
        <v>8.9150231481481477</v>
      </c>
      <c r="D288" s="1">
        <v>50231.100142461939</v>
      </c>
    </row>
    <row r="289" spans="1:4" x14ac:dyDescent="0.25">
      <c r="A289" s="139" t="s">
        <v>1642</v>
      </c>
      <c r="B289" s="1">
        <v>477136</v>
      </c>
      <c r="C289" s="8">
        <v>2.4945601851851853</v>
      </c>
      <c r="D289" s="1">
        <v>8493.3061743624639</v>
      </c>
    </row>
    <row r="290" spans="1:4" x14ac:dyDescent="0.25">
      <c r="A290" s="139" t="s">
        <v>1643</v>
      </c>
      <c r="B290" s="1">
        <v>186783</v>
      </c>
      <c r="C290" s="8">
        <v>6.4204629629629633</v>
      </c>
      <c r="D290" s="1">
        <v>41737.793968099475</v>
      </c>
    </row>
    <row r="291" spans="1:4" x14ac:dyDescent="0.25">
      <c r="A291" s="125" t="s">
        <v>1645</v>
      </c>
      <c r="B291" s="1">
        <v>101526</v>
      </c>
      <c r="C291" s="8">
        <v>8.5031828703703702</v>
      </c>
      <c r="D291" s="1">
        <v>6285.8258488461679</v>
      </c>
    </row>
    <row r="292" spans="1:4" x14ac:dyDescent="0.25">
      <c r="A292" s="139" t="s">
        <v>1642</v>
      </c>
      <c r="B292" s="1">
        <v>84077</v>
      </c>
      <c r="C292" s="8">
        <v>3.2355555555555555</v>
      </c>
      <c r="D292" s="1">
        <v>1510.0052812591136</v>
      </c>
    </row>
    <row r="293" spans="1:4" x14ac:dyDescent="0.25">
      <c r="A293" s="139" t="s">
        <v>1643</v>
      </c>
      <c r="B293" s="1">
        <v>17449</v>
      </c>
      <c r="C293" s="8">
        <v>5.2676273148148152</v>
      </c>
      <c r="D293" s="1">
        <v>4775.820567587054</v>
      </c>
    </row>
    <row r="294" spans="1:4" x14ac:dyDescent="0.25">
      <c r="A294" s="125" t="s">
        <v>1646</v>
      </c>
      <c r="B294" s="1">
        <v>88210</v>
      </c>
      <c r="C294" s="8">
        <v>8.9152199074074066</v>
      </c>
      <c r="D294" s="1">
        <v>8312.7105339050067</v>
      </c>
    </row>
    <row r="295" spans="1:4" x14ac:dyDescent="0.25">
      <c r="A295" s="139" t="s">
        <v>1642</v>
      </c>
      <c r="B295" s="1">
        <v>44485</v>
      </c>
      <c r="C295" s="8">
        <v>2.4898958333333332</v>
      </c>
      <c r="D295" s="1">
        <v>797.52019044603071</v>
      </c>
    </row>
    <row r="296" spans="1:4" x14ac:dyDescent="0.25">
      <c r="A296" s="139" t="s">
        <v>1643</v>
      </c>
      <c r="B296" s="1">
        <v>43725</v>
      </c>
      <c r="C296" s="8">
        <v>6.4253240740740738</v>
      </c>
      <c r="D296" s="1">
        <v>7515.1903434589767</v>
      </c>
    </row>
    <row r="297" spans="1:4" x14ac:dyDescent="0.25">
      <c r="A297" s="17" t="s">
        <v>142</v>
      </c>
      <c r="B297" s="1">
        <v>132</v>
      </c>
      <c r="C297" s="8">
        <v>0.23629629629629631</v>
      </c>
      <c r="D297" s="1">
        <v>14.592685906792815</v>
      </c>
    </row>
    <row r="298" spans="1:4" x14ac:dyDescent="0.25">
      <c r="A298" s="125" t="s">
        <v>833</v>
      </c>
      <c r="B298" s="1">
        <v>132</v>
      </c>
      <c r="C298" s="8">
        <v>0.23629629629629631</v>
      </c>
      <c r="D298" s="1">
        <v>14.592685906792815</v>
      </c>
    </row>
    <row r="299" spans="1:4" x14ac:dyDescent="0.25">
      <c r="A299" s="139" t="s">
        <v>1643</v>
      </c>
      <c r="B299" s="1">
        <v>132</v>
      </c>
      <c r="C299" s="8">
        <v>0.23629629629629631</v>
      </c>
      <c r="D299" s="1">
        <v>14.592685906792815</v>
      </c>
    </row>
    <row r="300" spans="1:4" x14ac:dyDescent="0.25">
      <c r="A300" s="7" t="s">
        <v>13</v>
      </c>
      <c r="B300" s="1">
        <v>1770954</v>
      </c>
      <c r="C300" s="8">
        <v>11.607638888888889</v>
      </c>
      <c r="D300" s="1">
        <v>184222.75679813226</v>
      </c>
    </row>
    <row r="301" spans="1:4" x14ac:dyDescent="0.25">
      <c r="A301" s="17" t="s">
        <v>149</v>
      </c>
      <c r="B301" s="1">
        <v>1770954</v>
      </c>
      <c r="C301" s="8">
        <v>11.607638888888889</v>
      </c>
      <c r="D301" s="1">
        <v>184222.75679813226</v>
      </c>
    </row>
    <row r="302" spans="1:4" x14ac:dyDescent="0.25">
      <c r="A302" s="125" t="s">
        <v>183</v>
      </c>
      <c r="B302" s="1">
        <v>683150</v>
      </c>
      <c r="C302" s="8">
        <v>4.520833333333333</v>
      </c>
      <c r="D302" s="1">
        <v>78435.397425983028</v>
      </c>
    </row>
    <row r="303" spans="1:4" x14ac:dyDescent="0.25">
      <c r="A303" s="139" t="s">
        <v>1643</v>
      </c>
      <c r="B303" s="1">
        <v>636422</v>
      </c>
      <c r="C303" s="8">
        <v>4.020833333333333</v>
      </c>
      <c r="D303" s="1">
        <v>75389.756696462544</v>
      </c>
    </row>
    <row r="304" spans="1:4" x14ac:dyDescent="0.25">
      <c r="A304" s="139" t="s">
        <v>1644</v>
      </c>
      <c r="B304" s="1">
        <v>46728</v>
      </c>
      <c r="C304" s="8">
        <v>0.5</v>
      </c>
      <c r="D304" s="1">
        <v>3045.6407295204876</v>
      </c>
    </row>
    <row r="305" spans="1:4" x14ac:dyDescent="0.25">
      <c r="A305" s="125" t="s">
        <v>185</v>
      </c>
      <c r="B305" s="1">
        <v>491790</v>
      </c>
      <c r="C305" s="8">
        <v>3.1909722222222223</v>
      </c>
      <c r="D305" s="1">
        <v>50592.281100285581</v>
      </c>
    </row>
    <row r="306" spans="1:4" x14ac:dyDescent="0.25">
      <c r="A306" s="139" t="s">
        <v>1642</v>
      </c>
      <c r="B306" s="1">
        <v>8859</v>
      </c>
      <c r="C306" s="8">
        <v>2.0833333333333332E-2</v>
      </c>
      <c r="D306" s="1">
        <v>92.814970759113521</v>
      </c>
    </row>
    <row r="307" spans="1:4" x14ac:dyDescent="0.25">
      <c r="A307" s="139" t="s">
        <v>1643</v>
      </c>
      <c r="B307" s="1">
        <v>412839</v>
      </c>
      <c r="C307" s="8">
        <v>2.4895833333333335</v>
      </c>
      <c r="D307" s="1">
        <v>45320.293662080119</v>
      </c>
    </row>
    <row r="308" spans="1:4" x14ac:dyDescent="0.25">
      <c r="A308" s="139" t="s">
        <v>1644</v>
      </c>
      <c r="B308" s="1">
        <v>70092</v>
      </c>
      <c r="C308" s="8">
        <v>0.68055555555555547</v>
      </c>
      <c r="D308" s="1">
        <v>5179.1724674463458</v>
      </c>
    </row>
    <row r="309" spans="1:4" x14ac:dyDescent="0.25">
      <c r="A309" s="125" t="s">
        <v>186</v>
      </c>
      <c r="B309" s="1">
        <v>371970</v>
      </c>
      <c r="C309" s="8">
        <v>2.1666666666666665</v>
      </c>
      <c r="D309" s="1">
        <v>35565.062733161445</v>
      </c>
    </row>
    <row r="310" spans="1:4" x14ac:dyDescent="0.25">
      <c r="A310" s="139" t="s">
        <v>1643</v>
      </c>
      <c r="B310" s="1">
        <v>325242</v>
      </c>
      <c r="C310" s="8">
        <v>1.8125</v>
      </c>
      <c r="D310" s="1">
        <v>33141.028056741969</v>
      </c>
    </row>
    <row r="311" spans="1:4" x14ac:dyDescent="0.25">
      <c r="A311" s="139" t="s">
        <v>1644</v>
      </c>
      <c r="B311" s="1">
        <v>46728</v>
      </c>
      <c r="C311" s="8">
        <v>0.35416666666666669</v>
      </c>
      <c r="D311" s="1">
        <v>2424.0346764194755</v>
      </c>
    </row>
    <row r="312" spans="1:4" x14ac:dyDescent="0.25">
      <c r="A312" s="125" t="s">
        <v>184</v>
      </c>
      <c r="B312" s="1">
        <v>224044</v>
      </c>
      <c r="C312" s="8">
        <v>1.7291666666666667</v>
      </c>
      <c r="D312" s="1">
        <v>19630.015538702239</v>
      </c>
    </row>
    <row r="313" spans="1:4" x14ac:dyDescent="0.25">
      <c r="A313" s="139" t="s">
        <v>1643</v>
      </c>
      <c r="B313" s="1">
        <v>116796</v>
      </c>
      <c r="C313" s="8">
        <v>0.83333333333333337</v>
      </c>
      <c r="D313" s="1">
        <v>13077.107773743381</v>
      </c>
    </row>
    <row r="314" spans="1:4" x14ac:dyDescent="0.25">
      <c r="A314" s="139" t="s">
        <v>1644</v>
      </c>
      <c r="B314" s="1">
        <v>107248</v>
      </c>
      <c r="C314" s="8">
        <v>0.89583333333333337</v>
      </c>
      <c r="D314" s="1">
        <v>6552.9077649588562</v>
      </c>
    </row>
    <row r="315" spans="1:4" x14ac:dyDescent="0.25">
      <c r="A315" s="7" t="s">
        <v>43</v>
      </c>
      <c r="B315" s="1">
        <v>1608925</v>
      </c>
      <c r="C315" s="8">
        <v>15.27457175925926</v>
      </c>
      <c r="D315" s="1">
        <v>81694.569433812838</v>
      </c>
    </row>
    <row r="316" spans="1:4" x14ac:dyDescent="0.25">
      <c r="A316" s="17" t="s">
        <v>149</v>
      </c>
      <c r="B316" s="1">
        <v>1608925</v>
      </c>
      <c r="C316" s="8">
        <v>15.27457175925926</v>
      </c>
      <c r="D316" s="1">
        <v>81694.569433812838</v>
      </c>
    </row>
    <row r="317" spans="1:4" x14ac:dyDescent="0.25">
      <c r="A317" s="125" t="s">
        <v>268</v>
      </c>
      <c r="B317" s="1">
        <v>1041993</v>
      </c>
      <c r="C317" s="8">
        <v>8.972291666666667</v>
      </c>
      <c r="D317" s="1">
        <v>55813.604095824121</v>
      </c>
    </row>
    <row r="318" spans="1:4" x14ac:dyDescent="0.25">
      <c r="A318" s="139" t="s">
        <v>1642</v>
      </c>
      <c r="B318" s="1">
        <v>180754</v>
      </c>
      <c r="C318" s="8">
        <v>0.93214120370370368</v>
      </c>
      <c r="D318" s="1">
        <v>2782.4029649169843</v>
      </c>
    </row>
    <row r="319" spans="1:4" x14ac:dyDescent="0.25">
      <c r="A319" s="139" t="s">
        <v>1643</v>
      </c>
      <c r="B319" s="1">
        <v>749534</v>
      </c>
      <c r="C319" s="8">
        <v>6.5384374999999997</v>
      </c>
      <c r="D319" s="1">
        <v>49314.914500191582</v>
      </c>
    </row>
    <row r="320" spans="1:4" x14ac:dyDescent="0.25">
      <c r="A320" s="139" t="s">
        <v>1644</v>
      </c>
      <c r="B320" s="1">
        <v>111705</v>
      </c>
      <c r="C320" s="8">
        <v>1.5017129629629631</v>
      </c>
      <c r="D320" s="1">
        <v>3716.2866307155577</v>
      </c>
    </row>
    <row r="321" spans="1:4" x14ac:dyDescent="0.25">
      <c r="A321" s="125" t="s">
        <v>269</v>
      </c>
      <c r="B321" s="1">
        <v>566932</v>
      </c>
      <c r="C321" s="8">
        <v>6.3022800925925928</v>
      </c>
      <c r="D321" s="1">
        <v>25880.965337988699</v>
      </c>
    </row>
    <row r="322" spans="1:4" x14ac:dyDescent="0.25">
      <c r="A322" s="139" t="s">
        <v>1642</v>
      </c>
      <c r="B322" s="1">
        <v>108356</v>
      </c>
      <c r="C322" s="8">
        <v>0.83843749999999995</v>
      </c>
      <c r="D322" s="1">
        <v>2168.5713102983063</v>
      </c>
    </row>
    <row r="323" spans="1:4" x14ac:dyDescent="0.25">
      <c r="A323" s="139" t="s">
        <v>1643</v>
      </c>
      <c r="B323" s="1">
        <v>320985</v>
      </c>
      <c r="C323" s="8">
        <v>3.0458796296296295</v>
      </c>
      <c r="D323" s="1">
        <v>18595.816625954962</v>
      </c>
    </row>
    <row r="324" spans="1:4" x14ac:dyDescent="0.25">
      <c r="A324" s="139" t="s">
        <v>1644</v>
      </c>
      <c r="B324" s="1">
        <v>137591</v>
      </c>
      <c r="C324" s="8">
        <v>2.4179629629629629</v>
      </c>
      <c r="D324" s="1">
        <v>5116.5774017354315</v>
      </c>
    </row>
    <row r="325" spans="1:4" x14ac:dyDescent="0.25">
      <c r="A325" s="7" t="s">
        <v>23</v>
      </c>
      <c r="B325" s="1">
        <v>1572341</v>
      </c>
      <c r="C325" s="8">
        <v>14.888483796296297</v>
      </c>
      <c r="D325" s="1">
        <v>45513.457030665391</v>
      </c>
    </row>
    <row r="326" spans="1:4" x14ac:dyDescent="0.25">
      <c r="A326" s="17" t="s">
        <v>149</v>
      </c>
      <c r="B326" s="1">
        <v>1247652</v>
      </c>
      <c r="C326" s="8">
        <v>14.099247685185185</v>
      </c>
      <c r="D326" s="1">
        <v>39175.877850625664</v>
      </c>
    </row>
    <row r="327" spans="1:4" x14ac:dyDescent="0.25">
      <c r="A327" s="125" t="s">
        <v>268</v>
      </c>
      <c r="B327" s="1">
        <v>1060203</v>
      </c>
      <c r="C327" s="8">
        <v>7.7969675925925923</v>
      </c>
      <c r="D327" s="1">
        <v>32880.286116294061</v>
      </c>
    </row>
    <row r="328" spans="1:4" x14ac:dyDescent="0.25">
      <c r="A328" s="139" t="s">
        <v>1642</v>
      </c>
      <c r="B328" s="1">
        <v>234549</v>
      </c>
      <c r="C328" s="8">
        <v>0.98788194444444455</v>
      </c>
      <c r="D328" s="1">
        <v>2099.703181361012</v>
      </c>
    </row>
    <row r="329" spans="1:4" x14ac:dyDescent="0.25">
      <c r="A329" s="139" t="s">
        <v>1643</v>
      </c>
      <c r="B329" s="1">
        <v>724899</v>
      </c>
      <c r="C329" s="8">
        <v>5.3811805555555559</v>
      </c>
      <c r="D329" s="1">
        <v>27963.342829276764</v>
      </c>
    </row>
    <row r="330" spans="1:4" x14ac:dyDescent="0.25">
      <c r="A330" s="139" t="s">
        <v>1644</v>
      </c>
      <c r="B330" s="1">
        <v>100755</v>
      </c>
      <c r="C330" s="8">
        <v>1.4279050925925927</v>
      </c>
      <c r="D330" s="1">
        <v>2817.2401056562867</v>
      </c>
    </row>
    <row r="331" spans="1:4" x14ac:dyDescent="0.25">
      <c r="A331" s="125" t="s">
        <v>269</v>
      </c>
      <c r="B331" s="1">
        <v>187449</v>
      </c>
      <c r="C331" s="8">
        <v>6.3022800925925928</v>
      </c>
      <c r="D331" s="1">
        <v>6295.5917343315996</v>
      </c>
    </row>
    <row r="332" spans="1:4" x14ac:dyDescent="0.25">
      <c r="A332" s="139" t="s">
        <v>1642</v>
      </c>
      <c r="B332" s="1">
        <v>41029</v>
      </c>
      <c r="C332" s="8">
        <v>0.83843749999999995</v>
      </c>
      <c r="D332" s="1">
        <v>595.09780179851248</v>
      </c>
    </row>
    <row r="333" spans="1:4" x14ac:dyDescent="0.25">
      <c r="A333" s="139" t="s">
        <v>1643</v>
      </c>
      <c r="B333" s="1">
        <v>106923</v>
      </c>
      <c r="C333" s="8">
        <v>3.0458796296296295</v>
      </c>
      <c r="D333" s="1">
        <v>4604.4143665025458</v>
      </c>
    </row>
    <row r="334" spans="1:4" x14ac:dyDescent="0.25">
      <c r="A334" s="139" t="s">
        <v>1644</v>
      </c>
      <c r="B334" s="1">
        <v>39497</v>
      </c>
      <c r="C334" s="8">
        <v>2.4179629629629629</v>
      </c>
      <c r="D334" s="1">
        <v>1096.0795660305414</v>
      </c>
    </row>
    <row r="335" spans="1:4" x14ac:dyDescent="0.25">
      <c r="A335" s="17" t="s">
        <v>142</v>
      </c>
      <c r="B335" s="1">
        <v>324689</v>
      </c>
      <c r="C335" s="8">
        <v>0.78923611111111114</v>
      </c>
      <c r="D335" s="1">
        <v>6337.5791800397255</v>
      </c>
    </row>
    <row r="336" spans="1:4" x14ac:dyDescent="0.25">
      <c r="A336" s="125" t="s">
        <v>282</v>
      </c>
      <c r="B336" s="1">
        <v>324689</v>
      </c>
      <c r="C336" s="8">
        <v>0.78923611111111114</v>
      </c>
      <c r="D336" s="1">
        <v>6337.5791800397255</v>
      </c>
    </row>
    <row r="337" spans="1:4" x14ac:dyDescent="0.25">
      <c r="A337" s="139" t="s">
        <v>1642</v>
      </c>
      <c r="B337" s="1">
        <v>174763</v>
      </c>
      <c r="C337" s="8">
        <v>0.1514351851851852</v>
      </c>
      <c r="D337" s="1">
        <v>1065.6418406766686</v>
      </c>
    </row>
    <row r="338" spans="1:4" x14ac:dyDescent="0.25">
      <c r="A338" s="139" t="s">
        <v>1643</v>
      </c>
      <c r="B338" s="1">
        <v>149926</v>
      </c>
      <c r="C338" s="8">
        <v>0.63780092592592597</v>
      </c>
      <c r="D338" s="1">
        <v>5271.9373393630567</v>
      </c>
    </row>
    <row r="339" spans="1:4" x14ac:dyDescent="0.25">
      <c r="A339" s="7" t="s">
        <v>110</v>
      </c>
      <c r="B339" s="1">
        <v>1396766</v>
      </c>
      <c r="C339" s="8">
        <v>7.2315509259259256</v>
      </c>
      <c r="D339" s="1">
        <v>181703.241363768</v>
      </c>
    </row>
    <row r="340" spans="1:4" x14ac:dyDescent="0.25">
      <c r="A340" s="17" t="s">
        <v>149</v>
      </c>
      <c r="B340" s="1">
        <v>1396766</v>
      </c>
      <c r="C340" s="8">
        <v>7.2315509259259256</v>
      </c>
      <c r="D340" s="1">
        <v>181703.241363768</v>
      </c>
    </row>
    <row r="341" spans="1:4" x14ac:dyDescent="0.25">
      <c r="A341" s="125" t="s">
        <v>1439</v>
      </c>
      <c r="B341" s="1">
        <v>1396766</v>
      </c>
      <c r="C341" s="8">
        <v>7.2315509259259256</v>
      </c>
      <c r="D341" s="1">
        <v>181703.241363768</v>
      </c>
    </row>
    <row r="342" spans="1:4" x14ac:dyDescent="0.25">
      <c r="A342" s="139" t="s">
        <v>1642</v>
      </c>
      <c r="B342" s="1">
        <v>200538</v>
      </c>
      <c r="C342" s="8">
        <v>0.8730902777777777</v>
      </c>
      <c r="D342" s="1">
        <v>9654.3522148709744</v>
      </c>
    </row>
    <row r="343" spans="1:4" x14ac:dyDescent="0.25">
      <c r="A343" s="139" t="s">
        <v>1643</v>
      </c>
      <c r="B343" s="1">
        <v>581133</v>
      </c>
      <c r="C343" s="8">
        <v>2.8356597222222222</v>
      </c>
      <c r="D343" s="1">
        <v>94172.37991855033</v>
      </c>
    </row>
    <row r="344" spans="1:4" x14ac:dyDescent="0.25">
      <c r="A344" s="139" t="s">
        <v>1644</v>
      </c>
      <c r="B344" s="1">
        <v>615095</v>
      </c>
      <c r="C344" s="8">
        <v>3.5228009259259259</v>
      </c>
      <c r="D344" s="1">
        <v>77876.50923034671</v>
      </c>
    </row>
    <row r="345" spans="1:4" x14ac:dyDescent="0.25">
      <c r="A345" s="7" t="s">
        <v>29</v>
      </c>
      <c r="B345" s="1">
        <v>1384682</v>
      </c>
      <c r="C345" s="8">
        <v>15.094548611111112</v>
      </c>
      <c r="D345" s="1">
        <v>186795.11792465864</v>
      </c>
    </row>
    <row r="346" spans="1:4" x14ac:dyDescent="0.25">
      <c r="A346" s="17" t="s">
        <v>149</v>
      </c>
      <c r="B346" s="1">
        <v>1384682</v>
      </c>
      <c r="C346" s="8">
        <v>15.094548611111112</v>
      </c>
      <c r="D346" s="1">
        <v>186795.11792465864</v>
      </c>
    </row>
    <row r="347" spans="1:4" x14ac:dyDescent="0.25">
      <c r="A347" s="125" t="s">
        <v>268</v>
      </c>
      <c r="B347" s="1">
        <v>779991</v>
      </c>
      <c r="C347" s="8">
        <v>8.7922685185185188</v>
      </c>
      <c r="D347" s="1">
        <v>129825.12239708471</v>
      </c>
    </row>
    <row r="348" spans="1:4" x14ac:dyDescent="0.25">
      <c r="A348" s="139" t="s">
        <v>1642</v>
      </c>
      <c r="B348" s="1">
        <v>120398</v>
      </c>
      <c r="C348" s="8">
        <v>0.64212962962962961</v>
      </c>
      <c r="D348" s="1">
        <v>5180.306431976187</v>
      </c>
    </row>
    <row r="349" spans="1:4" x14ac:dyDescent="0.25">
      <c r="A349" s="139" t="s">
        <v>1643</v>
      </c>
      <c r="B349" s="1">
        <v>508700</v>
      </c>
      <c r="C349" s="8">
        <v>6.596273148148148</v>
      </c>
      <c r="D349" s="1">
        <v>104923.75087707907</v>
      </c>
    </row>
    <row r="350" spans="1:4" x14ac:dyDescent="0.25">
      <c r="A350" s="139" t="s">
        <v>1644</v>
      </c>
      <c r="B350" s="1">
        <v>150893</v>
      </c>
      <c r="C350" s="8">
        <v>1.5538657407407408</v>
      </c>
      <c r="D350" s="1">
        <v>19721.065088029438</v>
      </c>
    </row>
    <row r="351" spans="1:4" x14ac:dyDescent="0.25">
      <c r="A351" s="125" t="s">
        <v>269</v>
      </c>
      <c r="B351" s="1">
        <v>604691</v>
      </c>
      <c r="C351" s="8">
        <v>6.3022800925925928</v>
      </c>
      <c r="D351" s="1">
        <v>56969.995527573934</v>
      </c>
    </row>
    <row r="352" spans="1:4" x14ac:dyDescent="0.25">
      <c r="A352" s="139" t="s">
        <v>1642</v>
      </c>
      <c r="B352" s="1">
        <v>102990</v>
      </c>
      <c r="C352" s="8">
        <v>0.83843749999999995</v>
      </c>
      <c r="D352" s="1">
        <v>4574.9048113297267</v>
      </c>
    </row>
    <row r="353" spans="1:4" x14ac:dyDescent="0.25">
      <c r="A353" s="139" t="s">
        <v>1643</v>
      </c>
      <c r="B353" s="1">
        <v>257571</v>
      </c>
      <c r="C353" s="8">
        <v>3.0458796296296295</v>
      </c>
      <c r="D353" s="1">
        <v>32330.812346065592</v>
      </c>
    </row>
    <row r="354" spans="1:4" x14ac:dyDescent="0.25">
      <c r="A354" s="139" t="s">
        <v>1644</v>
      </c>
      <c r="B354" s="1">
        <v>244130</v>
      </c>
      <c r="C354" s="8">
        <v>2.4179629629629629</v>
      </c>
      <c r="D354" s="1">
        <v>20064.278370178621</v>
      </c>
    </row>
    <row r="355" spans="1:4" x14ac:dyDescent="0.25">
      <c r="A355" s="7" t="s">
        <v>54</v>
      </c>
      <c r="B355" s="1">
        <v>1383203</v>
      </c>
      <c r="C355" s="8">
        <v>15.64861111111111</v>
      </c>
      <c r="D355" s="1">
        <v>57614.9419590412</v>
      </c>
    </row>
    <row r="356" spans="1:4" x14ac:dyDescent="0.25">
      <c r="A356" s="17" t="s">
        <v>149</v>
      </c>
      <c r="B356" s="1">
        <v>1383203</v>
      </c>
      <c r="C356" s="8">
        <v>15.64861111111111</v>
      </c>
      <c r="D356" s="1">
        <v>57614.9419590412</v>
      </c>
    </row>
    <row r="357" spans="1:4" x14ac:dyDescent="0.25">
      <c r="A357" s="125" t="s">
        <v>268</v>
      </c>
      <c r="B357" s="1">
        <v>766441</v>
      </c>
      <c r="C357" s="8">
        <v>9.1138888888888889</v>
      </c>
      <c r="D357" s="1">
        <v>32004.106749689581</v>
      </c>
    </row>
    <row r="358" spans="1:4" x14ac:dyDescent="0.25">
      <c r="A358" s="139" t="s">
        <v>1642</v>
      </c>
      <c r="B358" s="1">
        <v>76308</v>
      </c>
      <c r="C358" s="8">
        <v>0.97916666666666663</v>
      </c>
      <c r="D358" s="1">
        <v>1688.1771881741126</v>
      </c>
    </row>
    <row r="359" spans="1:4" x14ac:dyDescent="0.25">
      <c r="A359" s="139" t="s">
        <v>1643</v>
      </c>
      <c r="B359" s="1">
        <v>598810</v>
      </c>
      <c r="C359" s="8">
        <v>6.2222222222222223</v>
      </c>
      <c r="D359" s="1">
        <v>27056.464138629915</v>
      </c>
    </row>
    <row r="360" spans="1:4" x14ac:dyDescent="0.25">
      <c r="A360" s="139" t="s">
        <v>1644</v>
      </c>
      <c r="B360" s="1">
        <v>91323</v>
      </c>
      <c r="C360" s="8">
        <v>1.9125000000000001</v>
      </c>
      <c r="D360" s="1">
        <v>3259.4654228855529</v>
      </c>
    </row>
    <row r="361" spans="1:4" x14ac:dyDescent="0.25">
      <c r="A361" s="125" t="s">
        <v>269</v>
      </c>
      <c r="B361" s="1">
        <v>616762</v>
      </c>
      <c r="C361" s="8">
        <v>6.5347222222222214</v>
      </c>
      <c r="D361" s="1">
        <v>25610.835209351619</v>
      </c>
    </row>
    <row r="362" spans="1:4" x14ac:dyDescent="0.25">
      <c r="A362" s="139" t="s">
        <v>1642</v>
      </c>
      <c r="B362" s="1">
        <v>97281</v>
      </c>
      <c r="C362" s="8">
        <v>1.1145833333333333</v>
      </c>
      <c r="D362" s="1">
        <v>2289.6573934850262</v>
      </c>
    </row>
    <row r="363" spans="1:4" x14ac:dyDescent="0.25">
      <c r="A363" s="139" t="s">
        <v>1643</v>
      </c>
      <c r="B363" s="1">
        <v>439298</v>
      </c>
      <c r="C363" s="8">
        <v>4.0625</v>
      </c>
      <c r="D363" s="1">
        <v>20474.622532893904</v>
      </c>
    </row>
    <row r="364" spans="1:4" x14ac:dyDescent="0.25">
      <c r="A364" s="139" t="s">
        <v>1644</v>
      </c>
      <c r="B364" s="1">
        <v>80183</v>
      </c>
      <c r="C364" s="8">
        <v>1.3576388888888888</v>
      </c>
      <c r="D364" s="1">
        <v>2846.5552829726867</v>
      </c>
    </row>
    <row r="365" spans="1:4" x14ac:dyDescent="0.25">
      <c r="A365" s="7" t="s">
        <v>114</v>
      </c>
      <c r="B365" s="1">
        <v>1015610</v>
      </c>
      <c r="C365" s="8">
        <v>28.854166666666664</v>
      </c>
      <c r="D365" s="1">
        <v>23170.450743598565</v>
      </c>
    </row>
    <row r="366" spans="1:4" x14ac:dyDescent="0.25">
      <c r="A366" s="17" t="s">
        <v>149</v>
      </c>
      <c r="B366" s="1">
        <v>1015610</v>
      </c>
      <c r="C366" s="8">
        <v>28.854166666666664</v>
      </c>
      <c r="D366" s="1">
        <v>23170.450743598565</v>
      </c>
    </row>
    <row r="367" spans="1:4" x14ac:dyDescent="0.25">
      <c r="A367" s="125" t="s">
        <v>1493</v>
      </c>
      <c r="B367" s="1">
        <v>542318</v>
      </c>
      <c r="C367" s="8">
        <v>14.8125</v>
      </c>
      <c r="D367" s="1">
        <v>11944.661670756836</v>
      </c>
    </row>
    <row r="368" spans="1:4" x14ac:dyDescent="0.25">
      <c r="A368" s="139" t="s">
        <v>1642</v>
      </c>
      <c r="B368" s="1">
        <v>11878</v>
      </c>
      <c r="C368" s="8">
        <v>4.1666666666666664E-2</v>
      </c>
      <c r="D368" s="1">
        <v>26.598494149889316</v>
      </c>
    </row>
    <row r="369" spans="1:4" x14ac:dyDescent="0.25">
      <c r="A369" s="139" t="s">
        <v>1643</v>
      </c>
      <c r="B369" s="1">
        <v>300270</v>
      </c>
      <c r="C369" s="8">
        <v>6.041666666666667</v>
      </c>
      <c r="D369" s="1">
        <v>6965.3262820887048</v>
      </c>
    </row>
    <row r="370" spans="1:4" x14ac:dyDescent="0.25">
      <c r="A370" s="139" t="s">
        <v>1644</v>
      </c>
      <c r="B370" s="1">
        <v>230170</v>
      </c>
      <c r="C370" s="8">
        <v>8.7291666666666661</v>
      </c>
      <c r="D370" s="1">
        <v>4952.7368945182407</v>
      </c>
    </row>
    <row r="371" spans="1:4" x14ac:dyDescent="0.25">
      <c r="A371" s="125" t="s">
        <v>1494</v>
      </c>
      <c r="B371" s="1">
        <v>473292</v>
      </c>
      <c r="C371" s="8">
        <v>14.041666666666668</v>
      </c>
      <c r="D371" s="1">
        <v>11225.789072841731</v>
      </c>
    </row>
    <row r="372" spans="1:4" x14ac:dyDescent="0.25">
      <c r="A372" s="139" t="s">
        <v>1643</v>
      </c>
      <c r="B372" s="1">
        <v>290261</v>
      </c>
      <c r="C372" s="8">
        <v>6.041666666666667</v>
      </c>
      <c r="D372" s="1">
        <v>6965.3262820887048</v>
      </c>
    </row>
    <row r="373" spans="1:4" x14ac:dyDescent="0.25">
      <c r="A373" s="139" t="s">
        <v>1644</v>
      </c>
      <c r="B373" s="1">
        <v>183031</v>
      </c>
      <c r="C373" s="8">
        <v>8</v>
      </c>
      <c r="D373" s="1">
        <v>4260.4627907530266</v>
      </c>
    </row>
    <row r="374" spans="1:4" x14ac:dyDescent="0.25">
      <c r="A374" s="7" t="s">
        <v>17</v>
      </c>
      <c r="B374" s="1">
        <v>984174.12793760269</v>
      </c>
      <c r="C374" s="8">
        <v>9.9191435185185188</v>
      </c>
      <c r="D374" s="1">
        <v>153271.42691803104</v>
      </c>
    </row>
    <row r="375" spans="1:4" x14ac:dyDescent="0.25">
      <c r="A375" s="17" t="s">
        <v>149</v>
      </c>
      <c r="B375" s="1">
        <v>492863.13331976137</v>
      </c>
      <c r="C375" s="8">
        <v>8.193564814814815</v>
      </c>
      <c r="D375" s="1">
        <v>68360.173158151098</v>
      </c>
    </row>
    <row r="376" spans="1:4" x14ac:dyDescent="0.25">
      <c r="A376" s="125" t="s">
        <v>183</v>
      </c>
      <c r="B376" s="1">
        <v>485354.13331976137</v>
      </c>
      <c r="C376" s="8">
        <v>7.8602314814814811</v>
      </c>
      <c r="D376" s="1">
        <v>67625.950207183632</v>
      </c>
    </row>
    <row r="377" spans="1:4" x14ac:dyDescent="0.25">
      <c r="A377" s="139" t="s">
        <v>1642</v>
      </c>
      <c r="B377" s="1">
        <v>27963.431857799049</v>
      </c>
      <c r="C377" s="8">
        <v>0.10413194444444444</v>
      </c>
      <c r="D377" s="1">
        <v>1316.0278876764125</v>
      </c>
    </row>
    <row r="378" spans="1:4" x14ac:dyDescent="0.25">
      <c r="A378" s="139" t="s">
        <v>1643</v>
      </c>
      <c r="B378" s="1">
        <v>288634.64176198898</v>
      </c>
      <c r="C378" s="8">
        <v>3.9679513888888889</v>
      </c>
      <c r="D378" s="1">
        <v>46556.361871120193</v>
      </c>
    </row>
    <row r="379" spans="1:4" x14ac:dyDescent="0.25">
      <c r="A379" s="139" t="s">
        <v>1644</v>
      </c>
      <c r="B379" s="1">
        <v>168756.05969997335</v>
      </c>
      <c r="C379" s="8">
        <v>3.788148148148148</v>
      </c>
      <c r="D379" s="1">
        <v>19753.560448387019</v>
      </c>
    </row>
    <row r="380" spans="1:4" x14ac:dyDescent="0.25">
      <c r="A380" s="125" t="s">
        <v>185</v>
      </c>
      <c r="B380" s="1">
        <v>7509</v>
      </c>
      <c r="C380" s="8">
        <v>0.33333333333333331</v>
      </c>
      <c r="D380" s="1">
        <v>734.22295096746052</v>
      </c>
    </row>
    <row r="381" spans="1:4" x14ac:dyDescent="0.25">
      <c r="A381" s="139" t="s">
        <v>1644</v>
      </c>
      <c r="B381" s="1">
        <v>7509</v>
      </c>
      <c r="C381" s="8">
        <v>0.33333333333333331</v>
      </c>
      <c r="D381" s="1">
        <v>734.22295096746052</v>
      </c>
    </row>
    <row r="382" spans="1:4" x14ac:dyDescent="0.25">
      <c r="A382" s="17" t="s">
        <v>142</v>
      </c>
      <c r="B382" s="1">
        <v>491310.99461784132</v>
      </c>
      <c r="C382" s="8">
        <v>1.7255787037037038</v>
      </c>
      <c r="D382" s="1">
        <v>84911.253759879939</v>
      </c>
    </row>
    <row r="383" spans="1:4" x14ac:dyDescent="0.25">
      <c r="A383" s="125" t="s">
        <v>251</v>
      </c>
      <c r="B383" s="1">
        <v>491310.99461784132</v>
      </c>
      <c r="C383" s="8">
        <v>1.7255787037037038</v>
      </c>
      <c r="D383" s="1">
        <v>84911.253759879939</v>
      </c>
    </row>
    <row r="384" spans="1:4" x14ac:dyDescent="0.25">
      <c r="A384" s="139" t="s">
        <v>1642</v>
      </c>
      <c r="B384" s="1">
        <v>109577.63414044509</v>
      </c>
      <c r="C384" s="8">
        <v>4.4421296296296292E-2</v>
      </c>
      <c r="D384" s="1">
        <v>2452.9521078632197</v>
      </c>
    </row>
    <row r="385" spans="1:4" x14ac:dyDescent="0.25">
      <c r="A385" s="139" t="s">
        <v>1643</v>
      </c>
      <c r="B385" s="1">
        <v>381733.36047739623</v>
      </c>
      <c r="C385" s="8">
        <v>1.6811574074074076</v>
      </c>
      <c r="D385" s="1">
        <v>82458.301652016715</v>
      </c>
    </row>
    <row r="386" spans="1:4" x14ac:dyDescent="0.25">
      <c r="A386" s="7" t="s">
        <v>109</v>
      </c>
      <c r="B386" s="1">
        <v>940694</v>
      </c>
      <c r="C386" s="8">
        <v>29.158240740740741</v>
      </c>
      <c r="D386" s="1">
        <v>11801.840040722276</v>
      </c>
    </row>
    <row r="387" spans="1:4" x14ac:dyDescent="0.25">
      <c r="A387" s="17" t="s">
        <v>149</v>
      </c>
      <c r="B387" s="1">
        <v>940694</v>
      </c>
      <c r="C387" s="8">
        <v>29.158240740740741</v>
      </c>
      <c r="D387" s="1">
        <v>11801.840040722276</v>
      </c>
    </row>
    <row r="388" spans="1:4" x14ac:dyDescent="0.25">
      <c r="A388" s="125" t="s">
        <v>1198</v>
      </c>
      <c r="B388" s="1">
        <v>739523</v>
      </c>
      <c r="C388" s="8">
        <v>15.391215277777778</v>
      </c>
      <c r="D388" s="1">
        <v>9571.5594922909568</v>
      </c>
    </row>
    <row r="389" spans="1:4" x14ac:dyDescent="0.25">
      <c r="A389" s="139" t="s">
        <v>1642</v>
      </c>
      <c r="B389" s="1">
        <v>320837</v>
      </c>
      <c r="C389" s="8">
        <v>1.588113425925926</v>
      </c>
      <c r="D389" s="1">
        <v>855.42350328904388</v>
      </c>
    </row>
    <row r="390" spans="1:4" x14ac:dyDescent="0.25">
      <c r="A390" s="139" t="s">
        <v>1643</v>
      </c>
      <c r="B390" s="1">
        <v>193959</v>
      </c>
      <c r="C390" s="8">
        <v>7.6190046296296297</v>
      </c>
      <c r="D390" s="1">
        <v>5742.8409438063336</v>
      </c>
    </row>
    <row r="391" spans="1:4" x14ac:dyDescent="0.25">
      <c r="A391" s="139" t="s">
        <v>1644</v>
      </c>
      <c r="B391" s="1">
        <v>224727</v>
      </c>
      <c r="C391" s="8">
        <v>6.1840972222222224</v>
      </c>
      <c r="D391" s="1">
        <v>2973.2950451955799</v>
      </c>
    </row>
    <row r="392" spans="1:4" x14ac:dyDescent="0.25">
      <c r="A392" s="125" t="s">
        <v>1201</v>
      </c>
      <c r="B392" s="1">
        <v>115598</v>
      </c>
      <c r="C392" s="8">
        <v>0.23393518518518519</v>
      </c>
      <c r="D392" s="1">
        <v>241.17407406313512</v>
      </c>
    </row>
    <row r="393" spans="1:4" x14ac:dyDescent="0.25">
      <c r="A393" s="139" t="s">
        <v>1642</v>
      </c>
      <c r="B393" s="1">
        <v>115598</v>
      </c>
      <c r="C393" s="8">
        <v>0.23393518518518519</v>
      </c>
      <c r="D393" s="1">
        <v>241.17407406313512</v>
      </c>
    </row>
    <row r="394" spans="1:4" x14ac:dyDescent="0.25">
      <c r="A394" s="125" t="s">
        <v>1196</v>
      </c>
      <c r="B394" s="1">
        <v>46240</v>
      </c>
      <c r="C394" s="8">
        <v>6.4723032407407404</v>
      </c>
      <c r="D394" s="1">
        <v>1062.0608004177893</v>
      </c>
    </row>
    <row r="395" spans="1:4" x14ac:dyDescent="0.25">
      <c r="A395" s="139" t="s">
        <v>1642</v>
      </c>
      <c r="B395" s="1">
        <v>9243</v>
      </c>
      <c r="C395" s="8">
        <v>0.28561342592592592</v>
      </c>
      <c r="D395" s="1">
        <v>27.027004295511485</v>
      </c>
    </row>
    <row r="396" spans="1:4" x14ac:dyDescent="0.25">
      <c r="A396" s="139" t="s">
        <v>1643</v>
      </c>
      <c r="B396" s="1">
        <v>36948</v>
      </c>
      <c r="C396" s="8">
        <v>6.0157175925925923</v>
      </c>
      <c r="D396" s="1">
        <v>1034.1333108730064</v>
      </c>
    </row>
    <row r="397" spans="1:4" x14ac:dyDescent="0.25">
      <c r="A397" s="139" t="s">
        <v>1644</v>
      </c>
      <c r="B397" s="1">
        <v>49</v>
      </c>
      <c r="C397" s="8">
        <v>0.17097222222222222</v>
      </c>
      <c r="D397" s="1">
        <v>0.9004852492715818</v>
      </c>
    </row>
    <row r="398" spans="1:4" x14ac:dyDescent="0.25">
      <c r="A398" s="125" t="s">
        <v>1203</v>
      </c>
      <c r="B398" s="1">
        <v>22305</v>
      </c>
      <c r="C398" s="8">
        <v>3.8749074074074072</v>
      </c>
      <c r="D398" s="1">
        <v>596.78475675039385</v>
      </c>
    </row>
    <row r="399" spans="1:4" x14ac:dyDescent="0.25">
      <c r="A399" s="139" t="s">
        <v>1642</v>
      </c>
      <c r="B399" s="1">
        <v>4945</v>
      </c>
      <c r="C399" s="8">
        <v>0.14736111111111111</v>
      </c>
      <c r="D399" s="1">
        <v>18.04391165112289</v>
      </c>
    </row>
    <row r="400" spans="1:4" x14ac:dyDescent="0.25">
      <c r="A400" s="139" t="s">
        <v>1643</v>
      </c>
      <c r="B400" s="1">
        <v>17360</v>
      </c>
      <c r="C400" s="8">
        <v>3.7275462962962962</v>
      </c>
      <c r="D400" s="1">
        <v>578.74084509927093</v>
      </c>
    </row>
    <row r="401" spans="1:4" x14ac:dyDescent="0.25">
      <c r="A401" s="125" t="s">
        <v>1200</v>
      </c>
      <c r="B401" s="1">
        <v>9745</v>
      </c>
      <c r="C401" s="8">
        <v>0.37668981481481478</v>
      </c>
      <c r="D401" s="1">
        <v>34.961624568236012</v>
      </c>
    </row>
    <row r="402" spans="1:4" x14ac:dyDescent="0.25">
      <c r="A402" s="139" t="s">
        <v>1642</v>
      </c>
      <c r="B402" s="1">
        <v>8496</v>
      </c>
      <c r="C402" s="8">
        <v>0.12510416666666666</v>
      </c>
      <c r="D402" s="1">
        <v>17.733737708847407</v>
      </c>
    </row>
    <row r="403" spans="1:4" x14ac:dyDescent="0.25">
      <c r="A403" s="139" t="s">
        <v>1644</v>
      </c>
      <c r="B403" s="1">
        <v>1249</v>
      </c>
      <c r="C403" s="8">
        <v>0.25158564814814816</v>
      </c>
      <c r="D403" s="1">
        <v>17.227886859388605</v>
      </c>
    </row>
    <row r="404" spans="1:4" x14ac:dyDescent="0.25">
      <c r="A404" s="125" t="s">
        <v>1199</v>
      </c>
      <c r="B404" s="1">
        <v>7234</v>
      </c>
      <c r="C404" s="8">
        <v>2.6490393518518518</v>
      </c>
      <c r="D404" s="1">
        <v>294.45580397794487</v>
      </c>
    </row>
    <row r="405" spans="1:4" x14ac:dyDescent="0.25">
      <c r="A405" s="139" t="s">
        <v>1643</v>
      </c>
      <c r="B405" s="1">
        <v>7150</v>
      </c>
      <c r="C405" s="8">
        <v>2.4234722222222222</v>
      </c>
      <c r="D405" s="1">
        <v>292.4191836897873</v>
      </c>
    </row>
    <row r="406" spans="1:4" x14ac:dyDescent="0.25">
      <c r="A406" s="139" t="s">
        <v>1644</v>
      </c>
      <c r="B406" s="1">
        <v>84</v>
      </c>
      <c r="C406" s="8">
        <v>0.22556712962962963</v>
      </c>
      <c r="D406" s="1">
        <v>2.0366202881575748</v>
      </c>
    </row>
    <row r="407" spans="1:4" x14ac:dyDescent="0.25">
      <c r="A407" s="125" t="s">
        <v>1197</v>
      </c>
      <c r="B407" s="1">
        <v>49</v>
      </c>
      <c r="C407" s="8">
        <v>0.16015046296296295</v>
      </c>
      <c r="D407" s="1">
        <v>0.84348865381606264</v>
      </c>
    </row>
    <row r="408" spans="1:4" x14ac:dyDescent="0.25">
      <c r="A408" s="139" t="s">
        <v>1643</v>
      </c>
      <c r="B408" s="1">
        <v>49</v>
      </c>
      <c r="C408" s="8">
        <v>0.16015046296296295</v>
      </c>
      <c r="D408" s="1">
        <v>0.84348865381606264</v>
      </c>
    </row>
    <row r="409" spans="1:4" x14ac:dyDescent="0.25">
      <c r="A409" s="7" t="s">
        <v>63</v>
      </c>
      <c r="B409" s="1">
        <v>906994</v>
      </c>
      <c r="C409" s="8">
        <v>12.045138888888889</v>
      </c>
      <c r="D409" s="1">
        <v>12423.721184930168</v>
      </c>
    </row>
    <row r="410" spans="1:4" x14ac:dyDescent="0.25">
      <c r="A410" s="17" t="s">
        <v>149</v>
      </c>
      <c r="B410" s="1">
        <v>906994</v>
      </c>
      <c r="C410" s="8">
        <v>12.045138888888889</v>
      </c>
      <c r="D410" s="1">
        <v>12423.721184930168</v>
      </c>
    </row>
    <row r="411" spans="1:4" x14ac:dyDescent="0.25">
      <c r="A411" s="125" t="s">
        <v>468</v>
      </c>
      <c r="B411" s="1">
        <v>731269</v>
      </c>
      <c r="C411" s="8">
        <v>6.5798611111111107</v>
      </c>
      <c r="D411" s="1">
        <v>8539.9732717539009</v>
      </c>
    </row>
    <row r="412" spans="1:4" x14ac:dyDescent="0.25">
      <c r="A412" s="139" t="s">
        <v>1642</v>
      </c>
      <c r="B412" s="1">
        <v>524251</v>
      </c>
      <c r="C412" s="8">
        <v>2.8576388888888888</v>
      </c>
      <c r="D412" s="1">
        <v>2048.7120658147082</v>
      </c>
    </row>
    <row r="413" spans="1:4" x14ac:dyDescent="0.25">
      <c r="A413" s="139" t="s">
        <v>1643</v>
      </c>
      <c r="B413" s="1">
        <v>207018</v>
      </c>
      <c r="C413" s="8">
        <v>3.7222222222222223</v>
      </c>
      <c r="D413" s="1">
        <v>6491.2612059391931</v>
      </c>
    </row>
    <row r="414" spans="1:4" x14ac:dyDescent="0.25">
      <c r="A414" s="125" t="s">
        <v>225</v>
      </c>
      <c r="B414" s="1">
        <v>126570</v>
      </c>
      <c r="C414" s="8">
        <v>2.9236111111111112</v>
      </c>
      <c r="D414" s="1">
        <v>1898.3219260028707</v>
      </c>
    </row>
    <row r="415" spans="1:4" x14ac:dyDescent="0.25">
      <c r="A415" s="139" t="s">
        <v>1642</v>
      </c>
      <c r="B415" s="1">
        <v>77415</v>
      </c>
      <c r="C415" s="8">
        <v>0.875</v>
      </c>
      <c r="D415" s="1">
        <v>297.22977308397276</v>
      </c>
    </row>
    <row r="416" spans="1:4" x14ac:dyDescent="0.25">
      <c r="A416" s="139" t="s">
        <v>1643</v>
      </c>
      <c r="B416" s="1">
        <v>49155</v>
      </c>
      <c r="C416" s="8">
        <v>2.0486111111111112</v>
      </c>
      <c r="D416" s="1">
        <v>1601.0921529188979</v>
      </c>
    </row>
    <row r="417" spans="1:7" x14ac:dyDescent="0.25">
      <c r="A417" s="125" t="s">
        <v>197</v>
      </c>
      <c r="B417" s="1">
        <v>49155</v>
      </c>
      <c r="C417" s="8">
        <v>2.5416666666666665</v>
      </c>
      <c r="D417" s="1">
        <v>1985.4259871733964</v>
      </c>
    </row>
    <row r="418" spans="1:7" x14ac:dyDescent="0.25">
      <c r="A418" s="139" t="s">
        <v>1643</v>
      </c>
      <c r="B418" s="1">
        <v>49155</v>
      </c>
      <c r="C418" s="8">
        <v>2.5416666666666665</v>
      </c>
      <c r="D418" s="1">
        <v>1985.4259871733964</v>
      </c>
    </row>
    <row r="419" spans="1:7" x14ac:dyDescent="0.25">
      <c r="A419" s="7" t="s">
        <v>60</v>
      </c>
      <c r="B419" s="1">
        <v>850688</v>
      </c>
      <c r="C419" s="8">
        <v>14.600810185185184</v>
      </c>
      <c r="D419" s="1">
        <v>94001.816581376726</v>
      </c>
    </row>
    <row r="420" spans="1:7" x14ac:dyDescent="0.25">
      <c r="A420" s="17" t="s">
        <v>149</v>
      </c>
      <c r="B420" s="1">
        <v>850688</v>
      </c>
      <c r="C420" s="8">
        <v>14.600810185185184</v>
      </c>
      <c r="D420" s="1">
        <v>94001.816581376726</v>
      </c>
    </row>
    <row r="421" spans="1:7" x14ac:dyDescent="0.25">
      <c r="A421" s="125" t="s">
        <v>268</v>
      </c>
      <c r="B421" s="1">
        <v>487127</v>
      </c>
      <c r="C421" s="8">
        <v>8.2985300925925927</v>
      </c>
      <c r="D421" s="1">
        <v>60067.648050742566</v>
      </c>
    </row>
    <row r="422" spans="1:7" x14ac:dyDescent="0.25">
      <c r="A422" s="139" t="s">
        <v>1642</v>
      </c>
      <c r="B422" s="1">
        <v>54149</v>
      </c>
      <c r="C422" s="8">
        <v>0.66239583333333341</v>
      </c>
      <c r="D422" s="1">
        <v>2117.4583842649395</v>
      </c>
    </row>
    <row r="423" spans="1:7" x14ac:dyDescent="0.25">
      <c r="A423" s="139" t="s">
        <v>1643</v>
      </c>
      <c r="B423" s="1">
        <v>370073</v>
      </c>
      <c r="C423" s="8">
        <v>6.1044560185185182</v>
      </c>
      <c r="D423" s="1">
        <v>52562.076633486584</v>
      </c>
    </row>
    <row r="424" spans="1:7" x14ac:dyDescent="0.25">
      <c r="A424" s="139" t="s">
        <v>1644</v>
      </c>
      <c r="B424" s="1">
        <v>62905</v>
      </c>
      <c r="C424" s="8">
        <v>1.5316782407407408</v>
      </c>
      <c r="D424" s="1">
        <v>5388.1130329910457</v>
      </c>
    </row>
    <row r="425" spans="1:7" x14ac:dyDescent="0.25">
      <c r="A425" s="125" t="s">
        <v>269</v>
      </c>
      <c r="B425" s="1">
        <v>363561</v>
      </c>
      <c r="C425" s="8">
        <v>6.3022800925925928</v>
      </c>
      <c r="D425" s="1">
        <v>33934.168530634146</v>
      </c>
    </row>
    <row r="426" spans="1:7" x14ac:dyDescent="0.25">
      <c r="A426" s="139" t="s">
        <v>1642</v>
      </c>
      <c r="B426" s="1">
        <v>59248</v>
      </c>
      <c r="C426" s="8">
        <v>0.83843749999999995</v>
      </c>
      <c r="D426" s="1">
        <v>2364.6395357164938</v>
      </c>
    </row>
    <row r="427" spans="1:7" x14ac:dyDescent="0.25">
      <c r="A427" s="139" t="s">
        <v>1643</v>
      </c>
      <c r="B427" s="1">
        <v>213495</v>
      </c>
      <c r="C427" s="8">
        <v>3.0458796296296295</v>
      </c>
      <c r="D427" s="1">
        <v>24856.263027068195</v>
      </c>
    </row>
    <row r="428" spans="1:7" x14ac:dyDescent="0.25">
      <c r="A428" s="139" t="s">
        <v>1644</v>
      </c>
      <c r="B428" s="1">
        <v>90818</v>
      </c>
      <c r="C428" s="8">
        <v>2.4179629629629629</v>
      </c>
      <c r="D428" s="1">
        <v>6713.2659678494565</v>
      </c>
    </row>
    <row r="429" spans="1:7" x14ac:dyDescent="0.25">
      <c r="A429" s="7" t="s">
        <v>19</v>
      </c>
      <c r="B429" s="1">
        <v>780409</v>
      </c>
      <c r="C429" s="8">
        <v>35.085289351851856</v>
      </c>
      <c r="D429" s="1">
        <v>37939.790194397545</v>
      </c>
    </row>
    <row r="430" spans="1:7" x14ac:dyDescent="0.25">
      <c r="A430" s="17" t="s">
        <v>149</v>
      </c>
      <c r="B430" s="1">
        <v>780409</v>
      </c>
      <c r="C430" s="8">
        <v>35.085289351851856</v>
      </c>
      <c r="D430" s="1">
        <v>37939.790194397545</v>
      </c>
      <c r="G430" s="19"/>
    </row>
    <row r="431" spans="1:7" x14ac:dyDescent="0.25">
      <c r="A431" s="125" t="s">
        <v>871</v>
      </c>
      <c r="B431" s="1">
        <v>418738</v>
      </c>
      <c r="C431" s="8">
        <v>8.5155671296296287</v>
      </c>
      <c r="D431" s="1">
        <v>10925.121869420436</v>
      </c>
      <c r="F431" s="7"/>
      <c r="G431" s="19"/>
    </row>
    <row r="432" spans="1:7" x14ac:dyDescent="0.25">
      <c r="A432" s="139" t="s">
        <v>1642</v>
      </c>
      <c r="B432" s="1">
        <v>399726</v>
      </c>
      <c r="C432" s="8">
        <v>3.2478703703703702</v>
      </c>
      <c r="D432" s="1">
        <v>7157.7788714729195</v>
      </c>
      <c r="F432" s="17"/>
      <c r="G432" s="19"/>
    </row>
    <row r="433" spans="1:7" x14ac:dyDescent="0.25">
      <c r="A433" s="139" t="s">
        <v>1643</v>
      </c>
      <c r="B433" s="1">
        <v>19012</v>
      </c>
      <c r="C433" s="8">
        <v>5.267696759259259</v>
      </c>
      <c r="D433" s="1">
        <v>3767.3429979475172</v>
      </c>
      <c r="F433" s="125"/>
      <c r="G433" s="19"/>
    </row>
    <row r="434" spans="1:7" x14ac:dyDescent="0.25">
      <c r="A434" s="125" t="s">
        <v>868</v>
      </c>
      <c r="B434" s="1">
        <v>276767</v>
      </c>
      <c r="C434" s="8">
        <v>8.9150231481481477</v>
      </c>
      <c r="D434" s="1">
        <v>20837.259491123627</v>
      </c>
      <c r="F434" s="17"/>
      <c r="G434" s="19"/>
    </row>
    <row r="435" spans="1:7" x14ac:dyDescent="0.25">
      <c r="A435" s="139" t="s">
        <v>1642</v>
      </c>
      <c r="B435" s="1">
        <v>199254</v>
      </c>
      <c r="C435" s="8">
        <v>2.4945601851851853</v>
      </c>
      <c r="D435" s="1">
        <v>3547.061274420887</v>
      </c>
      <c r="F435" s="125"/>
      <c r="G435" s="19"/>
    </row>
    <row r="436" spans="1:7" x14ac:dyDescent="0.25">
      <c r="A436" s="139" t="s">
        <v>1643</v>
      </c>
      <c r="B436" s="1">
        <v>77513</v>
      </c>
      <c r="C436" s="8">
        <v>6.4204629629629633</v>
      </c>
      <c r="D436" s="1">
        <v>17290.198216702738</v>
      </c>
      <c r="F436" s="125"/>
      <c r="G436" s="19"/>
    </row>
    <row r="437" spans="1:7" x14ac:dyDescent="0.25">
      <c r="A437" s="125" t="s">
        <v>1645</v>
      </c>
      <c r="B437" s="1">
        <v>45368</v>
      </c>
      <c r="C437" s="8">
        <v>8.5031828703703702</v>
      </c>
      <c r="D437" s="1">
        <v>2663.8981215135773</v>
      </c>
      <c r="F437" s="125"/>
      <c r="G437" s="19"/>
    </row>
    <row r="438" spans="1:7" x14ac:dyDescent="0.25">
      <c r="A438" s="139" t="s">
        <v>1642</v>
      </c>
      <c r="B438" s="1">
        <v>38032</v>
      </c>
      <c r="C438" s="8">
        <v>3.2355555555555555</v>
      </c>
      <c r="D438" s="1">
        <v>682.47454986663899</v>
      </c>
      <c r="F438" s="7"/>
      <c r="G438" s="19"/>
    </row>
    <row r="439" spans="1:7" x14ac:dyDescent="0.25">
      <c r="A439" s="139" t="s">
        <v>1643</v>
      </c>
      <c r="B439" s="1">
        <v>7336</v>
      </c>
      <c r="C439" s="8">
        <v>5.2676273148148152</v>
      </c>
      <c r="D439" s="1">
        <v>1981.4235716469382</v>
      </c>
    </row>
    <row r="440" spans="1:7" x14ac:dyDescent="0.25">
      <c r="A440" s="125" t="s">
        <v>1646</v>
      </c>
      <c r="B440" s="1">
        <v>39452</v>
      </c>
      <c r="C440" s="8">
        <v>8.9152199074074066</v>
      </c>
      <c r="D440" s="1">
        <v>3504.1858777597358</v>
      </c>
    </row>
    <row r="441" spans="1:7" x14ac:dyDescent="0.25">
      <c r="A441" s="139" t="s">
        <v>1642</v>
      </c>
      <c r="B441" s="1">
        <v>21134</v>
      </c>
      <c r="C441" s="8">
        <v>2.4898958333333332</v>
      </c>
      <c r="D441" s="1">
        <v>378.92525720900375</v>
      </c>
    </row>
    <row r="442" spans="1:7" x14ac:dyDescent="0.25">
      <c r="A442" s="139" t="s">
        <v>1643</v>
      </c>
      <c r="B442" s="1">
        <v>18318</v>
      </c>
      <c r="C442" s="8">
        <v>6.4253240740740738</v>
      </c>
      <c r="D442" s="1">
        <v>3125.2606205507323</v>
      </c>
    </row>
    <row r="443" spans="1:7" x14ac:dyDescent="0.25">
      <c r="A443" s="125" t="s">
        <v>833</v>
      </c>
      <c r="B443" s="1">
        <v>84</v>
      </c>
      <c r="C443" s="8">
        <v>0.23629629629629631</v>
      </c>
      <c r="D443" s="1">
        <v>9.3248345801727073</v>
      </c>
    </row>
    <row r="444" spans="1:7" x14ac:dyDescent="0.25">
      <c r="A444" s="139" t="s">
        <v>1643</v>
      </c>
      <c r="B444" s="1">
        <v>84</v>
      </c>
      <c r="C444" s="8">
        <v>0.23629629629629631</v>
      </c>
      <c r="D444" s="1">
        <v>9.3248345801727073</v>
      </c>
    </row>
    <row r="445" spans="1:7" x14ac:dyDescent="0.25">
      <c r="A445" s="7" t="s">
        <v>59</v>
      </c>
      <c r="B445" s="1">
        <v>737663</v>
      </c>
      <c r="C445" s="8">
        <v>31.055555555555557</v>
      </c>
      <c r="D445" s="1">
        <v>52681.278198396314</v>
      </c>
    </row>
    <row r="446" spans="1:7" x14ac:dyDescent="0.25">
      <c r="A446" s="17" t="s">
        <v>149</v>
      </c>
      <c r="B446" s="1">
        <v>737663</v>
      </c>
      <c r="C446" s="8">
        <v>31.055555555555557</v>
      </c>
      <c r="D446" s="1">
        <v>52681.278198396314</v>
      </c>
      <c r="G446" s="19"/>
    </row>
    <row r="447" spans="1:7" x14ac:dyDescent="0.25">
      <c r="A447" s="125" t="s">
        <v>804</v>
      </c>
      <c r="B447" s="1">
        <v>526147</v>
      </c>
      <c r="C447" s="8">
        <v>12.760416666666668</v>
      </c>
      <c r="D447" s="1">
        <v>31119.456666063183</v>
      </c>
      <c r="F447" s="7"/>
      <c r="G447" s="19"/>
    </row>
    <row r="448" spans="1:7" x14ac:dyDescent="0.25">
      <c r="A448" s="139" t="s">
        <v>1642</v>
      </c>
      <c r="B448" s="1">
        <v>210784</v>
      </c>
      <c r="C448" s="8">
        <v>1.9166666666666665</v>
      </c>
      <c r="D448" s="1">
        <v>2407.7382138913131</v>
      </c>
      <c r="F448" s="17"/>
      <c r="G448" s="19"/>
    </row>
    <row r="449" spans="1:7" x14ac:dyDescent="0.25">
      <c r="A449" s="139" t="s">
        <v>1643</v>
      </c>
      <c r="B449" s="1">
        <v>150748</v>
      </c>
      <c r="C449" s="8">
        <v>6.083333333333333</v>
      </c>
      <c r="D449" s="1">
        <v>20766.171433986605</v>
      </c>
      <c r="F449" s="125"/>
      <c r="G449" s="19"/>
    </row>
    <row r="450" spans="1:7" x14ac:dyDescent="0.25">
      <c r="A450" s="139" t="s">
        <v>1644</v>
      </c>
      <c r="B450" s="1">
        <v>164615</v>
      </c>
      <c r="C450" s="8">
        <v>4.760416666666667</v>
      </c>
      <c r="D450" s="1">
        <v>7945.5470181852634</v>
      </c>
      <c r="F450" s="125"/>
      <c r="G450" s="19"/>
    </row>
    <row r="451" spans="1:7" x14ac:dyDescent="0.25">
      <c r="A451" s="125" t="s">
        <v>468</v>
      </c>
      <c r="B451" s="1">
        <v>102480</v>
      </c>
      <c r="C451" s="8">
        <v>7.4375</v>
      </c>
      <c r="D451" s="1">
        <v>7498.0883781578887</v>
      </c>
      <c r="F451" s="125"/>
      <c r="G451" s="19"/>
    </row>
    <row r="452" spans="1:7" x14ac:dyDescent="0.25">
      <c r="A452" s="139" t="s">
        <v>1642</v>
      </c>
      <c r="B452" s="1">
        <v>71761</v>
      </c>
      <c r="C452" s="8">
        <v>2.75</v>
      </c>
      <c r="D452" s="1">
        <v>1424.884459119138</v>
      </c>
      <c r="F452" s="17"/>
      <c r="G452" s="19"/>
    </row>
    <row r="453" spans="1:7" x14ac:dyDescent="0.25">
      <c r="A453" s="139" t="s">
        <v>1643</v>
      </c>
      <c r="B453" s="1">
        <v>30719</v>
      </c>
      <c r="C453" s="8">
        <v>4.6875</v>
      </c>
      <c r="D453" s="1">
        <v>6073.2039190387504</v>
      </c>
      <c r="F453" s="125"/>
      <c r="G453" s="19"/>
    </row>
    <row r="454" spans="1:7" x14ac:dyDescent="0.25">
      <c r="A454" s="125" t="s">
        <v>803</v>
      </c>
      <c r="B454" s="1">
        <v>81172</v>
      </c>
      <c r="C454" s="8">
        <v>3.0833333333333335</v>
      </c>
      <c r="D454" s="1">
        <v>9801.9289523540265</v>
      </c>
      <c r="F454" s="7"/>
      <c r="G454" s="19"/>
    </row>
    <row r="455" spans="1:7" x14ac:dyDescent="0.25">
      <c r="A455" s="139" t="s">
        <v>1643</v>
      </c>
      <c r="B455" s="1">
        <v>81172</v>
      </c>
      <c r="C455" s="8">
        <v>3.0833333333333335</v>
      </c>
      <c r="D455" s="1">
        <v>9801.9289523540265</v>
      </c>
    </row>
    <row r="456" spans="1:7" x14ac:dyDescent="0.25">
      <c r="A456" s="125" t="s">
        <v>225</v>
      </c>
      <c r="B456" s="1">
        <v>20332</v>
      </c>
      <c r="C456" s="8">
        <v>4.1215277777777777</v>
      </c>
      <c r="D456" s="1">
        <v>2100.6303947456395</v>
      </c>
    </row>
    <row r="457" spans="1:7" x14ac:dyDescent="0.25">
      <c r="A457" s="139" t="s">
        <v>1642</v>
      </c>
      <c r="B457" s="1">
        <v>11868</v>
      </c>
      <c r="C457" s="8">
        <v>0.89236111111111116</v>
      </c>
      <c r="D457" s="1">
        <v>227.40951604499645</v>
      </c>
    </row>
    <row r="458" spans="1:7" x14ac:dyDescent="0.25">
      <c r="A458" s="139" t="s">
        <v>1643</v>
      </c>
      <c r="B458" s="1">
        <v>8464</v>
      </c>
      <c r="C458" s="8">
        <v>3.2291666666666665</v>
      </c>
      <c r="D458" s="1">
        <v>1873.2208787006432</v>
      </c>
    </row>
    <row r="459" spans="1:7" x14ac:dyDescent="0.25">
      <c r="A459" s="125" t="s">
        <v>197</v>
      </c>
      <c r="B459" s="1">
        <v>6348</v>
      </c>
      <c r="C459" s="8">
        <v>3.0416666666666665</v>
      </c>
      <c r="D459" s="1">
        <v>1764.4532147760899</v>
      </c>
    </row>
    <row r="460" spans="1:7" x14ac:dyDescent="0.25">
      <c r="A460" s="139" t="s">
        <v>1643</v>
      </c>
      <c r="B460" s="1">
        <v>6348</v>
      </c>
      <c r="C460" s="8">
        <v>3.0416666666666665</v>
      </c>
      <c r="D460" s="1">
        <v>1764.4532147760899</v>
      </c>
    </row>
    <row r="461" spans="1:7" x14ac:dyDescent="0.25">
      <c r="A461" s="125" t="s">
        <v>795</v>
      </c>
      <c r="B461" s="1">
        <v>1184</v>
      </c>
      <c r="C461" s="8">
        <v>0.61111111111111105</v>
      </c>
      <c r="D461" s="1">
        <v>396.72059229948462</v>
      </c>
      <c r="G461" s="19"/>
    </row>
    <row r="462" spans="1:7" x14ac:dyDescent="0.25">
      <c r="A462" s="139" t="s">
        <v>1644</v>
      </c>
      <c r="B462" s="1">
        <v>1184</v>
      </c>
      <c r="C462" s="8">
        <v>0.61111111111111105</v>
      </c>
      <c r="D462" s="1">
        <v>396.72059229948462</v>
      </c>
      <c r="F462" s="7"/>
      <c r="G462" s="19"/>
    </row>
    <row r="463" spans="1:7" x14ac:dyDescent="0.25">
      <c r="A463" s="7" t="s">
        <v>44</v>
      </c>
      <c r="B463" s="1">
        <v>546477</v>
      </c>
      <c r="C463" s="8">
        <v>8.8149537037037042</v>
      </c>
      <c r="D463" s="1">
        <v>19659.250434742746</v>
      </c>
      <c r="F463" s="17"/>
      <c r="G463" s="19"/>
    </row>
    <row r="464" spans="1:7" x14ac:dyDescent="0.25">
      <c r="A464" s="17" t="s">
        <v>149</v>
      </c>
      <c r="B464" s="1">
        <v>546477</v>
      </c>
      <c r="C464" s="8">
        <v>8.8149537037037042</v>
      </c>
      <c r="D464" s="1">
        <v>19659.250434742746</v>
      </c>
      <c r="F464" s="125"/>
      <c r="G464" s="19"/>
    </row>
    <row r="465" spans="1:7" x14ac:dyDescent="0.25">
      <c r="A465" s="125" t="s">
        <v>268</v>
      </c>
      <c r="B465" s="1">
        <v>498279</v>
      </c>
      <c r="C465" s="8">
        <v>5.4689004629629636</v>
      </c>
      <c r="D465" s="1">
        <v>15208.729701292061</v>
      </c>
      <c r="F465" s="125"/>
      <c r="G465" s="19"/>
    </row>
    <row r="466" spans="1:7" x14ac:dyDescent="0.25">
      <c r="A466" s="139" t="s">
        <v>1642</v>
      </c>
      <c r="B466" s="1">
        <v>7637</v>
      </c>
      <c r="C466" s="8">
        <v>0.33726851851851852</v>
      </c>
      <c r="D466" s="1">
        <v>145.20410585609909</v>
      </c>
      <c r="F466" s="125"/>
      <c r="G466" s="19"/>
    </row>
    <row r="467" spans="1:7" x14ac:dyDescent="0.25">
      <c r="A467" s="139" t="s">
        <v>1643</v>
      </c>
      <c r="B467" s="1">
        <v>481144</v>
      </c>
      <c r="C467" s="8">
        <v>4.7488657407407411</v>
      </c>
      <c r="D467" s="1">
        <v>14690.941632029213</v>
      </c>
      <c r="F467" s="7"/>
      <c r="G467" s="19"/>
    </row>
    <row r="468" spans="1:7" x14ac:dyDescent="0.25">
      <c r="A468" s="139" t="s">
        <v>1644</v>
      </c>
      <c r="B468" s="1">
        <v>9498</v>
      </c>
      <c r="C468" s="8">
        <v>0.38276620370370368</v>
      </c>
      <c r="D468" s="1">
        <v>372.58396340674915</v>
      </c>
    </row>
    <row r="469" spans="1:7" x14ac:dyDescent="0.25">
      <c r="A469" s="125" t="s">
        <v>269</v>
      </c>
      <c r="B469" s="1">
        <v>48198</v>
      </c>
      <c r="C469" s="8">
        <v>3.3460532407407406</v>
      </c>
      <c r="D469" s="1">
        <v>4450.520733450684</v>
      </c>
    </row>
    <row r="470" spans="1:7" x14ac:dyDescent="0.25">
      <c r="A470" s="139" t="s">
        <v>1642</v>
      </c>
      <c r="B470" s="1">
        <v>600</v>
      </c>
      <c r="C470" s="8">
        <v>8.3009259259259269E-2</v>
      </c>
      <c r="D470" s="1">
        <v>22.235646426367417</v>
      </c>
    </row>
    <row r="471" spans="1:7" x14ac:dyDescent="0.25">
      <c r="A471" s="139" t="s">
        <v>1643</v>
      </c>
      <c r="B471" s="1">
        <v>39553</v>
      </c>
      <c r="C471" s="8">
        <v>2.2200000000000002</v>
      </c>
      <c r="D471" s="1">
        <v>3701.728635229756</v>
      </c>
    </row>
    <row r="472" spans="1:7" x14ac:dyDescent="0.25">
      <c r="A472" s="139" t="s">
        <v>1644</v>
      </c>
      <c r="B472" s="1">
        <v>8045</v>
      </c>
      <c r="C472" s="8">
        <v>1.0430439814814816</v>
      </c>
      <c r="D472" s="1">
        <v>726.55645179456008</v>
      </c>
    </row>
    <row r="473" spans="1:7" x14ac:dyDescent="0.25">
      <c r="A473" s="7" t="s">
        <v>53</v>
      </c>
      <c r="B473" s="1">
        <v>372872</v>
      </c>
      <c r="C473" s="8">
        <v>13.458032407407408</v>
      </c>
      <c r="D473" s="1">
        <v>34581.475495904466</v>
      </c>
    </row>
    <row r="474" spans="1:7" x14ac:dyDescent="0.25">
      <c r="A474" s="17" t="s">
        <v>149</v>
      </c>
      <c r="B474" s="1">
        <v>308972</v>
      </c>
      <c r="C474" s="8">
        <v>13.25724537037037</v>
      </c>
      <c r="D474" s="1">
        <v>29016.078185495178</v>
      </c>
    </row>
    <row r="475" spans="1:7" x14ac:dyDescent="0.25">
      <c r="A475" s="125" t="s">
        <v>268</v>
      </c>
      <c r="B475" s="1">
        <v>253733</v>
      </c>
      <c r="C475" s="8">
        <v>6.9549652777777773</v>
      </c>
      <c r="D475" s="1">
        <v>24769.824527771911</v>
      </c>
    </row>
    <row r="476" spans="1:7" x14ac:dyDescent="0.25">
      <c r="A476" s="139" t="s">
        <v>1642</v>
      </c>
      <c r="B476" s="1">
        <v>1147</v>
      </c>
      <c r="C476" s="8">
        <v>0.22679398148148147</v>
      </c>
      <c r="D476" s="1">
        <v>33.297529075041368</v>
      </c>
      <c r="G476" s="19"/>
    </row>
    <row r="477" spans="1:7" x14ac:dyDescent="0.25">
      <c r="A477" s="139" t="s">
        <v>1643</v>
      </c>
      <c r="B477" s="1">
        <v>217292</v>
      </c>
      <c r="C477" s="8">
        <v>5.4708796296296294</v>
      </c>
      <c r="D477" s="1">
        <v>21645.206943030513</v>
      </c>
      <c r="F477" s="7"/>
      <c r="G477" s="19"/>
    </row>
    <row r="478" spans="1:7" x14ac:dyDescent="0.25">
      <c r="A478" s="139" t="s">
        <v>1644</v>
      </c>
      <c r="B478" s="1">
        <v>35294</v>
      </c>
      <c r="C478" s="8">
        <v>1.2572916666666667</v>
      </c>
      <c r="D478" s="1">
        <v>3091.3200556663583</v>
      </c>
      <c r="F478" s="17"/>
      <c r="G478" s="19"/>
    </row>
    <row r="479" spans="1:7" x14ac:dyDescent="0.25">
      <c r="A479" s="125" t="s">
        <v>269</v>
      </c>
      <c r="B479" s="1">
        <v>55239</v>
      </c>
      <c r="C479" s="8">
        <v>6.3022800925925928</v>
      </c>
      <c r="D479" s="1">
        <v>4246.2536577232686</v>
      </c>
      <c r="F479" s="125"/>
      <c r="G479" s="19"/>
    </row>
    <row r="480" spans="1:7" x14ac:dyDescent="0.25">
      <c r="A480" s="139" t="s">
        <v>1642</v>
      </c>
      <c r="B480" s="1">
        <v>713</v>
      </c>
      <c r="C480" s="8">
        <v>0.78314814814814815</v>
      </c>
      <c r="D480" s="1">
        <v>27.725301565717277</v>
      </c>
      <c r="F480" s="125"/>
      <c r="G480" s="19"/>
    </row>
    <row r="481" spans="1:7" x14ac:dyDescent="0.25">
      <c r="A481" s="139" t="s">
        <v>1643</v>
      </c>
      <c r="B481" s="1">
        <v>35756</v>
      </c>
      <c r="C481" s="8">
        <v>3.1011689814814813</v>
      </c>
      <c r="D481" s="1">
        <v>3040.3506758650551</v>
      </c>
      <c r="F481" s="7"/>
      <c r="G481" s="19"/>
    </row>
    <row r="482" spans="1:7" x14ac:dyDescent="0.25">
      <c r="A482" s="139" t="s">
        <v>1644</v>
      </c>
      <c r="B482" s="1">
        <v>18770</v>
      </c>
      <c r="C482" s="8">
        <v>2.4179629629629629</v>
      </c>
      <c r="D482" s="1">
        <v>1178.1776802924962</v>
      </c>
    </row>
    <row r="483" spans="1:7" x14ac:dyDescent="0.25">
      <c r="A483" s="17" t="s">
        <v>142</v>
      </c>
      <c r="B483" s="1">
        <v>63900</v>
      </c>
      <c r="C483" s="8">
        <v>0.20078703703703704</v>
      </c>
      <c r="D483" s="1">
        <v>5565.3973104092829</v>
      </c>
    </row>
    <row r="484" spans="1:7" x14ac:dyDescent="0.25">
      <c r="A484" s="125" t="s">
        <v>684</v>
      </c>
      <c r="B484" s="1">
        <v>63900</v>
      </c>
      <c r="C484" s="8">
        <v>0.20078703703703704</v>
      </c>
      <c r="D484" s="1">
        <v>5565.3973104092829</v>
      </c>
    </row>
    <row r="485" spans="1:7" x14ac:dyDescent="0.25">
      <c r="A485" s="139" t="s">
        <v>1643</v>
      </c>
      <c r="B485" s="1">
        <v>63900</v>
      </c>
      <c r="C485" s="8">
        <v>0.20078703703703704</v>
      </c>
      <c r="D485" s="1">
        <v>5565.3973104092829</v>
      </c>
    </row>
    <row r="486" spans="1:7" x14ac:dyDescent="0.25">
      <c r="A486" s="7" t="s">
        <v>67</v>
      </c>
      <c r="B486" s="1">
        <v>350502</v>
      </c>
      <c r="C486" s="8">
        <v>8</v>
      </c>
      <c r="D486" s="1">
        <v>17626.271175928556</v>
      </c>
    </row>
    <row r="487" spans="1:7" x14ac:dyDescent="0.25">
      <c r="A487" s="17" t="s">
        <v>149</v>
      </c>
      <c r="B487" s="1">
        <v>350502</v>
      </c>
      <c r="C487" s="8">
        <v>8</v>
      </c>
      <c r="D487" s="1">
        <v>17626.271175928556</v>
      </c>
      <c r="G487" s="19"/>
    </row>
    <row r="488" spans="1:7" x14ac:dyDescent="0.25">
      <c r="A488" s="125" t="s">
        <v>1024</v>
      </c>
      <c r="B488" s="1">
        <v>350502</v>
      </c>
      <c r="C488" s="8">
        <v>8</v>
      </c>
      <c r="D488" s="1">
        <v>17626.271175928556</v>
      </c>
      <c r="F488" s="7"/>
      <c r="G488" s="19"/>
    </row>
    <row r="489" spans="1:7" x14ac:dyDescent="0.25">
      <c r="A489" s="139" t="s">
        <v>1643</v>
      </c>
      <c r="B489" s="1">
        <v>345384</v>
      </c>
      <c r="C489" s="8">
        <v>7.875</v>
      </c>
      <c r="D489" s="1">
        <v>17522.339153437322</v>
      </c>
      <c r="F489" s="17"/>
      <c r="G489" s="19"/>
    </row>
    <row r="490" spans="1:7" x14ac:dyDescent="0.25">
      <c r="A490" s="139" t="s">
        <v>1644</v>
      </c>
      <c r="B490" s="1">
        <v>5118</v>
      </c>
      <c r="C490" s="8">
        <v>0.125</v>
      </c>
      <c r="D490" s="1">
        <v>103.93202249123476</v>
      </c>
      <c r="F490" s="125"/>
      <c r="G490" s="19"/>
    </row>
    <row r="491" spans="1:7" x14ac:dyDescent="0.25">
      <c r="A491" s="7" t="s">
        <v>99</v>
      </c>
      <c r="B491" s="1">
        <v>338894</v>
      </c>
      <c r="C491" s="8">
        <v>10.758032407407407</v>
      </c>
      <c r="D491" s="1">
        <v>26466.700650990671</v>
      </c>
      <c r="F491" s="17"/>
      <c r="G491" s="19"/>
    </row>
    <row r="492" spans="1:7" x14ac:dyDescent="0.25">
      <c r="A492" s="17" t="s">
        <v>149</v>
      </c>
      <c r="B492" s="1">
        <v>338894</v>
      </c>
      <c r="C492" s="8">
        <v>10.758032407407407</v>
      </c>
      <c r="D492" s="1">
        <v>26466.700650990671</v>
      </c>
      <c r="F492" s="125"/>
      <c r="G492" s="19"/>
    </row>
    <row r="493" spans="1:7" x14ac:dyDescent="0.25">
      <c r="A493" s="125" t="s">
        <v>468</v>
      </c>
      <c r="B493" s="1">
        <v>279156</v>
      </c>
      <c r="C493" s="8">
        <v>5.0878935185185181</v>
      </c>
      <c r="D493" s="1">
        <v>17715.669673713448</v>
      </c>
      <c r="F493" s="7"/>
      <c r="G493" s="19"/>
    </row>
    <row r="494" spans="1:7" x14ac:dyDescent="0.25">
      <c r="A494" s="139" t="s">
        <v>1642</v>
      </c>
      <c r="B494" s="1">
        <v>212764</v>
      </c>
      <c r="C494" s="8">
        <v>2.4018171296296296</v>
      </c>
      <c r="D494" s="1">
        <v>5497.6199067959669</v>
      </c>
    </row>
    <row r="495" spans="1:7" x14ac:dyDescent="0.25">
      <c r="A495" s="139" t="s">
        <v>1643</v>
      </c>
      <c r="B495" s="1">
        <v>66392</v>
      </c>
      <c r="C495" s="8">
        <v>2.686076388888889</v>
      </c>
      <c r="D495" s="1">
        <v>12218.04976691748</v>
      </c>
    </row>
    <row r="496" spans="1:7" x14ac:dyDescent="0.25">
      <c r="A496" s="125" t="s">
        <v>225</v>
      </c>
      <c r="B496" s="1">
        <v>43751</v>
      </c>
      <c r="C496" s="8">
        <v>3.1284722222222223</v>
      </c>
      <c r="D496" s="1">
        <v>4214.1434935233647</v>
      </c>
    </row>
    <row r="497" spans="1:4" x14ac:dyDescent="0.25">
      <c r="A497" s="139" t="s">
        <v>1642</v>
      </c>
      <c r="B497" s="1">
        <v>28669</v>
      </c>
      <c r="C497" s="8">
        <v>1.0798611111111112</v>
      </c>
      <c r="D497" s="1">
        <v>763.7061252362796</v>
      </c>
    </row>
    <row r="498" spans="1:4" x14ac:dyDescent="0.25">
      <c r="A498" s="139" t="s">
        <v>1643</v>
      </c>
      <c r="B498" s="1">
        <v>15082</v>
      </c>
      <c r="C498" s="8">
        <v>2.0486111111111112</v>
      </c>
      <c r="D498" s="1">
        <v>3450.4373682870851</v>
      </c>
    </row>
    <row r="499" spans="1:4" x14ac:dyDescent="0.25">
      <c r="A499" s="125" t="s">
        <v>197</v>
      </c>
      <c r="B499" s="1">
        <v>15987</v>
      </c>
      <c r="C499" s="8">
        <v>2.5416666666666665</v>
      </c>
      <c r="D499" s="1">
        <v>4536.8874837538579</v>
      </c>
    </row>
    <row r="500" spans="1:4" x14ac:dyDescent="0.25">
      <c r="A500" s="139" t="s">
        <v>1643</v>
      </c>
      <c r="B500" s="1">
        <v>15987</v>
      </c>
      <c r="C500" s="8">
        <v>2.5416666666666665</v>
      </c>
      <c r="D500" s="1">
        <v>4536.8874837538579</v>
      </c>
    </row>
    <row r="501" spans="1:4" x14ac:dyDescent="0.25">
      <c r="A501" s="7" t="s">
        <v>104</v>
      </c>
      <c r="B501" s="1">
        <v>256399.99999999997</v>
      </c>
      <c r="C501" s="8">
        <v>8.3333333333333329E-2</v>
      </c>
      <c r="D501" s="1">
        <v>3294.6542793545868</v>
      </c>
    </row>
    <row r="502" spans="1:4" x14ac:dyDescent="0.25">
      <c r="A502" s="17" t="s">
        <v>142</v>
      </c>
      <c r="B502" s="1">
        <v>256399.99999999997</v>
      </c>
      <c r="C502" s="8">
        <v>8.3333333333333329E-2</v>
      </c>
      <c r="D502" s="1">
        <v>3294.6542793545868</v>
      </c>
    </row>
    <row r="503" spans="1:4" x14ac:dyDescent="0.25">
      <c r="A503" s="125" t="s">
        <v>1244</v>
      </c>
      <c r="B503" s="1">
        <v>256399.99999999997</v>
      </c>
      <c r="C503" s="8">
        <v>8.3333333333333329E-2</v>
      </c>
      <c r="D503" s="1">
        <v>3294.6542793545868</v>
      </c>
    </row>
    <row r="504" spans="1:4" x14ac:dyDescent="0.25">
      <c r="A504" s="139" t="s">
        <v>1643</v>
      </c>
      <c r="B504" s="1">
        <v>256399.99999999997</v>
      </c>
      <c r="C504" s="8">
        <v>8.3333333333333329E-2</v>
      </c>
      <c r="D504" s="1">
        <v>3294.6542793545868</v>
      </c>
    </row>
    <row r="505" spans="1:4" x14ac:dyDescent="0.25">
      <c r="A505" s="7" t="s">
        <v>95</v>
      </c>
      <c r="B505" s="1">
        <v>189214</v>
      </c>
      <c r="C505" s="8">
        <v>5.625</v>
      </c>
      <c r="D505" s="1">
        <v>20564.144963333529</v>
      </c>
    </row>
    <row r="506" spans="1:4" x14ac:dyDescent="0.25">
      <c r="A506" s="17" t="s">
        <v>149</v>
      </c>
      <c r="B506" s="1">
        <v>189214</v>
      </c>
      <c r="C506" s="8">
        <v>5.625</v>
      </c>
      <c r="D506" s="1">
        <v>20564.144963333529</v>
      </c>
    </row>
    <row r="507" spans="1:4" x14ac:dyDescent="0.25">
      <c r="A507" s="125" t="s">
        <v>185</v>
      </c>
      <c r="B507" s="1">
        <v>185726</v>
      </c>
      <c r="C507" s="8">
        <v>5.458333333333333</v>
      </c>
      <c r="D507" s="1">
        <v>20379.153745847856</v>
      </c>
    </row>
    <row r="508" spans="1:4" x14ac:dyDescent="0.25">
      <c r="A508" s="139" t="s">
        <v>1643</v>
      </c>
      <c r="B508" s="1">
        <v>180180</v>
      </c>
      <c r="C508" s="8">
        <v>5.25</v>
      </c>
      <c r="D508" s="1">
        <v>20013.757239117105</v>
      </c>
    </row>
    <row r="509" spans="1:4" x14ac:dyDescent="0.25">
      <c r="A509" s="139" t="s">
        <v>1644</v>
      </c>
      <c r="B509" s="1">
        <v>5546</v>
      </c>
      <c r="C509" s="8">
        <v>0.20833333333333334</v>
      </c>
      <c r="D509" s="1">
        <v>365.39650673075096</v>
      </c>
    </row>
    <row r="510" spans="1:4" x14ac:dyDescent="0.25">
      <c r="A510" s="125" t="s">
        <v>183</v>
      </c>
      <c r="B510" s="1">
        <v>3488</v>
      </c>
      <c r="C510" s="8">
        <v>0.16666666666666666</v>
      </c>
      <c r="D510" s="1">
        <v>184.99121748567148</v>
      </c>
    </row>
    <row r="511" spans="1:4" x14ac:dyDescent="0.25">
      <c r="A511" s="139" t="s">
        <v>1644</v>
      </c>
      <c r="B511" s="1">
        <v>3488</v>
      </c>
      <c r="C511" s="8">
        <v>0.16666666666666666</v>
      </c>
      <c r="D511" s="1">
        <v>184.99121748567148</v>
      </c>
    </row>
    <row r="512" spans="1:4" x14ac:dyDescent="0.25">
      <c r="A512" s="7" t="s">
        <v>97</v>
      </c>
      <c r="B512" s="1">
        <v>155661</v>
      </c>
      <c r="C512" s="8">
        <v>8.2768981481481472</v>
      </c>
      <c r="D512" s="1">
        <v>15173.402093360795</v>
      </c>
    </row>
    <row r="513" spans="1:4" x14ac:dyDescent="0.25">
      <c r="A513" s="17" t="s">
        <v>149</v>
      </c>
      <c r="B513" s="1">
        <v>155661</v>
      </c>
      <c r="C513" s="8">
        <v>8.2768981481481472</v>
      </c>
      <c r="D513" s="1">
        <v>15173.402093360795</v>
      </c>
    </row>
    <row r="514" spans="1:4" x14ac:dyDescent="0.25">
      <c r="A514" s="125" t="s">
        <v>183</v>
      </c>
      <c r="B514" s="1">
        <v>149777</v>
      </c>
      <c r="C514" s="8">
        <v>7.8602314814814811</v>
      </c>
      <c r="D514" s="1">
        <v>14824.307010544488</v>
      </c>
    </row>
    <row r="515" spans="1:4" x14ac:dyDescent="0.25">
      <c r="A515" s="139" t="s">
        <v>1642</v>
      </c>
      <c r="B515" s="1">
        <v>5044</v>
      </c>
      <c r="C515" s="8">
        <v>0.10413194444444444</v>
      </c>
      <c r="D515" s="1">
        <v>147.02739677048905</v>
      </c>
    </row>
    <row r="516" spans="1:4" x14ac:dyDescent="0.25">
      <c r="A516" s="139" t="s">
        <v>1643</v>
      </c>
      <c r="B516" s="1">
        <v>88272</v>
      </c>
      <c r="C516" s="8">
        <v>3.9679513888888889</v>
      </c>
      <c r="D516" s="1">
        <v>9712.0199615279889</v>
      </c>
    </row>
    <row r="517" spans="1:4" x14ac:dyDescent="0.25">
      <c r="A517" s="139" t="s">
        <v>1644</v>
      </c>
      <c r="B517" s="1">
        <v>56461</v>
      </c>
      <c r="C517" s="8">
        <v>3.788148148148148</v>
      </c>
      <c r="D517" s="1">
        <v>4965.2596522460099</v>
      </c>
    </row>
    <row r="518" spans="1:4" x14ac:dyDescent="0.25">
      <c r="A518" s="125" t="s">
        <v>185</v>
      </c>
      <c r="B518" s="1">
        <v>5884</v>
      </c>
      <c r="C518" s="8">
        <v>0.41666666666666669</v>
      </c>
      <c r="D518" s="1">
        <v>349.09508281630798</v>
      </c>
    </row>
    <row r="519" spans="1:4" x14ac:dyDescent="0.25">
      <c r="A519" s="139" t="s">
        <v>1644</v>
      </c>
      <c r="B519" s="1">
        <v>5884</v>
      </c>
      <c r="C519" s="8">
        <v>0.41666666666666669</v>
      </c>
      <c r="D519" s="1">
        <v>349.09508281630798</v>
      </c>
    </row>
    <row r="520" spans="1:4" x14ac:dyDescent="0.25">
      <c r="A520" s="7" t="s">
        <v>81</v>
      </c>
      <c r="B520" s="1">
        <v>141921</v>
      </c>
      <c r="C520" s="8">
        <v>15.504120370370369</v>
      </c>
      <c r="D520" s="1">
        <v>23614.496170902574</v>
      </c>
    </row>
    <row r="521" spans="1:4" x14ac:dyDescent="0.25">
      <c r="A521" s="17" t="s">
        <v>149</v>
      </c>
      <c r="B521" s="1">
        <v>141921</v>
      </c>
      <c r="C521" s="8">
        <v>15.504120370370369</v>
      </c>
      <c r="D521" s="1">
        <v>23614.496170902574</v>
      </c>
    </row>
    <row r="522" spans="1:4" x14ac:dyDescent="0.25">
      <c r="A522" s="125" t="s">
        <v>882</v>
      </c>
      <c r="B522" s="1">
        <v>63868</v>
      </c>
      <c r="C522" s="8">
        <v>4.5829745370370372</v>
      </c>
      <c r="D522" s="1">
        <v>5910.3192627445214</v>
      </c>
    </row>
    <row r="523" spans="1:4" x14ac:dyDescent="0.25">
      <c r="A523" s="139" t="s">
        <v>1642</v>
      </c>
      <c r="B523" s="1">
        <v>50833</v>
      </c>
      <c r="C523" s="8">
        <v>0.72892361111111104</v>
      </c>
      <c r="D523" s="1">
        <v>1141.3304886227113</v>
      </c>
    </row>
    <row r="524" spans="1:4" x14ac:dyDescent="0.25">
      <c r="A524" s="139" t="s">
        <v>1643</v>
      </c>
      <c r="B524" s="1">
        <v>13035</v>
      </c>
      <c r="C524" s="8">
        <v>3.8540509259259261</v>
      </c>
      <c r="D524" s="1">
        <v>4768.9887741218099</v>
      </c>
    </row>
    <row r="525" spans="1:4" x14ac:dyDescent="0.25">
      <c r="A525" s="125" t="s">
        <v>199</v>
      </c>
      <c r="B525" s="1">
        <v>52174</v>
      </c>
      <c r="C525" s="8">
        <v>6.7143171296296291</v>
      </c>
      <c r="D525" s="1">
        <v>9081.8082488949149</v>
      </c>
    </row>
    <row r="526" spans="1:4" x14ac:dyDescent="0.25">
      <c r="A526" s="139" t="s">
        <v>1642</v>
      </c>
      <c r="B526" s="1">
        <v>35087</v>
      </c>
      <c r="C526" s="8">
        <v>2.9435879629629631</v>
      </c>
      <c r="D526" s="1">
        <v>3580.718242258497</v>
      </c>
    </row>
    <row r="527" spans="1:4" x14ac:dyDescent="0.25">
      <c r="A527" s="139" t="s">
        <v>1643</v>
      </c>
      <c r="B527" s="1">
        <v>17087</v>
      </c>
      <c r="C527" s="8">
        <v>3.7707291666666665</v>
      </c>
      <c r="D527" s="1">
        <v>5501.0900066364175</v>
      </c>
    </row>
    <row r="528" spans="1:4" x14ac:dyDescent="0.25">
      <c r="A528" s="125" t="s">
        <v>1076</v>
      </c>
      <c r="B528" s="1">
        <v>25879</v>
      </c>
      <c r="C528" s="8">
        <v>4.206828703703704</v>
      </c>
      <c r="D528" s="1">
        <v>8622.3686592631402</v>
      </c>
    </row>
    <row r="529" spans="1:4" x14ac:dyDescent="0.25">
      <c r="A529" s="139" t="s">
        <v>1643</v>
      </c>
      <c r="B529" s="1">
        <v>25879</v>
      </c>
      <c r="C529" s="8">
        <v>4.206828703703704</v>
      </c>
      <c r="D529" s="1">
        <v>8622.3686592631402</v>
      </c>
    </row>
    <row r="530" spans="1:4" x14ac:dyDescent="0.25">
      <c r="A530" s="7" t="s">
        <v>90</v>
      </c>
      <c r="B530" s="1">
        <v>93729</v>
      </c>
      <c r="C530" s="8">
        <v>10.333333333333334</v>
      </c>
      <c r="D530" s="1">
        <v>10753.632671406536</v>
      </c>
    </row>
    <row r="531" spans="1:4" x14ac:dyDescent="0.25">
      <c r="A531" s="17" t="s">
        <v>149</v>
      </c>
      <c r="B531" s="1">
        <v>93729</v>
      </c>
      <c r="C531" s="8">
        <v>10.333333333333334</v>
      </c>
      <c r="D531" s="1">
        <v>10753.632671406536</v>
      </c>
    </row>
    <row r="532" spans="1:4" x14ac:dyDescent="0.25">
      <c r="A532" s="125" t="s">
        <v>183</v>
      </c>
      <c r="B532" s="1">
        <v>89602</v>
      </c>
      <c r="C532" s="8">
        <v>10</v>
      </c>
      <c r="D532" s="1">
        <v>10484.17021663882</v>
      </c>
    </row>
    <row r="533" spans="1:4" x14ac:dyDescent="0.25">
      <c r="A533" s="139" t="s">
        <v>1642</v>
      </c>
      <c r="B533" s="1">
        <v>1712</v>
      </c>
      <c r="C533" s="8">
        <v>0.22916666666666666</v>
      </c>
      <c r="D533" s="1">
        <v>144.66166720581595</v>
      </c>
    </row>
    <row r="534" spans="1:4" x14ac:dyDescent="0.25">
      <c r="A534" s="139" t="s">
        <v>1643</v>
      </c>
      <c r="B534" s="1">
        <v>55215</v>
      </c>
      <c r="C534" s="8">
        <v>5.5</v>
      </c>
      <c r="D534" s="1">
        <v>7275.5139806379948</v>
      </c>
    </row>
    <row r="535" spans="1:4" x14ac:dyDescent="0.25">
      <c r="A535" s="139" t="s">
        <v>1644</v>
      </c>
      <c r="B535" s="1">
        <v>32675</v>
      </c>
      <c r="C535" s="8">
        <v>4.270833333333333</v>
      </c>
      <c r="D535" s="1">
        <v>3063.9945687950089</v>
      </c>
    </row>
    <row r="536" spans="1:4" x14ac:dyDescent="0.25">
      <c r="A536" s="125" t="s">
        <v>185</v>
      </c>
      <c r="B536" s="1">
        <v>4127</v>
      </c>
      <c r="C536" s="8">
        <v>0.33333333333333331</v>
      </c>
      <c r="D536" s="1">
        <v>269.4624547677148</v>
      </c>
    </row>
    <row r="537" spans="1:4" x14ac:dyDescent="0.25">
      <c r="A537" s="139" t="s">
        <v>1642</v>
      </c>
      <c r="B537" s="1">
        <v>1092</v>
      </c>
      <c r="C537" s="8">
        <v>8.3333333333333329E-2</v>
      </c>
      <c r="D537" s="1">
        <v>57.504983507200436</v>
      </c>
    </row>
    <row r="538" spans="1:4" x14ac:dyDescent="0.25">
      <c r="A538" s="139" t="s">
        <v>1643</v>
      </c>
      <c r="B538" s="1">
        <v>2045</v>
      </c>
      <c r="C538" s="8">
        <v>8.3333333333333329E-2</v>
      </c>
      <c r="D538" s="1">
        <v>107.6901934727334</v>
      </c>
    </row>
    <row r="539" spans="1:4" x14ac:dyDescent="0.25">
      <c r="A539" s="139" t="s">
        <v>1644</v>
      </c>
      <c r="B539" s="1">
        <v>990</v>
      </c>
      <c r="C539" s="8">
        <v>0.16666666666666666</v>
      </c>
      <c r="D539" s="1">
        <v>104.26727778778101</v>
      </c>
    </row>
    <row r="540" spans="1:4" x14ac:dyDescent="0.25">
      <c r="A540" s="7" t="s">
        <v>64</v>
      </c>
      <c r="B540" s="1">
        <v>59300</v>
      </c>
      <c r="C540" s="8">
        <v>0.15555555555555556</v>
      </c>
      <c r="D540" s="1">
        <v>4694.8663493885351</v>
      </c>
    </row>
    <row r="541" spans="1:4" x14ac:dyDescent="0.25">
      <c r="A541" s="17" t="s">
        <v>149</v>
      </c>
      <c r="B541" s="1">
        <v>59300</v>
      </c>
      <c r="C541" s="8">
        <v>0.15555555555555556</v>
      </c>
      <c r="D541" s="1">
        <v>4694.8663493885351</v>
      </c>
    </row>
    <row r="542" spans="1:4" x14ac:dyDescent="0.25">
      <c r="A542" s="125" t="s">
        <v>907</v>
      </c>
      <c r="B542" s="1">
        <v>59300</v>
      </c>
      <c r="C542" s="8">
        <v>0.15555555555555556</v>
      </c>
      <c r="D542" s="1">
        <v>4694.8663493885351</v>
      </c>
    </row>
    <row r="543" spans="1:4" x14ac:dyDescent="0.25">
      <c r="A543" s="139" t="s">
        <v>1643</v>
      </c>
      <c r="B543" s="1">
        <v>59300</v>
      </c>
      <c r="C543" s="8">
        <v>0.15555555555555556</v>
      </c>
      <c r="D543" s="1">
        <v>4694.8663493885351</v>
      </c>
    </row>
    <row r="544" spans="1:4" x14ac:dyDescent="0.25">
      <c r="A544" s="7" t="s">
        <v>106</v>
      </c>
      <c r="B544" s="1">
        <v>59277</v>
      </c>
      <c r="C544" s="8">
        <v>14.524305555555554</v>
      </c>
      <c r="D544" s="1">
        <v>6220.2314057371495</v>
      </c>
    </row>
    <row r="545" spans="1:4" x14ac:dyDescent="0.25">
      <c r="A545" s="17" t="s">
        <v>149</v>
      </c>
      <c r="B545" s="1">
        <v>59277</v>
      </c>
      <c r="C545" s="8">
        <v>14.524305555555554</v>
      </c>
      <c r="D545" s="1">
        <v>6220.2314057371495</v>
      </c>
    </row>
    <row r="546" spans="1:4" x14ac:dyDescent="0.25">
      <c r="A546" s="125" t="s">
        <v>468</v>
      </c>
      <c r="B546" s="1">
        <v>44340</v>
      </c>
      <c r="C546" s="8">
        <v>7.4652777777777777</v>
      </c>
      <c r="D546" s="1">
        <v>3675.3956162093782</v>
      </c>
    </row>
    <row r="547" spans="1:4" x14ac:dyDescent="0.25">
      <c r="A547" s="139" t="s">
        <v>1642</v>
      </c>
      <c r="B547" s="1">
        <v>32160</v>
      </c>
      <c r="C547" s="8">
        <v>2.8194444444444446</v>
      </c>
      <c r="D547" s="1">
        <v>719.39590332481578</v>
      </c>
    </row>
    <row r="548" spans="1:4" x14ac:dyDescent="0.25">
      <c r="A548" s="139" t="s">
        <v>1643</v>
      </c>
      <c r="B548" s="1">
        <v>12179.999999999998</v>
      </c>
      <c r="C548" s="8">
        <v>4.645833333333333</v>
      </c>
      <c r="D548" s="1">
        <v>2955.9997128845625</v>
      </c>
    </row>
    <row r="549" spans="1:4" x14ac:dyDescent="0.25">
      <c r="A549" s="125" t="s">
        <v>225</v>
      </c>
      <c r="B549" s="1">
        <v>11247</v>
      </c>
      <c r="C549" s="8">
        <v>4.0173611111111107</v>
      </c>
      <c r="D549" s="1">
        <v>1372.204566307001</v>
      </c>
    </row>
    <row r="550" spans="1:4" x14ac:dyDescent="0.25">
      <c r="A550" s="139" t="s">
        <v>1642</v>
      </c>
      <c r="B550" s="1">
        <v>6327</v>
      </c>
      <c r="C550" s="8">
        <v>0.78819444444444453</v>
      </c>
      <c r="D550" s="1">
        <v>127.28785672330574</v>
      </c>
    </row>
    <row r="551" spans="1:4" x14ac:dyDescent="0.25">
      <c r="A551" s="139" t="s">
        <v>1643</v>
      </c>
      <c r="B551" s="1">
        <v>4920</v>
      </c>
      <c r="C551" s="8">
        <v>3.2291666666666665</v>
      </c>
      <c r="D551" s="1">
        <v>1244.9167095836951</v>
      </c>
    </row>
    <row r="552" spans="1:4" x14ac:dyDescent="0.25">
      <c r="A552" s="125" t="s">
        <v>197</v>
      </c>
      <c r="B552" s="1">
        <v>3690</v>
      </c>
      <c r="C552" s="8">
        <v>3.0416666666666665</v>
      </c>
      <c r="D552" s="1">
        <v>1172.6312232207708</v>
      </c>
    </row>
    <row r="553" spans="1:4" x14ac:dyDescent="0.25">
      <c r="A553" s="139" t="s">
        <v>1643</v>
      </c>
      <c r="B553" s="1">
        <v>3690</v>
      </c>
      <c r="C553" s="8">
        <v>3.0416666666666665</v>
      </c>
      <c r="D553" s="1">
        <v>1172.6312232207708</v>
      </c>
    </row>
    <row r="554" spans="1:4" x14ac:dyDescent="0.25">
      <c r="A554" s="7" t="s">
        <v>133</v>
      </c>
      <c r="B554" s="1">
        <v>2552</v>
      </c>
      <c r="C554" s="8">
        <v>1.9409722222222223</v>
      </c>
      <c r="D554" s="1">
        <v>292.1213150079609</v>
      </c>
    </row>
    <row r="555" spans="1:4" x14ac:dyDescent="0.25">
      <c r="A555" s="17" t="s">
        <v>142</v>
      </c>
      <c r="B555" s="1">
        <v>2552</v>
      </c>
      <c r="C555" s="8">
        <v>1.9409722222222223</v>
      </c>
      <c r="D555" s="1">
        <v>292.1213150079609</v>
      </c>
    </row>
    <row r="556" spans="1:4" x14ac:dyDescent="0.25">
      <c r="A556" s="125" t="s">
        <v>1062</v>
      </c>
      <c r="B556" s="1">
        <v>2552</v>
      </c>
      <c r="C556" s="8">
        <v>1.9409722222222223</v>
      </c>
      <c r="D556" s="1">
        <v>292.1213150079609</v>
      </c>
    </row>
    <row r="557" spans="1:4" x14ac:dyDescent="0.25">
      <c r="A557" s="139" t="s">
        <v>1643</v>
      </c>
      <c r="B557" s="1">
        <v>2552</v>
      </c>
      <c r="C557" s="8">
        <v>1.9409722222222223</v>
      </c>
      <c r="D557" s="1">
        <v>292.1213150079609</v>
      </c>
    </row>
    <row r="558" spans="1:4" x14ac:dyDescent="0.25">
      <c r="A558" s="7" t="s">
        <v>1639</v>
      </c>
      <c r="B558" s="1">
        <v>173479104.5730243</v>
      </c>
      <c r="C558" s="8">
        <v>706.63253472222232</v>
      </c>
      <c r="D558" s="1">
        <v>16718681.793041445</v>
      </c>
    </row>
  </sheetData>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sheetPr>
  <dimension ref="A1:G229"/>
  <sheetViews>
    <sheetView zoomScale="85" zoomScaleNormal="85" workbookViewId="0">
      <selection activeCell="A9" sqref="A9"/>
    </sheetView>
  </sheetViews>
  <sheetFormatPr defaultRowHeight="15" x14ac:dyDescent="0.25"/>
  <cols>
    <col min="1" max="1" width="30.85546875" bestFit="1" customWidth="1"/>
    <col min="2" max="2" width="16.5703125" bestFit="1" customWidth="1"/>
    <col min="3" max="3" width="23.85546875" bestFit="1" customWidth="1"/>
    <col min="4" max="4" width="15.140625" bestFit="1" customWidth="1"/>
  </cols>
  <sheetData>
    <row r="1" spans="1:4" x14ac:dyDescent="0.25">
      <c r="A1" s="6" t="s">
        <v>1627</v>
      </c>
      <c r="B1" t="s">
        <v>1628</v>
      </c>
    </row>
    <row r="2" spans="1:4" x14ac:dyDescent="0.25">
      <c r="D2" t="s">
        <v>1640</v>
      </c>
    </row>
    <row r="3" spans="1:4" x14ac:dyDescent="0.25">
      <c r="A3" s="6" t="s">
        <v>1630</v>
      </c>
      <c r="B3" s="19" t="s">
        <v>1631</v>
      </c>
      <c r="C3" s="8" t="s">
        <v>1632</v>
      </c>
      <c r="D3" s="19" t="s">
        <v>1641</v>
      </c>
    </row>
    <row r="4" spans="1:4" x14ac:dyDescent="0.25">
      <c r="A4" s="7" t="s">
        <v>8</v>
      </c>
      <c r="B4" s="19">
        <v>9220660</v>
      </c>
      <c r="C4" s="8">
        <v>27.748287037037041</v>
      </c>
      <c r="D4" s="19">
        <v>891897.74005186872</v>
      </c>
    </row>
    <row r="5" spans="1:4" x14ac:dyDescent="0.25">
      <c r="A5" s="17" t="s">
        <v>149</v>
      </c>
      <c r="B5" s="19">
        <v>9220660</v>
      </c>
      <c r="C5" s="8">
        <v>27.748287037037041</v>
      </c>
      <c r="D5" s="19">
        <v>891897.74005186872</v>
      </c>
    </row>
    <row r="6" spans="1:4" x14ac:dyDescent="0.25">
      <c r="A6" s="125" t="s">
        <v>199</v>
      </c>
      <c r="B6" s="19">
        <v>7588198</v>
      </c>
      <c r="C6" s="8">
        <v>9.243206018518519</v>
      </c>
      <c r="D6" s="19">
        <v>702165.58903114824</v>
      </c>
    </row>
    <row r="7" spans="1:4" x14ac:dyDescent="0.25">
      <c r="A7" s="125" t="s">
        <v>194</v>
      </c>
      <c r="B7" s="19">
        <v>1111875</v>
      </c>
      <c r="C7" s="8">
        <v>9.243206018518519</v>
      </c>
      <c r="D7" s="19">
        <v>102886.59840307606</v>
      </c>
    </row>
    <row r="8" spans="1:4" x14ac:dyDescent="0.25">
      <c r="A8" s="125" t="s">
        <v>225</v>
      </c>
      <c r="B8" s="19">
        <v>254508</v>
      </c>
      <c r="C8" s="8">
        <v>4.1226273148148147</v>
      </c>
      <c r="D8" s="19">
        <v>40779.13011963023</v>
      </c>
    </row>
    <row r="9" spans="1:4" x14ac:dyDescent="0.25">
      <c r="A9" s="125" t="s">
        <v>882</v>
      </c>
      <c r="B9" s="19">
        <v>214255</v>
      </c>
      <c r="C9" s="8">
        <v>4.1226273148148147</v>
      </c>
      <c r="D9" s="19">
        <v>34330.467096352157</v>
      </c>
    </row>
    <row r="10" spans="1:4" x14ac:dyDescent="0.25">
      <c r="A10" s="125" t="s">
        <v>197</v>
      </c>
      <c r="B10" s="19">
        <v>32200.000000000004</v>
      </c>
      <c r="C10" s="8">
        <v>0.50831018518518511</v>
      </c>
      <c r="D10" s="19">
        <v>7291.9451206684207</v>
      </c>
    </row>
    <row r="11" spans="1:4" x14ac:dyDescent="0.25">
      <c r="A11" s="125" t="s">
        <v>1076</v>
      </c>
      <c r="B11" s="19">
        <v>19624</v>
      </c>
      <c r="C11" s="8">
        <v>0.50831018518518511</v>
      </c>
      <c r="D11" s="19">
        <v>4444.0102809936934</v>
      </c>
    </row>
    <row r="12" spans="1:4" x14ac:dyDescent="0.25">
      <c r="A12" s="7" t="s">
        <v>81</v>
      </c>
      <c r="B12" s="19">
        <v>190000</v>
      </c>
      <c r="C12" s="8">
        <v>27.748287037037041</v>
      </c>
      <c r="D12" s="19">
        <v>20862.924408086445</v>
      </c>
    </row>
    <row r="13" spans="1:4" x14ac:dyDescent="0.25">
      <c r="A13" s="17" t="s">
        <v>149</v>
      </c>
      <c r="B13" s="19">
        <v>190000</v>
      </c>
      <c r="C13" s="8">
        <v>27.748287037037041</v>
      </c>
      <c r="D13" s="19">
        <v>20862.924408086445</v>
      </c>
    </row>
    <row r="14" spans="1:4" x14ac:dyDescent="0.25">
      <c r="A14" s="125" t="s">
        <v>199</v>
      </c>
      <c r="B14" s="19">
        <v>111000</v>
      </c>
      <c r="C14" s="8">
        <v>9.243206018518519</v>
      </c>
      <c r="D14" s="19">
        <v>12436.46166770486</v>
      </c>
    </row>
    <row r="15" spans="1:4" x14ac:dyDescent="0.25">
      <c r="A15" s="125" t="s">
        <v>194</v>
      </c>
      <c r="B15" s="19">
        <v>41000</v>
      </c>
      <c r="C15" s="8">
        <v>9.243206018518519</v>
      </c>
      <c r="D15" s="19">
        <v>2212.1330967994004</v>
      </c>
    </row>
    <row r="16" spans="1:4" x14ac:dyDescent="0.25">
      <c r="A16" s="125" t="s">
        <v>882</v>
      </c>
      <c r="B16" s="19">
        <v>27000</v>
      </c>
      <c r="C16" s="8">
        <v>4.1226273148148147</v>
      </c>
      <c r="D16" s="19">
        <v>4508.5389953820286</v>
      </c>
    </row>
    <row r="17" spans="1:4" x14ac:dyDescent="0.25">
      <c r="A17" s="125" t="s">
        <v>1076</v>
      </c>
      <c r="B17" s="19">
        <v>11000</v>
      </c>
      <c r="C17" s="8">
        <v>0.50831018518518511</v>
      </c>
      <c r="D17" s="19">
        <v>1705.7906482001545</v>
      </c>
    </row>
    <row r="18" spans="1:4" x14ac:dyDescent="0.25">
      <c r="A18" s="125" t="s">
        <v>197</v>
      </c>
      <c r="B18" s="19">
        <v>0</v>
      </c>
      <c r="C18" s="8">
        <v>0.50831018518518511</v>
      </c>
      <c r="D18" s="19">
        <v>0</v>
      </c>
    </row>
    <row r="19" spans="1:4" x14ac:dyDescent="0.25">
      <c r="A19" s="125" t="s">
        <v>225</v>
      </c>
      <c r="B19" s="19">
        <v>0</v>
      </c>
      <c r="C19" s="8">
        <v>4.1226273148148147</v>
      </c>
      <c r="D19" s="19">
        <v>0</v>
      </c>
    </row>
    <row r="20" spans="1:4" x14ac:dyDescent="0.25">
      <c r="A20" s="7" t="s">
        <v>19</v>
      </c>
      <c r="B20" s="19">
        <v>2549070</v>
      </c>
      <c r="C20" s="8">
        <v>27.728194444444444</v>
      </c>
      <c r="D20" s="19">
        <v>250210.55327166023</v>
      </c>
    </row>
    <row r="21" spans="1:4" x14ac:dyDescent="0.25">
      <c r="A21" s="17" t="s">
        <v>149</v>
      </c>
      <c r="B21" s="19">
        <v>2549070</v>
      </c>
      <c r="C21" s="8">
        <v>27.728194444444444</v>
      </c>
      <c r="D21" s="19">
        <v>250210.55327166023</v>
      </c>
    </row>
    <row r="22" spans="1:4" x14ac:dyDescent="0.25">
      <c r="A22" s="125" t="s">
        <v>871</v>
      </c>
      <c r="B22" s="19">
        <v>1150414</v>
      </c>
      <c r="C22" s="8">
        <v>7.8514930555555553</v>
      </c>
      <c r="D22" s="19">
        <v>89645.517606027439</v>
      </c>
    </row>
    <row r="23" spans="1:4" x14ac:dyDescent="0.25">
      <c r="A23" s="125" t="s">
        <v>868</v>
      </c>
      <c r="B23" s="19">
        <v>1082138</v>
      </c>
      <c r="C23" s="8">
        <v>6.0129050925925931</v>
      </c>
      <c r="D23" s="19">
        <v>130286.81421453398</v>
      </c>
    </row>
    <row r="24" spans="1:4" x14ac:dyDescent="0.25">
      <c r="A24" s="125" t="s">
        <v>1645</v>
      </c>
      <c r="B24" s="19">
        <v>182718</v>
      </c>
      <c r="C24" s="8">
        <v>7.8533680555555563</v>
      </c>
      <c r="D24" s="19">
        <v>14168.220687707821</v>
      </c>
    </row>
    <row r="25" spans="1:4" x14ac:dyDescent="0.25">
      <c r="A25" s="125" t="s">
        <v>1646</v>
      </c>
      <c r="B25" s="19">
        <v>133800</v>
      </c>
      <c r="C25" s="8">
        <v>6.0104282407407412</v>
      </c>
      <c r="D25" s="19">
        <v>16110.00076339101</v>
      </c>
    </row>
    <row r="26" spans="1:4" x14ac:dyDescent="0.25">
      <c r="A26" s="7" t="s">
        <v>62</v>
      </c>
      <c r="B26" s="19">
        <v>1348460</v>
      </c>
      <c r="C26" s="8">
        <v>27.728194444444444</v>
      </c>
      <c r="D26" s="19">
        <v>115649.88581515405</v>
      </c>
    </row>
    <row r="27" spans="1:4" x14ac:dyDescent="0.25">
      <c r="A27" s="17" t="s">
        <v>149</v>
      </c>
      <c r="B27" s="19">
        <v>1348460</v>
      </c>
      <c r="C27" s="8">
        <v>27.728194444444444</v>
      </c>
      <c r="D27" s="19">
        <v>115649.88581515405</v>
      </c>
    </row>
    <row r="28" spans="1:4" x14ac:dyDescent="0.25">
      <c r="A28" s="125" t="s">
        <v>871</v>
      </c>
      <c r="B28" s="19">
        <v>631340</v>
      </c>
      <c r="C28" s="8">
        <v>7.8514930555555553</v>
      </c>
      <c r="D28" s="19">
        <v>35352.688187160529</v>
      </c>
    </row>
    <row r="29" spans="1:4" x14ac:dyDescent="0.25">
      <c r="A29" s="125" t="s">
        <v>868</v>
      </c>
      <c r="B29" s="19">
        <v>305720</v>
      </c>
      <c r="C29" s="8">
        <v>6.0129050925925931</v>
      </c>
      <c r="D29" s="19">
        <v>28056.351483967417</v>
      </c>
    </row>
    <row r="30" spans="1:4" x14ac:dyDescent="0.25">
      <c r="A30" s="125" t="s">
        <v>1645</v>
      </c>
      <c r="B30" s="19">
        <v>256140</v>
      </c>
      <c r="C30" s="8">
        <v>7.8533680555555563</v>
      </c>
      <c r="D30" s="19">
        <v>27772.911205726887</v>
      </c>
    </row>
    <row r="31" spans="1:4" x14ac:dyDescent="0.25">
      <c r="A31" s="125" t="s">
        <v>1646</v>
      </c>
      <c r="B31" s="19">
        <v>155260</v>
      </c>
      <c r="C31" s="8">
        <v>6.0104282407407412</v>
      </c>
      <c r="D31" s="19">
        <v>24467.934938299215</v>
      </c>
    </row>
    <row r="32" spans="1:4" x14ac:dyDescent="0.25">
      <c r="A32" s="7" t="s">
        <v>21</v>
      </c>
      <c r="B32" s="19">
        <v>4590263</v>
      </c>
      <c r="C32" s="8">
        <v>27.497916666666665</v>
      </c>
      <c r="D32" s="19">
        <v>140229.73710450533</v>
      </c>
    </row>
    <row r="33" spans="1:7" x14ac:dyDescent="0.25">
      <c r="A33" s="17" t="s">
        <v>149</v>
      </c>
      <c r="B33" s="19">
        <v>4590263</v>
      </c>
      <c r="C33" s="8">
        <v>27.497916666666665</v>
      </c>
      <c r="D33" s="19">
        <v>140229.73710450533</v>
      </c>
    </row>
    <row r="34" spans="1:7" x14ac:dyDescent="0.25">
      <c r="A34" s="125" t="s">
        <v>1647</v>
      </c>
      <c r="B34" s="19">
        <v>2031768</v>
      </c>
      <c r="C34" s="8">
        <v>11.28263888888889</v>
      </c>
      <c r="D34" s="19">
        <v>45496.531006013953</v>
      </c>
    </row>
    <row r="35" spans="1:7" x14ac:dyDescent="0.25">
      <c r="A35" s="125" t="s">
        <v>1268</v>
      </c>
      <c r="B35" s="19">
        <v>1241725</v>
      </c>
      <c r="C35" s="8">
        <v>7.9902777777777771</v>
      </c>
      <c r="D35" s="19">
        <v>42423.116513779198</v>
      </c>
    </row>
    <row r="36" spans="1:7" x14ac:dyDescent="0.25">
      <c r="A36" s="125" t="s">
        <v>1648</v>
      </c>
      <c r="B36" s="19">
        <v>892103</v>
      </c>
      <c r="C36" s="8">
        <v>6.35</v>
      </c>
      <c r="D36" s="19">
        <v>26977.903893381343</v>
      </c>
      <c r="G36" s="8"/>
    </row>
    <row r="37" spans="1:7" x14ac:dyDescent="0.25">
      <c r="A37" s="125" t="s">
        <v>1547</v>
      </c>
      <c r="B37" s="19">
        <v>389963</v>
      </c>
      <c r="C37" s="8">
        <v>1.75</v>
      </c>
      <c r="D37" s="19">
        <v>24468.022035426176</v>
      </c>
    </row>
    <row r="38" spans="1:7" x14ac:dyDescent="0.25">
      <c r="A38" s="125" t="s">
        <v>1649</v>
      </c>
      <c r="B38" s="19">
        <v>24494</v>
      </c>
      <c r="C38" s="8">
        <v>8.3333333333333329E-2</v>
      </c>
      <c r="D38" s="19">
        <v>782.60864022069165</v>
      </c>
    </row>
    <row r="39" spans="1:7" x14ac:dyDescent="0.25">
      <c r="A39" s="125" t="s">
        <v>1271</v>
      </c>
      <c r="B39" s="19">
        <v>10210</v>
      </c>
      <c r="C39" s="8">
        <v>4.1666666666666664E-2</v>
      </c>
      <c r="D39" s="19">
        <v>81.555015683976293</v>
      </c>
    </row>
    <row r="40" spans="1:7" x14ac:dyDescent="0.25">
      <c r="A40" s="7" t="s">
        <v>15</v>
      </c>
      <c r="B40" s="19">
        <v>1511473</v>
      </c>
      <c r="C40" s="8">
        <v>23.721504629629628</v>
      </c>
      <c r="D40" s="19">
        <v>17291.023589657158</v>
      </c>
    </row>
    <row r="41" spans="1:7" x14ac:dyDescent="0.25">
      <c r="A41" s="17" t="s">
        <v>149</v>
      </c>
      <c r="B41" s="19">
        <v>1511473</v>
      </c>
      <c r="C41" s="8">
        <v>23.721504629629628</v>
      </c>
      <c r="D41" s="19">
        <v>17291.023589657158</v>
      </c>
    </row>
    <row r="42" spans="1:7" x14ac:dyDescent="0.25">
      <c r="A42" s="125" t="s">
        <v>1198</v>
      </c>
      <c r="B42" s="19">
        <v>1011264</v>
      </c>
      <c r="C42" s="8">
        <v>12.738217592592592</v>
      </c>
      <c r="D42" s="19">
        <v>7719.4541258888075</v>
      </c>
    </row>
    <row r="43" spans="1:7" x14ac:dyDescent="0.25">
      <c r="A43" s="125" t="s">
        <v>1196</v>
      </c>
      <c r="B43" s="19">
        <v>220644</v>
      </c>
      <c r="C43" s="8">
        <v>5.4651388888888883</v>
      </c>
      <c r="D43" s="19">
        <v>3786.8175831940694</v>
      </c>
    </row>
    <row r="44" spans="1:7" x14ac:dyDescent="0.25">
      <c r="A44" s="125" t="s">
        <v>1203</v>
      </c>
      <c r="B44" s="19">
        <v>139287</v>
      </c>
      <c r="C44" s="8">
        <v>3.7752662037037035</v>
      </c>
      <c r="D44" s="19">
        <v>4511.1320057239363</v>
      </c>
    </row>
    <row r="45" spans="1:7" x14ac:dyDescent="0.25">
      <c r="A45" s="125" t="s">
        <v>1200</v>
      </c>
      <c r="B45" s="19">
        <v>66831</v>
      </c>
      <c r="C45" s="8">
        <v>0.77115740740740735</v>
      </c>
      <c r="D45" s="19">
        <v>606.82898939927804</v>
      </c>
    </row>
    <row r="46" spans="1:7" x14ac:dyDescent="0.25">
      <c r="A46" s="125" t="s">
        <v>1201</v>
      </c>
      <c r="B46" s="19">
        <v>59557</v>
      </c>
      <c r="C46" s="8">
        <v>0.25175925925925929</v>
      </c>
      <c r="D46" s="19">
        <v>146.17260705540264</v>
      </c>
    </row>
    <row r="47" spans="1:7" x14ac:dyDescent="0.25">
      <c r="A47" s="125" t="s">
        <v>1199</v>
      </c>
      <c r="B47" s="19">
        <v>11492</v>
      </c>
      <c r="C47" s="8">
        <v>0.7107175925925926</v>
      </c>
      <c r="D47" s="19">
        <v>517.80646177381391</v>
      </c>
    </row>
    <row r="48" spans="1:7" x14ac:dyDescent="0.25">
      <c r="A48" s="125" t="s">
        <v>1197</v>
      </c>
      <c r="B48" s="19">
        <v>2398</v>
      </c>
      <c r="C48" s="8">
        <v>9.2476851851851852E-3</v>
      </c>
      <c r="D48" s="19">
        <v>2.8118166218496587</v>
      </c>
    </row>
    <row r="49" spans="1:4" x14ac:dyDescent="0.25">
      <c r="A49" s="7" t="s">
        <v>109</v>
      </c>
      <c r="B49" s="19">
        <v>830876</v>
      </c>
      <c r="C49" s="8">
        <v>23.721504629629628</v>
      </c>
      <c r="D49" s="19">
        <v>9141.7488144493491</v>
      </c>
    </row>
    <row r="50" spans="1:4" x14ac:dyDescent="0.25">
      <c r="A50" s="17" t="s">
        <v>149</v>
      </c>
      <c r="B50" s="19">
        <v>830876</v>
      </c>
      <c r="C50" s="8">
        <v>23.721504629629628</v>
      </c>
      <c r="D50" s="19">
        <v>9141.7488144493491</v>
      </c>
    </row>
    <row r="51" spans="1:4" x14ac:dyDescent="0.25">
      <c r="A51" s="125" t="s">
        <v>1198</v>
      </c>
      <c r="B51" s="19">
        <v>674216</v>
      </c>
      <c r="C51" s="8">
        <v>12.738217592592592</v>
      </c>
      <c r="D51" s="19">
        <v>5908.6691147708007</v>
      </c>
    </row>
    <row r="52" spans="1:4" x14ac:dyDescent="0.25">
      <c r="A52" s="125" t="s">
        <v>1201</v>
      </c>
      <c r="B52" s="19">
        <v>70900</v>
      </c>
      <c r="C52" s="8">
        <v>0.25175925925925929</v>
      </c>
      <c r="D52" s="19">
        <v>238.9453277191212</v>
      </c>
    </row>
    <row r="53" spans="1:4" x14ac:dyDescent="0.25">
      <c r="A53" s="125" t="s">
        <v>1196</v>
      </c>
      <c r="B53" s="19">
        <v>51760</v>
      </c>
      <c r="C53" s="8">
        <v>5.4651388888888883</v>
      </c>
      <c r="D53" s="19">
        <v>1424.9579957412227</v>
      </c>
    </row>
    <row r="54" spans="1:4" x14ac:dyDescent="0.25">
      <c r="A54" s="125" t="s">
        <v>1203</v>
      </c>
      <c r="B54" s="19">
        <v>26500</v>
      </c>
      <c r="C54" s="8">
        <v>3.7752662037037035</v>
      </c>
      <c r="D54" s="19">
        <v>1138.0303982764469</v>
      </c>
    </row>
    <row r="55" spans="1:4" x14ac:dyDescent="0.25">
      <c r="A55" s="125" t="s">
        <v>1199</v>
      </c>
      <c r="B55" s="19">
        <v>6400</v>
      </c>
      <c r="C55" s="8">
        <v>0.7107175925925926</v>
      </c>
      <c r="D55" s="19">
        <v>410.15320796909953</v>
      </c>
    </row>
    <row r="56" spans="1:4" x14ac:dyDescent="0.25">
      <c r="A56" s="125" t="s">
        <v>1200</v>
      </c>
      <c r="B56" s="19">
        <v>1100</v>
      </c>
      <c r="C56" s="8">
        <v>0.77115740740740735</v>
      </c>
      <c r="D56" s="19">
        <v>20.992769972659428</v>
      </c>
    </row>
    <row r="57" spans="1:4" x14ac:dyDescent="0.25">
      <c r="A57" s="125" t="s">
        <v>1197</v>
      </c>
      <c r="B57" s="19">
        <v>0</v>
      </c>
      <c r="C57" s="8">
        <v>9.2476851851851852E-3</v>
      </c>
      <c r="D57" s="19">
        <v>0</v>
      </c>
    </row>
    <row r="58" spans="1:4" x14ac:dyDescent="0.25">
      <c r="A58" s="7" t="s">
        <v>122</v>
      </c>
      <c r="B58" s="19">
        <v>27239119</v>
      </c>
      <c r="C58" s="8">
        <v>21.227777777777778</v>
      </c>
      <c r="D58" s="19">
        <v>7746613.6604094217</v>
      </c>
    </row>
    <row r="59" spans="1:4" x14ac:dyDescent="0.25">
      <c r="A59" s="17" t="s">
        <v>149</v>
      </c>
      <c r="B59" s="19">
        <v>27239119</v>
      </c>
      <c r="C59" s="8">
        <v>21.227777777777778</v>
      </c>
      <c r="D59" s="19">
        <v>7746613.6604094217</v>
      </c>
    </row>
    <row r="60" spans="1:4" x14ac:dyDescent="0.25">
      <c r="A60" s="125" t="s">
        <v>183</v>
      </c>
      <c r="B60" s="19">
        <v>14814200</v>
      </c>
      <c r="C60" s="8">
        <v>3.8513888888888892</v>
      </c>
      <c r="D60" s="19">
        <v>5008671.1685168268</v>
      </c>
    </row>
    <row r="61" spans="1:4" x14ac:dyDescent="0.25">
      <c r="A61" s="125" t="s">
        <v>185</v>
      </c>
      <c r="B61" s="19">
        <v>8130500</v>
      </c>
      <c r="C61" s="8">
        <v>2.4770833333333333</v>
      </c>
      <c r="D61" s="19">
        <v>2196134.0477877557</v>
      </c>
    </row>
    <row r="62" spans="1:4" x14ac:dyDescent="0.25">
      <c r="A62" s="125" t="s">
        <v>1594</v>
      </c>
      <c r="B62" s="19">
        <v>3575227</v>
      </c>
      <c r="C62" s="8">
        <v>5.4423611111111114</v>
      </c>
      <c r="D62" s="19">
        <v>299489.2179899005</v>
      </c>
    </row>
    <row r="63" spans="1:4" x14ac:dyDescent="0.25">
      <c r="A63" s="125" t="s">
        <v>186</v>
      </c>
      <c r="B63" s="19">
        <v>510892</v>
      </c>
      <c r="C63" s="8">
        <v>6.0465277777777775</v>
      </c>
      <c r="D63" s="19">
        <v>190052.90619385883</v>
      </c>
    </row>
    <row r="64" spans="1:4" x14ac:dyDescent="0.25">
      <c r="A64" s="125" t="s">
        <v>187</v>
      </c>
      <c r="B64" s="19">
        <v>208300</v>
      </c>
      <c r="C64" s="8">
        <v>3.4104166666666669</v>
      </c>
      <c r="D64" s="19">
        <v>52266.319921080263</v>
      </c>
    </row>
    <row r="65" spans="1:4" x14ac:dyDescent="0.25">
      <c r="A65" s="7" t="s">
        <v>113</v>
      </c>
      <c r="B65" s="19">
        <v>2491179</v>
      </c>
      <c r="C65" s="8">
        <v>19.724560185185183</v>
      </c>
      <c r="D65" s="19">
        <v>584539.57623696246</v>
      </c>
    </row>
    <row r="66" spans="1:4" x14ac:dyDescent="0.25">
      <c r="A66" s="17" t="s">
        <v>149</v>
      </c>
      <c r="B66" s="19">
        <v>1691600</v>
      </c>
      <c r="C66" s="8">
        <v>14.893958333333332</v>
      </c>
      <c r="D66" s="19">
        <v>434353.65416830359</v>
      </c>
    </row>
    <row r="67" spans="1:4" x14ac:dyDescent="0.25">
      <c r="A67" s="125" t="s">
        <v>268</v>
      </c>
      <c r="B67" s="19">
        <v>1006774</v>
      </c>
      <c r="C67" s="8">
        <v>8.2424768518518512</v>
      </c>
      <c r="D67" s="19">
        <v>270964.73576292547</v>
      </c>
    </row>
    <row r="68" spans="1:4" x14ac:dyDescent="0.25">
      <c r="A68" s="125" t="s">
        <v>269</v>
      </c>
      <c r="B68" s="19">
        <v>684826</v>
      </c>
      <c r="C68" s="8">
        <v>6.6514814814814809</v>
      </c>
      <c r="D68" s="19">
        <v>163388.91840537812</v>
      </c>
    </row>
    <row r="69" spans="1:4" x14ac:dyDescent="0.25">
      <c r="A69" s="17" t="s">
        <v>142</v>
      </c>
      <c r="B69" s="19">
        <v>799579</v>
      </c>
      <c r="C69" s="8">
        <v>4.8306018518518519</v>
      </c>
      <c r="D69" s="19">
        <v>150185.92206865884</v>
      </c>
    </row>
    <row r="70" spans="1:4" x14ac:dyDescent="0.25">
      <c r="A70" s="125" t="s">
        <v>1482</v>
      </c>
      <c r="B70" s="19">
        <v>463058</v>
      </c>
      <c r="C70" s="8">
        <v>1.4126736111111111</v>
      </c>
      <c r="D70" s="19">
        <v>78847.408772236347</v>
      </c>
    </row>
    <row r="71" spans="1:4" x14ac:dyDescent="0.25">
      <c r="A71" s="125" t="s">
        <v>1475</v>
      </c>
      <c r="B71" s="19">
        <v>285152</v>
      </c>
      <c r="C71" s="8">
        <v>2.3601967592592592</v>
      </c>
      <c r="D71" s="19">
        <v>62055.136283829488</v>
      </c>
    </row>
    <row r="72" spans="1:4" x14ac:dyDescent="0.25">
      <c r="A72" s="125" t="s">
        <v>1473</v>
      </c>
      <c r="B72" s="19">
        <v>51369</v>
      </c>
      <c r="C72" s="8">
        <v>1.0577314814814816</v>
      </c>
      <c r="D72" s="19">
        <v>9283.3770125929968</v>
      </c>
    </row>
    <row r="73" spans="1:4" x14ac:dyDescent="0.25">
      <c r="A73" s="7" t="s">
        <v>126</v>
      </c>
      <c r="B73" s="19">
        <v>495308</v>
      </c>
      <c r="C73" s="8">
        <v>19.336805555555557</v>
      </c>
      <c r="D73" s="19">
        <v>40172.22087410331</v>
      </c>
    </row>
    <row r="74" spans="1:4" x14ac:dyDescent="0.25">
      <c r="A74" s="17" t="s">
        <v>149</v>
      </c>
      <c r="B74" s="19">
        <v>495308</v>
      </c>
      <c r="C74" s="8">
        <v>19.336805555555557</v>
      </c>
      <c r="D74" s="19">
        <v>40172.22087410331</v>
      </c>
    </row>
    <row r="75" spans="1:4" x14ac:dyDescent="0.25">
      <c r="A75" s="125" t="s">
        <v>468</v>
      </c>
      <c r="B75" s="19">
        <v>295973</v>
      </c>
      <c r="C75" s="8">
        <v>8.8888888888888893</v>
      </c>
      <c r="D75" s="19">
        <v>18594.205878734523</v>
      </c>
    </row>
    <row r="76" spans="1:4" x14ac:dyDescent="0.25">
      <c r="A76" s="125" t="s">
        <v>1617</v>
      </c>
      <c r="B76" s="19">
        <v>153696</v>
      </c>
      <c r="C76" s="8">
        <v>7.5104166666666661</v>
      </c>
      <c r="D76" s="19">
        <v>15022.290828417283</v>
      </c>
    </row>
    <row r="77" spans="1:4" x14ac:dyDescent="0.25">
      <c r="A77" s="125" t="s">
        <v>225</v>
      </c>
      <c r="B77" s="19">
        <v>45639</v>
      </c>
      <c r="C77" s="8">
        <v>2.9375</v>
      </c>
      <c r="D77" s="19">
        <v>6555.7241669515079</v>
      </c>
    </row>
    <row r="78" spans="1:4" x14ac:dyDescent="0.25">
      <c r="A78" s="7" t="s">
        <v>111</v>
      </c>
      <c r="B78" s="19">
        <v>2528328</v>
      </c>
      <c r="C78" s="8">
        <v>17.56429398148148</v>
      </c>
      <c r="D78" s="19">
        <v>85183.254891740187</v>
      </c>
    </row>
    <row r="79" spans="1:4" x14ac:dyDescent="0.25">
      <c r="A79" s="17" t="s">
        <v>149</v>
      </c>
      <c r="B79" s="19">
        <v>2528328</v>
      </c>
      <c r="C79" s="8">
        <v>17.56429398148148</v>
      </c>
      <c r="D79" s="19">
        <v>85183.254891740187</v>
      </c>
    </row>
    <row r="80" spans="1:4" x14ac:dyDescent="0.25">
      <c r="A80" s="125" t="s">
        <v>221</v>
      </c>
      <c r="B80" s="19">
        <v>1781067</v>
      </c>
      <c r="C80" s="8">
        <v>8.1270486111111104</v>
      </c>
      <c r="D80" s="19">
        <v>60094.995316289613</v>
      </c>
    </row>
    <row r="81" spans="1:4" x14ac:dyDescent="0.25">
      <c r="A81" s="125" t="s">
        <v>269</v>
      </c>
      <c r="B81" s="19">
        <v>702161</v>
      </c>
      <c r="C81" s="8">
        <v>6.6204513888888883</v>
      </c>
      <c r="D81" s="19">
        <v>23289.374141195072</v>
      </c>
    </row>
    <row r="82" spans="1:4" x14ac:dyDescent="0.25">
      <c r="A82" s="125" t="s">
        <v>174</v>
      </c>
      <c r="B82" s="19">
        <v>45100</v>
      </c>
      <c r="C82" s="8">
        <v>2.8167939814814815</v>
      </c>
      <c r="D82" s="19">
        <v>1798.8854342555046</v>
      </c>
    </row>
    <row r="83" spans="1:4" x14ac:dyDescent="0.25">
      <c r="A83" s="7" t="s">
        <v>66</v>
      </c>
      <c r="B83" s="19">
        <v>3759839</v>
      </c>
      <c r="C83" s="8">
        <v>17.416666666666664</v>
      </c>
      <c r="D83" s="19">
        <v>290217.38864845596</v>
      </c>
    </row>
    <row r="84" spans="1:4" x14ac:dyDescent="0.25">
      <c r="A84" s="17" t="s">
        <v>149</v>
      </c>
      <c r="B84" s="19">
        <v>3759839</v>
      </c>
      <c r="C84" s="8">
        <v>17.416666666666664</v>
      </c>
      <c r="D84" s="19">
        <v>290217.38864845596</v>
      </c>
    </row>
    <row r="85" spans="1:4" x14ac:dyDescent="0.25">
      <c r="A85" s="125" t="s">
        <v>269</v>
      </c>
      <c r="B85" s="19">
        <v>1995456</v>
      </c>
      <c r="C85" s="8">
        <v>8.1527777777777768</v>
      </c>
      <c r="D85" s="19">
        <v>152797.75593545314</v>
      </c>
    </row>
    <row r="86" spans="1:4" x14ac:dyDescent="0.25">
      <c r="A86" s="125" t="s">
        <v>221</v>
      </c>
      <c r="B86" s="19">
        <v>1764383</v>
      </c>
      <c r="C86" s="8">
        <v>9.2638888888888893</v>
      </c>
      <c r="D86" s="19">
        <v>137419.63271300282</v>
      </c>
    </row>
    <row r="87" spans="1:4" x14ac:dyDescent="0.25">
      <c r="A87" s="7" t="s">
        <v>38</v>
      </c>
      <c r="B87" s="19">
        <v>67770247</v>
      </c>
      <c r="C87" s="8">
        <v>17.308333333333334</v>
      </c>
      <c r="D87" s="19">
        <v>3506155.5276631741</v>
      </c>
    </row>
    <row r="88" spans="1:4" x14ac:dyDescent="0.25">
      <c r="A88" s="17" t="s">
        <v>142</v>
      </c>
      <c r="B88" s="19">
        <v>64813483</v>
      </c>
      <c r="C88" s="8">
        <v>6.999305555555555</v>
      </c>
      <c r="D88" s="19">
        <v>3292304.2172608441</v>
      </c>
    </row>
    <row r="89" spans="1:4" x14ac:dyDescent="0.25">
      <c r="A89" s="125" t="s">
        <v>515</v>
      </c>
      <c r="B89" s="19">
        <v>42183075</v>
      </c>
      <c r="C89" s="8">
        <v>5.2354166666666666</v>
      </c>
      <c r="D89" s="19">
        <v>2569955.3304759739</v>
      </c>
    </row>
    <row r="90" spans="1:4" x14ac:dyDescent="0.25">
      <c r="A90" s="125" t="s">
        <v>518</v>
      </c>
      <c r="B90" s="19">
        <v>22630408</v>
      </c>
      <c r="C90" s="8">
        <v>1.7638888888888888</v>
      </c>
      <c r="D90" s="19">
        <v>722348.88678487006</v>
      </c>
    </row>
    <row r="91" spans="1:4" x14ac:dyDescent="0.25">
      <c r="A91" s="17" t="s">
        <v>149</v>
      </c>
      <c r="B91" s="19">
        <v>2956764</v>
      </c>
      <c r="C91" s="8">
        <v>10.309027777777779</v>
      </c>
      <c r="D91" s="19">
        <v>213851.31040232949</v>
      </c>
    </row>
    <row r="92" spans="1:4" x14ac:dyDescent="0.25">
      <c r="A92" s="125" t="s">
        <v>511</v>
      </c>
      <c r="B92" s="19">
        <v>1468260</v>
      </c>
      <c r="C92" s="8">
        <v>1.2708333333333333</v>
      </c>
      <c r="D92" s="19">
        <v>141666.64456207523</v>
      </c>
    </row>
    <row r="93" spans="1:4" x14ac:dyDescent="0.25">
      <c r="A93" s="125" t="s">
        <v>548</v>
      </c>
      <c r="B93" s="19">
        <v>1452594</v>
      </c>
      <c r="C93" s="8">
        <v>8.9965277777777786</v>
      </c>
      <c r="D93" s="19">
        <v>71843.86436924414</v>
      </c>
    </row>
    <row r="94" spans="1:4" x14ac:dyDescent="0.25">
      <c r="A94" s="125" t="s">
        <v>549</v>
      </c>
      <c r="B94" s="19">
        <v>35910</v>
      </c>
      <c r="C94" s="8">
        <v>4.1666666666666664E-2</v>
      </c>
      <c r="D94" s="19">
        <v>340.80147101012398</v>
      </c>
    </row>
    <row r="95" spans="1:4" x14ac:dyDescent="0.25">
      <c r="A95" s="7" t="s">
        <v>114</v>
      </c>
      <c r="B95" s="19">
        <v>1828104</v>
      </c>
      <c r="C95" s="8">
        <v>16.434027777777779</v>
      </c>
      <c r="D95" s="19">
        <v>35805.884340889126</v>
      </c>
    </row>
    <row r="96" spans="1:4" x14ac:dyDescent="0.25">
      <c r="A96" s="17" t="s">
        <v>149</v>
      </c>
      <c r="B96" s="19">
        <v>1828104</v>
      </c>
      <c r="C96" s="8">
        <v>16.434027777777779</v>
      </c>
      <c r="D96" s="19">
        <v>35805.884340889126</v>
      </c>
    </row>
    <row r="97" spans="1:4" x14ac:dyDescent="0.25">
      <c r="A97" s="125" t="s">
        <v>197</v>
      </c>
      <c r="B97" s="19">
        <v>912505</v>
      </c>
      <c r="C97" s="8">
        <v>7.8715277777777777</v>
      </c>
      <c r="D97" s="19">
        <v>18417.637992817625</v>
      </c>
    </row>
    <row r="98" spans="1:4" x14ac:dyDescent="0.25">
      <c r="A98" s="125" t="s">
        <v>194</v>
      </c>
      <c r="B98" s="19">
        <v>838309</v>
      </c>
      <c r="C98" s="8">
        <v>8.3125</v>
      </c>
      <c r="D98" s="19">
        <v>16960.093830103171</v>
      </c>
    </row>
    <row r="99" spans="1:4" x14ac:dyDescent="0.25">
      <c r="A99" s="125" t="s">
        <v>225</v>
      </c>
      <c r="B99" s="19">
        <v>77290</v>
      </c>
      <c r="C99" s="8">
        <v>0.25</v>
      </c>
      <c r="D99" s="19">
        <v>428.15251796832581</v>
      </c>
    </row>
    <row r="100" spans="1:4" x14ac:dyDescent="0.25">
      <c r="A100" s="7" t="s">
        <v>100</v>
      </c>
      <c r="B100" s="19">
        <v>3528172</v>
      </c>
      <c r="C100" s="8">
        <v>15.431388888888888</v>
      </c>
      <c r="D100" s="19">
        <v>52543.007763781025</v>
      </c>
    </row>
    <row r="101" spans="1:4" x14ac:dyDescent="0.25">
      <c r="A101" s="17" t="s">
        <v>149</v>
      </c>
      <c r="B101" s="19">
        <v>3528172</v>
      </c>
      <c r="C101" s="8">
        <v>15.431388888888888</v>
      </c>
      <c r="D101" s="19">
        <v>52543.007763781025</v>
      </c>
    </row>
    <row r="102" spans="1:4" x14ac:dyDescent="0.25">
      <c r="A102" s="125" t="s">
        <v>268</v>
      </c>
      <c r="B102" s="19">
        <v>2702707</v>
      </c>
      <c r="C102" s="8">
        <v>8.5208680555555549</v>
      </c>
      <c r="D102" s="19">
        <v>42247.335430958599</v>
      </c>
    </row>
    <row r="103" spans="1:4" x14ac:dyDescent="0.25">
      <c r="A103" s="125" t="s">
        <v>269</v>
      </c>
      <c r="B103" s="19">
        <v>825465</v>
      </c>
      <c r="C103" s="8">
        <v>6.910520833333333</v>
      </c>
      <c r="D103" s="19">
        <v>10295.672332822425</v>
      </c>
    </row>
    <row r="104" spans="1:4" x14ac:dyDescent="0.25">
      <c r="A104" s="7" t="s">
        <v>23</v>
      </c>
      <c r="B104" s="19">
        <v>4717321</v>
      </c>
      <c r="C104" s="8">
        <v>15.408877314814813</v>
      </c>
      <c r="D104" s="19">
        <v>153707.91905016178</v>
      </c>
    </row>
    <row r="105" spans="1:4" x14ac:dyDescent="0.25">
      <c r="A105" s="17" t="s">
        <v>142</v>
      </c>
      <c r="B105" s="19">
        <v>3160800</v>
      </c>
      <c r="C105" s="8">
        <v>1.4234837962962963</v>
      </c>
      <c r="D105" s="19">
        <v>85264.766845931401</v>
      </c>
    </row>
    <row r="106" spans="1:4" x14ac:dyDescent="0.25">
      <c r="A106" s="125" t="s">
        <v>282</v>
      </c>
      <c r="B106" s="19">
        <v>3151800</v>
      </c>
      <c r="C106" s="8">
        <v>1.3971412037037036</v>
      </c>
      <c r="D106" s="19">
        <v>85133.202129643556</v>
      </c>
    </row>
    <row r="107" spans="1:4" x14ac:dyDescent="0.25">
      <c r="A107" s="125" t="s">
        <v>277</v>
      </c>
      <c r="B107" s="19">
        <v>9000</v>
      </c>
      <c r="C107" s="8">
        <v>2.6342592592592588E-2</v>
      </c>
      <c r="D107" s="19">
        <v>131.5647162878513</v>
      </c>
    </row>
    <row r="108" spans="1:4" x14ac:dyDescent="0.25">
      <c r="A108" s="17" t="s">
        <v>149</v>
      </c>
      <c r="B108" s="19">
        <v>1556521</v>
      </c>
      <c r="C108" s="8">
        <v>13.985393518518517</v>
      </c>
      <c r="D108" s="19">
        <v>68443.152204230384</v>
      </c>
    </row>
    <row r="109" spans="1:4" x14ac:dyDescent="0.25">
      <c r="A109" s="125" t="s">
        <v>221</v>
      </c>
      <c r="B109" s="19">
        <v>1460985</v>
      </c>
      <c r="C109" s="8">
        <v>7.3339120370370372</v>
      </c>
      <c r="D109" s="19">
        <v>64701.405570048395</v>
      </c>
    </row>
    <row r="110" spans="1:4" x14ac:dyDescent="0.25">
      <c r="A110" s="125" t="s">
        <v>269</v>
      </c>
      <c r="B110" s="19">
        <v>95536</v>
      </c>
      <c r="C110" s="8">
        <v>6.6514814814814809</v>
      </c>
      <c r="D110" s="19">
        <v>3741.7466341819918</v>
      </c>
    </row>
    <row r="111" spans="1:4" x14ac:dyDescent="0.25">
      <c r="A111" s="7" t="s">
        <v>43</v>
      </c>
      <c r="B111" s="19">
        <v>756724</v>
      </c>
      <c r="C111" s="8">
        <v>15.191041666666665</v>
      </c>
      <c r="D111" s="19">
        <v>48100.581668095983</v>
      </c>
    </row>
    <row r="112" spans="1:4" x14ac:dyDescent="0.25">
      <c r="A112" s="17" t="s">
        <v>149</v>
      </c>
      <c r="B112" s="19">
        <v>756724</v>
      </c>
      <c r="C112" s="8">
        <v>15.191041666666665</v>
      </c>
      <c r="D112" s="19">
        <v>48100.581668095983</v>
      </c>
    </row>
    <row r="113" spans="1:4" x14ac:dyDescent="0.25">
      <c r="A113" s="125" t="s">
        <v>268</v>
      </c>
      <c r="B113" s="19">
        <v>470072</v>
      </c>
      <c r="C113" s="8">
        <v>8.5395601851851843</v>
      </c>
      <c r="D113" s="19">
        <v>33062.289900060328</v>
      </c>
    </row>
    <row r="114" spans="1:4" x14ac:dyDescent="0.25">
      <c r="A114" s="125" t="s">
        <v>269</v>
      </c>
      <c r="B114" s="19">
        <v>286652</v>
      </c>
      <c r="C114" s="8">
        <v>6.6514814814814809</v>
      </c>
      <c r="D114" s="19">
        <v>15038.291768035655</v>
      </c>
    </row>
    <row r="115" spans="1:4" x14ac:dyDescent="0.25">
      <c r="A115" s="7" t="s">
        <v>89</v>
      </c>
      <c r="B115" s="19">
        <v>4412610</v>
      </c>
      <c r="C115" s="8">
        <v>15.034120370370369</v>
      </c>
      <c r="D115" s="19">
        <v>229946.23761848456</v>
      </c>
    </row>
    <row r="116" spans="1:4" x14ac:dyDescent="0.25">
      <c r="A116" s="17" t="s">
        <v>149</v>
      </c>
      <c r="B116" s="19">
        <v>4412610</v>
      </c>
      <c r="C116" s="8">
        <v>15.034120370370369</v>
      </c>
      <c r="D116" s="19">
        <v>229946.23761848456</v>
      </c>
    </row>
    <row r="117" spans="1:4" x14ac:dyDescent="0.25">
      <c r="A117" s="125" t="s">
        <v>221</v>
      </c>
      <c r="B117" s="19">
        <v>2922731</v>
      </c>
      <c r="C117" s="8">
        <v>8.3826388888888879</v>
      </c>
      <c r="D117" s="19">
        <v>139765.5478645871</v>
      </c>
    </row>
    <row r="118" spans="1:4" x14ac:dyDescent="0.25">
      <c r="A118" s="125" t="s">
        <v>269</v>
      </c>
      <c r="B118" s="19">
        <v>1489879</v>
      </c>
      <c r="C118" s="8">
        <v>6.6514814814814809</v>
      </c>
      <c r="D118" s="19">
        <v>90180.689753897459</v>
      </c>
    </row>
    <row r="119" spans="1:4" x14ac:dyDescent="0.25">
      <c r="A119" s="7" t="s">
        <v>54</v>
      </c>
      <c r="B119" s="19">
        <v>1090591</v>
      </c>
      <c r="C119" s="8">
        <v>15.004166666666666</v>
      </c>
      <c r="D119" s="19">
        <v>68211.647894795722</v>
      </c>
    </row>
    <row r="120" spans="1:4" x14ac:dyDescent="0.25">
      <c r="A120" s="17" t="s">
        <v>149</v>
      </c>
      <c r="B120" s="19">
        <v>1090591</v>
      </c>
      <c r="C120" s="8">
        <v>15.004166666666666</v>
      </c>
      <c r="D120" s="19">
        <v>68211.647894795722</v>
      </c>
    </row>
    <row r="121" spans="1:4" x14ac:dyDescent="0.25">
      <c r="A121" s="125" t="s">
        <v>269</v>
      </c>
      <c r="B121" s="19">
        <v>563538</v>
      </c>
      <c r="C121" s="8">
        <v>7.1916666666666664</v>
      </c>
      <c r="D121" s="19">
        <v>35126.539863379745</v>
      </c>
    </row>
    <row r="122" spans="1:4" x14ac:dyDescent="0.25">
      <c r="A122" s="125" t="s">
        <v>268</v>
      </c>
      <c r="B122" s="19">
        <v>527053</v>
      </c>
      <c r="C122" s="8">
        <v>7.8125</v>
      </c>
      <c r="D122" s="19">
        <v>33085.108031415984</v>
      </c>
    </row>
    <row r="123" spans="1:4" x14ac:dyDescent="0.25">
      <c r="A123" s="7" t="s">
        <v>56</v>
      </c>
      <c r="B123" s="19">
        <v>18414196</v>
      </c>
      <c r="C123" s="8">
        <v>14.919583333333332</v>
      </c>
      <c r="D123" s="19">
        <v>1425968.8926464992</v>
      </c>
    </row>
    <row r="124" spans="1:4" x14ac:dyDescent="0.25">
      <c r="A124" s="17" t="s">
        <v>142</v>
      </c>
      <c r="B124" s="19">
        <v>15467201</v>
      </c>
      <c r="C124" s="8">
        <v>8.268101851851851</v>
      </c>
      <c r="D124" s="19">
        <v>1184992.0568540562</v>
      </c>
    </row>
    <row r="125" spans="1:4" x14ac:dyDescent="0.25">
      <c r="A125" s="125" t="s">
        <v>221</v>
      </c>
      <c r="B125" s="19">
        <v>15467201</v>
      </c>
      <c r="C125" s="8">
        <v>8.268101851851851</v>
      </c>
      <c r="D125" s="19">
        <v>1184992.0568540562</v>
      </c>
    </row>
    <row r="126" spans="1:4" x14ac:dyDescent="0.25">
      <c r="A126" s="17" t="s">
        <v>149</v>
      </c>
      <c r="B126" s="19">
        <v>2946995</v>
      </c>
      <c r="C126" s="8">
        <v>6.6514814814814809</v>
      </c>
      <c r="D126" s="19">
        <v>240976.83579244293</v>
      </c>
    </row>
    <row r="127" spans="1:4" x14ac:dyDescent="0.25">
      <c r="A127" s="125" t="s">
        <v>269</v>
      </c>
      <c r="B127" s="19">
        <v>2946995</v>
      </c>
      <c r="C127" s="8">
        <v>6.6514814814814809</v>
      </c>
      <c r="D127" s="19">
        <v>240976.83579244293</v>
      </c>
    </row>
    <row r="128" spans="1:4" x14ac:dyDescent="0.25">
      <c r="A128" s="7" t="s">
        <v>60</v>
      </c>
      <c r="B128" s="19">
        <v>980899</v>
      </c>
      <c r="C128" s="8">
        <v>14.913842592592591</v>
      </c>
      <c r="D128" s="19">
        <v>114019.21852957932</v>
      </c>
    </row>
    <row r="129" spans="1:4" x14ac:dyDescent="0.25">
      <c r="A129" s="17" t="s">
        <v>149</v>
      </c>
      <c r="B129" s="19">
        <v>980899</v>
      </c>
      <c r="C129" s="8">
        <v>14.913842592592591</v>
      </c>
      <c r="D129" s="19">
        <v>114019.21852957932</v>
      </c>
    </row>
    <row r="130" spans="1:4" x14ac:dyDescent="0.25">
      <c r="A130" s="125" t="s">
        <v>269</v>
      </c>
      <c r="B130" s="19">
        <v>668880</v>
      </c>
      <c r="C130" s="8">
        <v>6.6514814814814809</v>
      </c>
      <c r="D130" s="19">
        <v>69757.896626618793</v>
      </c>
    </row>
    <row r="131" spans="1:4" x14ac:dyDescent="0.25">
      <c r="A131" s="125" t="s">
        <v>221</v>
      </c>
      <c r="B131" s="19">
        <v>312019</v>
      </c>
      <c r="C131" s="8">
        <v>8.2623611111111099</v>
      </c>
      <c r="D131" s="19">
        <v>44261.321902960517</v>
      </c>
    </row>
    <row r="132" spans="1:4" x14ac:dyDescent="0.25">
      <c r="A132" s="7" t="s">
        <v>103</v>
      </c>
      <c r="B132" s="19">
        <v>2237744</v>
      </c>
      <c r="C132" s="8">
        <v>14.893958333333334</v>
      </c>
      <c r="D132" s="19">
        <v>224203.66541091446</v>
      </c>
    </row>
    <row r="133" spans="1:4" x14ac:dyDescent="0.25">
      <c r="A133" s="17" t="s">
        <v>149</v>
      </c>
      <c r="B133" s="19">
        <v>2237744</v>
      </c>
      <c r="C133" s="8">
        <v>14.893958333333334</v>
      </c>
      <c r="D133" s="19">
        <v>224203.66541091446</v>
      </c>
    </row>
    <row r="134" spans="1:4" x14ac:dyDescent="0.25">
      <c r="A134" s="125" t="s">
        <v>221</v>
      </c>
      <c r="B134" s="19">
        <v>1184438</v>
      </c>
      <c r="C134" s="8">
        <v>8.242476851851853</v>
      </c>
      <c r="D134" s="19">
        <v>130055.08205537983</v>
      </c>
    </row>
    <row r="135" spans="1:4" x14ac:dyDescent="0.25">
      <c r="A135" s="125" t="s">
        <v>269</v>
      </c>
      <c r="B135" s="19">
        <v>1053306</v>
      </c>
      <c r="C135" s="8">
        <v>6.6514814814814809</v>
      </c>
      <c r="D135" s="19">
        <v>94148.583355534618</v>
      </c>
    </row>
    <row r="136" spans="1:4" x14ac:dyDescent="0.25">
      <c r="A136" s="7" t="s">
        <v>24</v>
      </c>
      <c r="B136" s="19">
        <v>42432460</v>
      </c>
      <c r="C136" s="8">
        <v>14.893958333333332</v>
      </c>
      <c r="D136" s="19">
        <v>3893893.7015669905</v>
      </c>
    </row>
    <row r="137" spans="1:4" x14ac:dyDescent="0.25">
      <c r="A137" s="17" t="s">
        <v>149</v>
      </c>
      <c r="B137" s="19">
        <v>42432460</v>
      </c>
      <c r="C137" s="8">
        <v>14.893958333333332</v>
      </c>
      <c r="D137" s="19">
        <v>3893893.7015669905</v>
      </c>
    </row>
    <row r="138" spans="1:4" x14ac:dyDescent="0.25">
      <c r="A138" s="125" t="s">
        <v>221</v>
      </c>
      <c r="B138" s="19">
        <v>22648580</v>
      </c>
      <c r="C138" s="8">
        <v>8.2424768518518512</v>
      </c>
      <c r="D138" s="19">
        <v>2194578.4644189803</v>
      </c>
    </row>
    <row r="139" spans="1:4" x14ac:dyDescent="0.25">
      <c r="A139" s="125" t="s">
        <v>269</v>
      </c>
      <c r="B139" s="19">
        <v>19783880</v>
      </c>
      <c r="C139" s="8">
        <v>6.6514814814814809</v>
      </c>
      <c r="D139" s="19">
        <v>1699315.2371480102</v>
      </c>
    </row>
    <row r="140" spans="1:4" x14ac:dyDescent="0.25">
      <c r="A140" s="7" t="s">
        <v>35</v>
      </c>
      <c r="B140" s="19">
        <v>5253000</v>
      </c>
      <c r="C140" s="8">
        <v>14.440972222222223</v>
      </c>
      <c r="D140" s="19">
        <v>199745.36630123045</v>
      </c>
    </row>
    <row r="141" spans="1:4" x14ac:dyDescent="0.25">
      <c r="A141" s="17" t="s">
        <v>149</v>
      </c>
      <c r="B141" s="19">
        <v>5253000</v>
      </c>
      <c r="C141" s="8">
        <v>14.440972222222223</v>
      </c>
      <c r="D141" s="19">
        <v>199745.36630123045</v>
      </c>
    </row>
    <row r="142" spans="1:4" x14ac:dyDescent="0.25">
      <c r="A142" s="125" t="s">
        <v>492</v>
      </c>
      <c r="B142" s="19">
        <v>2991000</v>
      </c>
      <c r="C142" s="8">
        <v>6.2298611111111111</v>
      </c>
      <c r="D142" s="19">
        <v>113614.60884051255</v>
      </c>
    </row>
    <row r="143" spans="1:4" x14ac:dyDescent="0.25">
      <c r="A143" s="125" t="s">
        <v>481</v>
      </c>
      <c r="B143" s="19">
        <v>1803200</v>
      </c>
      <c r="C143" s="8">
        <v>4.7979166666666666</v>
      </c>
      <c r="D143" s="19">
        <v>68487.784199876143</v>
      </c>
    </row>
    <row r="144" spans="1:4" x14ac:dyDescent="0.25">
      <c r="A144" s="125" t="s">
        <v>498</v>
      </c>
      <c r="B144" s="19">
        <v>234800</v>
      </c>
      <c r="C144" s="8">
        <v>2.0756944444444443</v>
      </c>
      <c r="D144" s="19">
        <v>10488.375686962687</v>
      </c>
    </row>
    <row r="145" spans="1:4" x14ac:dyDescent="0.25">
      <c r="A145" s="125" t="s">
        <v>486</v>
      </c>
      <c r="B145" s="19">
        <v>224000</v>
      </c>
      <c r="C145" s="8">
        <v>1.3375000000000001</v>
      </c>
      <c r="D145" s="19">
        <v>7154.5975738790621</v>
      </c>
    </row>
    <row r="146" spans="1:4" x14ac:dyDescent="0.25">
      <c r="A146" s="7" t="s">
        <v>106</v>
      </c>
      <c r="B146" s="19">
        <v>192292</v>
      </c>
      <c r="C146" s="8">
        <v>12.951388888888889</v>
      </c>
      <c r="D146" s="19">
        <v>27080.1413524442</v>
      </c>
    </row>
    <row r="147" spans="1:4" x14ac:dyDescent="0.25">
      <c r="A147" s="17" t="s">
        <v>149</v>
      </c>
      <c r="B147" s="19">
        <v>192292</v>
      </c>
      <c r="C147" s="8">
        <v>12.951388888888889</v>
      </c>
      <c r="D147" s="19">
        <v>27080.1413524442</v>
      </c>
    </row>
    <row r="148" spans="1:4" x14ac:dyDescent="0.25">
      <c r="A148" s="125" t="s">
        <v>194</v>
      </c>
      <c r="B148" s="19">
        <v>136224</v>
      </c>
      <c r="C148" s="8">
        <v>8.9513888888888893</v>
      </c>
      <c r="D148" s="19">
        <v>16010.033831367229</v>
      </c>
    </row>
    <row r="149" spans="1:4" x14ac:dyDescent="0.25">
      <c r="A149" s="125" t="s">
        <v>225</v>
      </c>
      <c r="B149" s="19">
        <v>49760</v>
      </c>
      <c r="C149" s="8">
        <v>3.479166666666667</v>
      </c>
      <c r="D149" s="19">
        <v>9540.9837378445009</v>
      </c>
    </row>
    <row r="150" spans="1:4" x14ac:dyDescent="0.25">
      <c r="A150" s="125" t="s">
        <v>197</v>
      </c>
      <c r="B150" s="19">
        <v>6308</v>
      </c>
      <c r="C150" s="8">
        <v>0.52083333333333337</v>
      </c>
      <c r="D150" s="19">
        <v>1529.12378323247</v>
      </c>
    </row>
    <row r="151" spans="1:4" x14ac:dyDescent="0.25">
      <c r="A151" s="7" t="s">
        <v>63</v>
      </c>
      <c r="B151" s="19">
        <v>1092047</v>
      </c>
      <c r="C151" s="8">
        <v>12.6875</v>
      </c>
      <c r="D151" s="19">
        <v>26714.077858473287</v>
      </c>
    </row>
    <row r="152" spans="1:4" x14ac:dyDescent="0.25">
      <c r="A152" s="17" t="s">
        <v>149</v>
      </c>
      <c r="B152" s="19">
        <v>1092047</v>
      </c>
      <c r="C152" s="8">
        <v>12.6875</v>
      </c>
      <c r="D152" s="19">
        <v>26714.077858473287</v>
      </c>
    </row>
    <row r="153" spans="1:4" x14ac:dyDescent="0.25">
      <c r="A153" s="125" t="s">
        <v>468</v>
      </c>
      <c r="B153" s="19">
        <v>925105</v>
      </c>
      <c r="C153" s="8">
        <v>8.9097222222222232</v>
      </c>
      <c r="D153" s="19">
        <v>18074.918613069371</v>
      </c>
    </row>
    <row r="154" spans="1:4" x14ac:dyDescent="0.25">
      <c r="A154" s="125" t="s">
        <v>225</v>
      </c>
      <c r="B154" s="19">
        <v>153431</v>
      </c>
      <c r="C154" s="8">
        <v>3.2708333333333335</v>
      </c>
      <c r="D154" s="19">
        <v>7450.9674610410129</v>
      </c>
    </row>
    <row r="155" spans="1:4" x14ac:dyDescent="0.25">
      <c r="A155" s="125" t="s">
        <v>197</v>
      </c>
      <c r="B155" s="19">
        <v>13511</v>
      </c>
      <c r="C155" s="8">
        <v>0.50694444444444442</v>
      </c>
      <c r="D155" s="19">
        <v>1188.1917843629037</v>
      </c>
    </row>
    <row r="156" spans="1:4" x14ac:dyDescent="0.25">
      <c r="A156" s="7" t="s">
        <v>59</v>
      </c>
      <c r="B156" s="19">
        <v>218237</v>
      </c>
      <c r="C156" s="8">
        <v>12.222222222222223</v>
      </c>
      <c r="D156" s="19">
        <v>39563.067636728047</v>
      </c>
    </row>
    <row r="157" spans="1:4" x14ac:dyDescent="0.25">
      <c r="A157" s="17" t="s">
        <v>149</v>
      </c>
      <c r="B157" s="19">
        <v>218237</v>
      </c>
      <c r="C157" s="8">
        <v>12.222222222222223</v>
      </c>
      <c r="D157" s="19">
        <v>39563.067636728047</v>
      </c>
    </row>
    <row r="158" spans="1:4" x14ac:dyDescent="0.25">
      <c r="A158" s="125" t="s">
        <v>194</v>
      </c>
      <c r="B158" s="19">
        <v>165851</v>
      </c>
      <c r="C158" s="8">
        <v>8.7638888888888893</v>
      </c>
      <c r="D158" s="19">
        <v>24226.228977588107</v>
      </c>
    </row>
    <row r="159" spans="1:4" x14ac:dyDescent="0.25">
      <c r="A159" s="125" t="s">
        <v>225</v>
      </c>
      <c r="B159" s="19">
        <v>44286</v>
      </c>
      <c r="C159" s="8">
        <v>2.9375</v>
      </c>
      <c r="D159" s="19">
        <v>12957.899334100199</v>
      </c>
    </row>
    <row r="160" spans="1:4" x14ac:dyDescent="0.25">
      <c r="A160" s="125" t="s">
        <v>197</v>
      </c>
      <c r="B160" s="19">
        <v>8100</v>
      </c>
      <c r="C160" s="8">
        <v>0.52083333333333337</v>
      </c>
      <c r="D160" s="19">
        <v>2378.9393250397393</v>
      </c>
    </row>
    <row r="161" spans="1:4" x14ac:dyDescent="0.25">
      <c r="A161" s="7" t="s">
        <v>17</v>
      </c>
      <c r="B161" s="19">
        <v>1570474.6012465465</v>
      </c>
      <c r="C161" s="8">
        <v>11.342638888888889</v>
      </c>
      <c r="D161" s="19">
        <v>359479.03420632321</v>
      </c>
    </row>
    <row r="162" spans="1:4" x14ac:dyDescent="0.25">
      <c r="A162" s="17" t="s">
        <v>149</v>
      </c>
      <c r="B162" s="19">
        <v>1191520.8872094827</v>
      </c>
      <c r="C162" s="8">
        <v>9.57568287037037</v>
      </c>
      <c r="D162" s="19">
        <v>232986.26429967809</v>
      </c>
    </row>
    <row r="163" spans="1:4" x14ac:dyDescent="0.25">
      <c r="A163" s="125" t="s">
        <v>185</v>
      </c>
      <c r="B163" s="19">
        <v>1130574.10122095</v>
      </c>
      <c r="C163" s="8">
        <v>9.0833333333333321</v>
      </c>
      <c r="D163" s="19">
        <v>221556.20348834211</v>
      </c>
    </row>
    <row r="164" spans="1:4" x14ac:dyDescent="0.25">
      <c r="A164" s="125" t="s">
        <v>183</v>
      </c>
      <c r="B164" s="19">
        <v>60946.785988532793</v>
      </c>
      <c r="C164" s="8">
        <v>0.49234953703703704</v>
      </c>
      <c r="D164" s="19">
        <v>11430.060811335969</v>
      </c>
    </row>
    <row r="165" spans="1:4" x14ac:dyDescent="0.25">
      <c r="A165" s="17" t="s">
        <v>142</v>
      </c>
      <c r="B165" s="19">
        <v>378953.71403706371</v>
      </c>
      <c r="C165" s="8">
        <v>1.7669560185185187</v>
      </c>
      <c r="D165" s="19">
        <v>126492.76990664513</v>
      </c>
    </row>
    <row r="166" spans="1:4" x14ac:dyDescent="0.25">
      <c r="A166" s="125" t="s">
        <v>251</v>
      </c>
      <c r="B166" s="19">
        <v>378953.71403706371</v>
      </c>
      <c r="C166" s="8">
        <v>1.7669560185185187</v>
      </c>
      <c r="D166" s="19">
        <v>126492.76990664513</v>
      </c>
    </row>
    <row r="167" spans="1:4" x14ac:dyDescent="0.25">
      <c r="A167" s="7" t="s">
        <v>11</v>
      </c>
      <c r="B167" s="19">
        <v>8226516</v>
      </c>
      <c r="C167" s="8">
        <v>10.972222222222221</v>
      </c>
      <c r="D167" s="19">
        <v>1395962.3184360485</v>
      </c>
    </row>
    <row r="168" spans="1:4" x14ac:dyDescent="0.25">
      <c r="A168" s="17" t="s">
        <v>149</v>
      </c>
      <c r="B168" s="19">
        <v>8226516</v>
      </c>
      <c r="C168" s="8">
        <v>10.972222222222221</v>
      </c>
      <c r="D168" s="19">
        <v>1395962.3184360485</v>
      </c>
    </row>
    <row r="169" spans="1:4" x14ac:dyDescent="0.25">
      <c r="A169" s="125" t="s">
        <v>191</v>
      </c>
      <c r="B169" s="19">
        <v>3945936</v>
      </c>
      <c r="C169" s="8">
        <v>5.2291666666666661</v>
      </c>
      <c r="D169" s="19">
        <v>857543.46518139308</v>
      </c>
    </row>
    <row r="170" spans="1:4" x14ac:dyDescent="0.25">
      <c r="A170" s="125" t="s">
        <v>554</v>
      </c>
      <c r="B170" s="19">
        <v>1730260</v>
      </c>
      <c r="C170" s="8">
        <v>2.4166666666666665</v>
      </c>
      <c r="D170" s="19">
        <v>124106.90884197383</v>
      </c>
    </row>
    <row r="171" spans="1:4" x14ac:dyDescent="0.25">
      <c r="A171" s="125" t="s">
        <v>186</v>
      </c>
      <c r="B171" s="19">
        <v>1463502</v>
      </c>
      <c r="C171" s="8">
        <v>1.7256944444444446</v>
      </c>
      <c r="D171" s="19">
        <v>244255.85711003208</v>
      </c>
    </row>
    <row r="172" spans="1:4" x14ac:dyDescent="0.25">
      <c r="A172" s="125" t="s">
        <v>185</v>
      </c>
      <c r="B172" s="19">
        <v>697412</v>
      </c>
      <c r="C172" s="8">
        <v>0.97569444444444442</v>
      </c>
      <c r="D172" s="19">
        <v>120022.45576880543</v>
      </c>
    </row>
    <row r="173" spans="1:4" x14ac:dyDescent="0.25">
      <c r="A173" s="125" t="s">
        <v>184</v>
      </c>
      <c r="B173" s="19">
        <v>389406</v>
      </c>
      <c r="C173" s="8">
        <v>0.625</v>
      </c>
      <c r="D173" s="19">
        <v>50033.631533844011</v>
      </c>
    </row>
    <row r="174" spans="1:4" x14ac:dyDescent="0.25">
      <c r="A174" s="7" t="s">
        <v>97</v>
      </c>
      <c r="B174" s="19">
        <v>171302</v>
      </c>
      <c r="C174" s="8">
        <v>9.57568287037037</v>
      </c>
      <c r="D174" s="19">
        <v>20976.445982046971</v>
      </c>
    </row>
    <row r="175" spans="1:4" x14ac:dyDescent="0.25">
      <c r="A175" s="17" t="s">
        <v>149</v>
      </c>
      <c r="B175" s="19">
        <v>171302</v>
      </c>
      <c r="C175" s="8">
        <v>9.57568287037037</v>
      </c>
      <c r="D175" s="19">
        <v>20976.445982046971</v>
      </c>
    </row>
    <row r="176" spans="1:4" x14ac:dyDescent="0.25">
      <c r="A176" s="125" t="s">
        <v>185</v>
      </c>
      <c r="B176" s="19">
        <v>161918</v>
      </c>
      <c r="C176" s="8">
        <v>9.0833333333333321</v>
      </c>
      <c r="D176" s="19">
        <v>19969.631681680163</v>
      </c>
    </row>
    <row r="177" spans="1:4" x14ac:dyDescent="0.25">
      <c r="A177" s="125" t="s">
        <v>183</v>
      </c>
      <c r="B177" s="19">
        <v>9384</v>
      </c>
      <c r="C177" s="8">
        <v>0.49234953703703704</v>
      </c>
      <c r="D177" s="19">
        <v>1006.8143003668084</v>
      </c>
    </row>
    <row r="178" spans="1:4" x14ac:dyDescent="0.25">
      <c r="A178" s="7" t="s">
        <v>44</v>
      </c>
      <c r="B178" s="19">
        <v>380455</v>
      </c>
      <c r="C178" s="8">
        <v>9.2971643518518512</v>
      </c>
      <c r="D178" s="19">
        <v>19591.293224508736</v>
      </c>
    </row>
    <row r="179" spans="1:4" x14ac:dyDescent="0.25">
      <c r="A179" s="17" t="s">
        <v>149</v>
      </c>
      <c r="B179" s="19">
        <v>380455</v>
      </c>
      <c r="C179" s="8">
        <v>9.2971643518518512</v>
      </c>
      <c r="D179" s="19">
        <v>19591.293224508736</v>
      </c>
    </row>
    <row r="180" spans="1:4" x14ac:dyDescent="0.25">
      <c r="A180" s="125" t="s">
        <v>268</v>
      </c>
      <c r="B180" s="19">
        <v>247855</v>
      </c>
      <c r="C180" s="8">
        <v>5.0891782407407407</v>
      </c>
      <c r="D180" s="19">
        <v>10940.316640263844</v>
      </c>
    </row>
    <row r="181" spans="1:4" x14ac:dyDescent="0.25">
      <c r="A181" s="125" t="s">
        <v>269</v>
      </c>
      <c r="B181" s="19">
        <v>132600</v>
      </c>
      <c r="C181" s="8">
        <v>4.2079861111111114</v>
      </c>
      <c r="D181" s="19">
        <v>8650.9765842448905</v>
      </c>
    </row>
    <row r="182" spans="1:4" x14ac:dyDescent="0.25">
      <c r="A182" s="7" t="s">
        <v>99</v>
      </c>
      <c r="B182" s="19">
        <v>252159</v>
      </c>
      <c r="C182" s="8">
        <v>9.1104282407407418</v>
      </c>
      <c r="D182" s="19">
        <v>30112.983519680874</v>
      </c>
    </row>
    <row r="183" spans="1:4" x14ac:dyDescent="0.25">
      <c r="A183" s="17" t="s">
        <v>149</v>
      </c>
      <c r="B183" s="19">
        <v>252159</v>
      </c>
      <c r="C183" s="8">
        <v>9.1104282407407418</v>
      </c>
      <c r="D183" s="19">
        <v>30112.983519680874</v>
      </c>
    </row>
    <row r="184" spans="1:4" x14ac:dyDescent="0.25">
      <c r="A184" s="125" t="s">
        <v>194</v>
      </c>
      <c r="B184" s="19">
        <v>232000</v>
      </c>
      <c r="C184" s="8">
        <v>5.8326504629629632</v>
      </c>
      <c r="D184" s="19">
        <v>24632.811040274206</v>
      </c>
    </row>
    <row r="185" spans="1:4" x14ac:dyDescent="0.25">
      <c r="A185" s="125" t="s">
        <v>225</v>
      </c>
      <c r="B185" s="19">
        <v>18669</v>
      </c>
      <c r="C185" s="8">
        <v>2.7708333333333335</v>
      </c>
      <c r="D185" s="19">
        <v>4612.7340980690979</v>
      </c>
    </row>
    <row r="186" spans="1:4" x14ac:dyDescent="0.25">
      <c r="A186" s="125" t="s">
        <v>197</v>
      </c>
      <c r="B186" s="19">
        <v>1490</v>
      </c>
      <c r="C186" s="8">
        <v>0.50694444444444442</v>
      </c>
      <c r="D186" s="19">
        <v>867.4383813375714</v>
      </c>
    </row>
    <row r="187" spans="1:4" x14ac:dyDescent="0.25">
      <c r="A187" s="7" t="s">
        <v>67</v>
      </c>
      <c r="B187" s="19">
        <v>379178</v>
      </c>
      <c r="C187" s="8">
        <v>8.6173611111111104</v>
      </c>
      <c r="D187" s="19">
        <v>126944.54269349776</v>
      </c>
    </row>
    <row r="188" spans="1:4" x14ac:dyDescent="0.25">
      <c r="A188" s="17" t="s">
        <v>149</v>
      </c>
      <c r="B188" s="19">
        <v>379178</v>
      </c>
      <c r="C188" s="8">
        <v>8.6173611111111104</v>
      </c>
      <c r="D188" s="19">
        <v>126944.54269349776</v>
      </c>
    </row>
    <row r="189" spans="1:4" x14ac:dyDescent="0.25">
      <c r="A189" s="125" t="s">
        <v>1024</v>
      </c>
      <c r="B189" s="19">
        <v>352878</v>
      </c>
      <c r="C189" s="8">
        <v>7.9854166666666666</v>
      </c>
      <c r="D189" s="19">
        <v>117563.38036061055</v>
      </c>
    </row>
    <row r="190" spans="1:4" x14ac:dyDescent="0.25">
      <c r="A190" s="125" t="s">
        <v>1026</v>
      </c>
      <c r="B190" s="19">
        <v>26300</v>
      </c>
      <c r="C190" s="8">
        <v>0.63194444444444442</v>
      </c>
      <c r="D190" s="19">
        <v>9381.1623328872083</v>
      </c>
    </row>
    <row r="191" spans="1:4" x14ac:dyDescent="0.25">
      <c r="A191" s="7" t="s">
        <v>83</v>
      </c>
      <c r="B191" s="19">
        <v>1156137</v>
      </c>
      <c r="C191" s="8">
        <v>8.5555555555555554</v>
      </c>
      <c r="D191" s="19">
        <v>264221.67864423268</v>
      </c>
    </row>
    <row r="192" spans="1:4" x14ac:dyDescent="0.25">
      <c r="A192" s="17" t="s">
        <v>149</v>
      </c>
      <c r="B192" s="19">
        <v>1156137</v>
      </c>
      <c r="C192" s="8">
        <v>8.5555555555555554</v>
      </c>
      <c r="D192" s="19">
        <v>264221.67864423268</v>
      </c>
    </row>
    <row r="193" spans="1:4" x14ac:dyDescent="0.25">
      <c r="A193" s="125" t="s">
        <v>191</v>
      </c>
      <c r="B193" s="19">
        <v>677568</v>
      </c>
      <c r="C193" s="8">
        <v>5.2291666666666661</v>
      </c>
      <c r="D193" s="19">
        <v>173989.83270943709</v>
      </c>
    </row>
    <row r="194" spans="1:4" x14ac:dyDescent="0.25">
      <c r="A194" s="125" t="s">
        <v>186</v>
      </c>
      <c r="B194" s="19">
        <v>251303</v>
      </c>
      <c r="C194" s="8">
        <v>1.7256944444444446</v>
      </c>
      <c r="D194" s="19">
        <v>49557.99838884468</v>
      </c>
    </row>
    <row r="195" spans="1:4" x14ac:dyDescent="0.25">
      <c r="A195" s="125" t="s">
        <v>185</v>
      </c>
      <c r="B195" s="19">
        <v>119756</v>
      </c>
      <c r="C195" s="8">
        <v>0.97569444444444442</v>
      </c>
      <c r="D195" s="19">
        <v>24351.912204360113</v>
      </c>
    </row>
    <row r="196" spans="1:4" x14ac:dyDescent="0.25">
      <c r="A196" s="125" t="s">
        <v>184</v>
      </c>
      <c r="B196" s="19">
        <v>107510</v>
      </c>
      <c r="C196" s="8">
        <v>0.625</v>
      </c>
      <c r="D196" s="19">
        <v>16321.935341590788</v>
      </c>
    </row>
    <row r="197" spans="1:4" x14ac:dyDescent="0.25">
      <c r="A197" s="7" t="s">
        <v>13</v>
      </c>
      <c r="B197" s="19">
        <v>1841647</v>
      </c>
      <c r="C197" s="8">
        <v>8.5555555555555554</v>
      </c>
      <c r="D197" s="19">
        <v>295216.92311873008</v>
      </c>
    </row>
    <row r="198" spans="1:4" x14ac:dyDescent="0.25">
      <c r="A198" s="17" t="s">
        <v>149</v>
      </c>
      <c r="B198" s="19">
        <v>1841647</v>
      </c>
      <c r="C198" s="8">
        <v>8.5555555555555554</v>
      </c>
      <c r="D198" s="19">
        <v>295216.92311873008</v>
      </c>
    </row>
    <row r="199" spans="1:4" x14ac:dyDescent="0.25">
      <c r="A199" s="125" t="s">
        <v>191</v>
      </c>
      <c r="B199" s="19">
        <v>1085088</v>
      </c>
      <c r="C199" s="8">
        <v>5.2291666666666661</v>
      </c>
      <c r="D199" s="19">
        <v>194677.36706872081</v>
      </c>
    </row>
    <row r="200" spans="1:4" x14ac:dyDescent="0.25">
      <c r="A200" s="125" t="s">
        <v>186</v>
      </c>
      <c r="B200" s="19">
        <v>451341</v>
      </c>
      <c r="C200" s="8">
        <v>1.7256944444444446</v>
      </c>
      <c r="D200" s="19">
        <v>61257.26729286919</v>
      </c>
    </row>
    <row r="201" spans="1:4" x14ac:dyDescent="0.25">
      <c r="A201" s="125" t="s">
        <v>185</v>
      </c>
      <c r="B201" s="19">
        <v>160832</v>
      </c>
      <c r="C201" s="8">
        <v>0.97569444444444442</v>
      </c>
      <c r="D201" s="19">
        <v>23518.761235883798</v>
      </c>
    </row>
    <row r="202" spans="1:4" x14ac:dyDescent="0.25">
      <c r="A202" s="125" t="s">
        <v>184</v>
      </c>
      <c r="B202" s="19">
        <v>144386</v>
      </c>
      <c r="C202" s="8">
        <v>0.625</v>
      </c>
      <c r="D202" s="19">
        <v>15763.527521256272</v>
      </c>
    </row>
    <row r="203" spans="1:4" x14ac:dyDescent="0.25">
      <c r="A203" s="7" t="s">
        <v>110</v>
      </c>
      <c r="B203" s="19">
        <v>1639740</v>
      </c>
      <c r="C203" s="8">
        <v>7.3123726851851849</v>
      </c>
      <c r="D203" s="19">
        <v>270339.05081908719</v>
      </c>
    </row>
    <row r="204" spans="1:4" x14ac:dyDescent="0.25">
      <c r="A204" s="17" t="s">
        <v>149</v>
      </c>
      <c r="B204" s="19">
        <v>1639740</v>
      </c>
      <c r="C204" s="8">
        <v>7.3123726851851849</v>
      </c>
      <c r="D204" s="19">
        <v>270339.05081908719</v>
      </c>
    </row>
    <row r="205" spans="1:4" x14ac:dyDescent="0.25">
      <c r="A205" s="125" t="s">
        <v>1439</v>
      </c>
      <c r="B205" s="19">
        <v>1639740</v>
      </c>
      <c r="C205" s="8">
        <v>7.3123726851851849</v>
      </c>
      <c r="D205" s="19">
        <v>270339.05081908719</v>
      </c>
    </row>
    <row r="206" spans="1:4" x14ac:dyDescent="0.25">
      <c r="A206" s="7" t="s">
        <v>31</v>
      </c>
      <c r="B206" s="19">
        <v>4866560</v>
      </c>
      <c r="C206" s="8">
        <v>6.6805555555555562</v>
      </c>
      <c r="D206" s="19">
        <v>371771.43672190601</v>
      </c>
    </row>
    <row r="207" spans="1:4" x14ac:dyDescent="0.25">
      <c r="A207" s="17" t="s">
        <v>149</v>
      </c>
      <c r="B207" s="19">
        <v>4866560</v>
      </c>
      <c r="C207" s="8">
        <v>6.6805555555555562</v>
      </c>
      <c r="D207" s="19">
        <v>371771.43672190601</v>
      </c>
    </row>
    <row r="208" spans="1:4" x14ac:dyDescent="0.25">
      <c r="A208" s="125" t="s">
        <v>421</v>
      </c>
      <c r="B208" s="19">
        <v>4625876</v>
      </c>
      <c r="C208" s="8">
        <v>5.6493055555555562</v>
      </c>
      <c r="D208" s="19">
        <v>357679.86706631636</v>
      </c>
    </row>
    <row r="209" spans="1:4" x14ac:dyDescent="0.25">
      <c r="A209" s="125" t="s">
        <v>183</v>
      </c>
      <c r="B209" s="19">
        <v>141352</v>
      </c>
      <c r="C209" s="8">
        <v>0.29166666666666669</v>
      </c>
      <c r="D209" s="19">
        <v>5108.5706452256118</v>
      </c>
    </row>
    <row r="210" spans="1:4" x14ac:dyDescent="0.25">
      <c r="A210" s="125" t="s">
        <v>185</v>
      </c>
      <c r="B210" s="19">
        <v>56520</v>
      </c>
      <c r="C210" s="8">
        <v>0.36458333333333337</v>
      </c>
      <c r="D210" s="19">
        <v>5206.7831977781152</v>
      </c>
    </row>
    <row r="211" spans="1:4" x14ac:dyDescent="0.25">
      <c r="A211" s="125" t="s">
        <v>412</v>
      </c>
      <c r="B211" s="19">
        <v>42812</v>
      </c>
      <c r="C211" s="8">
        <v>0.375</v>
      </c>
      <c r="D211" s="19">
        <v>3776.2158125858778</v>
      </c>
    </row>
    <row r="212" spans="1:4" x14ac:dyDescent="0.25">
      <c r="A212" s="7" t="s">
        <v>95</v>
      </c>
      <c r="B212" s="19">
        <v>96051</v>
      </c>
      <c r="C212" s="8">
        <v>3.479166666666667</v>
      </c>
      <c r="D212" s="19">
        <v>14577.413060792567</v>
      </c>
    </row>
    <row r="213" spans="1:4" x14ac:dyDescent="0.25">
      <c r="A213" s="17" t="s">
        <v>149</v>
      </c>
      <c r="B213" s="19">
        <v>96051</v>
      </c>
      <c r="C213" s="8">
        <v>3.479166666666667</v>
      </c>
      <c r="D213" s="19">
        <v>14577.413060792567</v>
      </c>
    </row>
    <row r="214" spans="1:4" x14ac:dyDescent="0.25">
      <c r="A214" s="125" t="s">
        <v>1224</v>
      </c>
      <c r="B214" s="19">
        <v>94776</v>
      </c>
      <c r="C214" s="8">
        <v>3.041666666666667</v>
      </c>
      <c r="D214" s="19">
        <v>14007.999615656017</v>
      </c>
    </row>
    <row r="215" spans="1:4" x14ac:dyDescent="0.25">
      <c r="A215" s="125" t="s">
        <v>1223</v>
      </c>
      <c r="B215" s="19">
        <v>1275</v>
      </c>
      <c r="C215" s="8">
        <v>0.4375</v>
      </c>
      <c r="D215" s="19">
        <v>569.41344513654963</v>
      </c>
    </row>
    <row r="216" spans="1:4" x14ac:dyDescent="0.25">
      <c r="A216" s="7" t="s">
        <v>133</v>
      </c>
      <c r="B216" s="19">
        <v>4948</v>
      </c>
      <c r="C216" s="8">
        <v>1.9270833333333333</v>
      </c>
      <c r="D216" s="19">
        <v>753.38123714427297</v>
      </c>
    </row>
    <row r="217" spans="1:4" x14ac:dyDescent="0.25">
      <c r="A217" s="17" t="s">
        <v>142</v>
      </c>
      <c r="B217" s="19">
        <v>4948</v>
      </c>
      <c r="C217" s="8">
        <v>1.9270833333333333</v>
      </c>
      <c r="D217" s="19">
        <v>753.38123714427297</v>
      </c>
    </row>
    <row r="218" spans="1:4" x14ac:dyDescent="0.25">
      <c r="A218" s="125" t="s">
        <v>1062</v>
      </c>
      <c r="B218" s="19">
        <v>4948</v>
      </c>
      <c r="C218" s="8">
        <v>1.9270833333333333</v>
      </c>
      <c r="D218" s="19">
        <v>753.38123714427297</v>
      </c>
    </row>
    <row r="219" spans="1:4" x14ac:dyDescent="0.25">
      <c r="A219" s="7" t="s">
        <v>92</v>
      </c>
      <c r="B219" s="19">
        <v>426000</v>
      </c>
      <c r="C219" s="8">
        <v>1.04375</v>
      </c>
      <c r="D219" s="19">
        <v>32716.616114069751</v>
      </c>
    </row>
    <row r="220" spans="1:4" x14ac:dyDescent="0.25">
      <c r="A220" s="17" t="s">
        <v>149</v>
      </c>
      <c r="B220" s="19">
        <v>426000</v>
      </c>
      <c r="C220" s="8">
        <v>1.04375</v>
      </c>
      <c r="D220" s="19">
        <v>32716.616114069751</v>
      </c>
    </row>
    <row r="221" spans="1:4" x14ac:dyDescent="0.25">
      <c r="A221" s="125" t="s">
        <v>1178</v>
      </c>
      <c r="B221" s="19">
        <v>312000</v>
      </c>
      <c r="C221" s="8">
        <v>0.97083333333333333</v>
      </c>
      <c r="D221" s="19">
        <v>30818.243033955412</v>
      </c>
    </row>
    <row r="222" spans="1:4" x14ac:dyDescent="0.25">
      <c r="A222" s="125" t="s">
        <v>1179</v>
      </c>
      <c r="B222" s="19">
        <v>114000</v>
      </c>
      <c r="C222" s="8">
        <v>7.2916666666666671E-2</v>
      </c>
      <c r="D222" s="19">
        <v>1898.3730801143402</v>
      </c>
    </row>
    <row r="223" spans="1:4" x14ac:dyDescent="0.25">
      <c r="A223" s="7" t="s">
        <v>104</v>
      </c>
      <c r="B223" s="19">
        <v>84033</v>
      </c>
      <c r="C223" s="8">
        <v>0.12983796296296296</v>
      </c>
      <c r="D223" s="19">
        <v>2784.8471524953184</v>
      </c>
    </row>
    <row r="224" spans="1:4" x14ac:dyDescent="0.25">
      <c r="A224" s="17" t="s">
        <v>149</v>
      </c>
      <c r="B224" s="19">
        <v>84033</v>
      </c>
      <c r="C224" s="8">
        <v>0.12983796296296296</v>
      </c>
      <c r="D224" s="19">
        <v>2784.8471524953184</v>
      </c>
    </row>
    <row r="225" spans="1:4" x14ac:dyDescent="0.25">
      <c r="A225" s="125" t="s">
        <v>1397</v>
      </c>
      <c r="B225" s="19">
        <v>84033</v>
      </c>
      <c r="C225" s="8">
        <v>0.12983796296296296</v>
      </c>
      <c r="D225" s="19">
        <v>2784.8471524953184</v>
      </c>
    </row>
    <row r="226" spans="1:4" x14ac:dyDescent="0.25">
      <c r="A226" s="7" t="s">
        <v>29</v>
      </c>
      <c r="B226" s="19">
        <v>97836</v>
      </c>
      <c r="C226" s="8">
        <v>0.12961805555555556</v>
      </c>
      <c r="D226" s="19">
        <v>7335.8399757271745</v>
      </c>
    </row>
    <row r="227" spans="1:4" x14ac:dyDescent="0.25">
      <c r="A227" s="17" t="s">
        <v>142</v>
      </c>
      <c r="B227" s="19">
        <v>97836</v>
      </c>
      <c r="C227" s="8">
        <v>0.12961805555555556</v>
      </c>
      <c r="D227" s="19">
        <v>7335.8399757271745</v>
      </c>
    </row>
    <row r="228" spans="1:4" x14ac:dyDescent="0.25">
      <c r="A228" s="125" t="s">
        <v>334</v>
      </c>
      <c r="B228" s="19">
        <v>97836</v>
      </c>
      <c r="C228" s="8">
        <v>0.12961805555555556</v>
      </c>
      <c r="D228" s="19">
        <v>7335.8399757271745</v>
      </c>
    </row>
    <row r="229" spans="1:4" x14ac:dyDescent="0.25">
      <c r="A229" s="7" t="s">
        <v>1639</v>
      </c>
      <c r="B229" s="19">
        <v>232872255.60124654</v>
      </c>
      <c r="C229" s="8">
        <v>599.62836805555571</v>
      </c>
      <c r="D229" s="19">
        <v>23450452.456324589</v>
      </c>
    </row>
  </sheetData>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46"/>
  <sheetViews>
    <sheetView workbookViewId="0"/>
  </sheetViews>
  <sheetFormatPr defaultRowHeight="15" x14ac:dyDescent="0.25"/>
  <cols>
    <col min="1" max="1" width="21.85546875" customWidth="1"/>
    <col min="2" max="8" width="22.5703125" customWidth="1"/>
    <col min="16" max="16" width="21.85546875" bestFit="1" customWidth="1"/>
    <col min="17" max="17" width="15.42578125" bestFit="1" customWidth="1"/>
    <col min="18" max="18" width="23.5703125" customWidth="1"/>
    <col min="19" max="19" width="26" bestFit="1" customWidth="1"/>
    <col min="20" max="21" width="13.85546875" bestFit="1" customWidth="1"/>
  </cols>
  <sheetData>
    <row r="1" spans="1:21" x14ac:dyDescent="0.25">
      <c r="P1" s="6" t="s">
        <v>1627</v>
      </c>
      <c r="Q1" t="s">
        <v>1628</v>
      </c>
    </row>
    <row r="2" spans="1:21" x14ac:dyDescent="0.25">
      <c r="P2" s="6" t="s">
        <v>1650</v>
      </c>
      <c r="Q2" t="s">
        <v>1628</v>
      </c>
    </row>
    <row r="4" spans="1:21" x14ac:dyDescent="0.25">
      <c r="A4" t="s">
        <v>1651</v>
      </c>
      <c r="B4" t="s">
        <v>1652</v>
      </c>
      <c r="C4" t="s">
        <v>1653</v>
      </c>
      <c r="D4" t="s">
        <v>1654</v>
      </c>
      <c r="E4" t="s">
        <v>1655</v>
      </c>
      <c r="F4" t="s">
        <v>1656</v>
      </c>
      <c r="G4" t="s">
        <v>1657</v>
      </c>
      <c r="H4" t="s">
        <v>1658</v>
      </c>
      <c r="I4" t="s">
        <v>1659</v>
      </c>
      <c r="J4" s="13" t="s">
        <v>1660</v>
      </c>
      <c r="K4" s="13" t="s">
        <v>1661</v>
      </c>
      <c r="L4" t="s">
        <v>1662</v>
      </c>
      <c r="P4" s="6" t="s">
        <v>1630</v>
      </c>
      <c r="Q4" t="s">
        <v>1631</v>
      </c>
      <c r="R4" t="s">
        <v>1632</v>
      </c>
      <c r="S4" t="s">
        <v>1663</v>
      </c>
      <c r="T4" t="s">
        <v>1664</v>
      </c>
      <c r="U4" t="s">
        <v>1641</v>
      </c>
    </row>
    <row r="5" spans="1:21" x14ac:dyDescent="0.25">
      <c r="A5" t="str">
        <f>P5</f>
        <v>United States</v>
      </c>
      <c r="B5" s="1">
        <f>Q5</f>
        <v>28766560</v>
      </c>
      <c r="C5" s="10" t="str">
        <f>IFERROR(B5/SUMIF(Historic_BCast_BASE[Programme Type],'Country &amp; Continent'!$A5,Historic_BCast_BASE[Digital?])-1,"-")</f>
        <v>-</v>
      </c>
      <c r="D5" s="8">
        <f>R5</f>
        <v>23.886111111111113</v>
      </c>
      <c r="E5" s="10" t="str">
        <f>IFERROR(D5/SUMIF(Historic_BCast_BASE[Programme Type],'Country &amp; Continent'!$A5,Historic_BCast_BASE[Rolex G])-1,"-")</f>
        <v>-</v>
      </c>
      <c r="F5" s="8">
        <f>S5</f>
        <v>1.6089149293212672</v>
      </c>
      <c r="G5" s="1">
        <f>T5</f>
        <v>21216352.526348002</v>
      </c>
      <c r="H5" s="1">
        <f>U5</f>
        <v>5989351.8076915136</v>
      </c>
      <c r="I5" s="21" t="str">
        <f>IFERROR(H5/SUMIF(Historic_BCast_BASE[Programme Type],'Country &amp; Continent'!A5,Historic_BCast_BASE[Household Reach])-1,"-")</f>
        <v>-</v>
      </c>
      <c r="J5" s="21">
        <f>H5/$H$16</f>
        <v>0.35824306496367214</v>
      </c>
      <c r="K5" s="21" t="e">
        <f>J5-L5</f>
        <v>#DIV/0!</v>
      </c>
      <c r="L5" s="9" t="e">
        <f>SUMIFS(Historic_BCast_BASE[Household Reach],Historic_BCast_BASE[Broadcast Market],"N",Historic_BCast_BASE[Programme Type],'Country &amp; Continent'!$A5)/SUMIF(Historic_BCast_BASE[Broadcast Market],"N",Historic_BCast_BASE[Household Reach])</f>
        <v>#DIV/0!</v>
      </c>
      <c r="N5" s="21" t="e">
        <f>H5/#REF!</f>
        <v>#REF!</v>
      </c>
      <c r="P5" s="7" t="s">
        <v>122</v>
      </c>
      <c r="Q5">
        <v>28766560</v>
      </c>
      <c r="R5">
        <v>23.886111111111113</v>
      </c>
      <c r="S5">
        <v>1.6089149293212672</v>
      </c>
      <c r="T5">
        <v>21216352.526348002</v>
      </c>
      <c r="U5">
        <v>5989351.8076915136</v>
      </c>
    </row>
    <row r="6" spans="1:21" x14ac:dyDescent="0.25">
      <c r="A6" t="str">
        <f t="shared" ref="A6:A14" si="0">P6</f>
        <v>Canada</v>
      </c>
      <c r="B6" s="1">
        <f t="shared" ref="B6:B14" si="1">Q6</f>
        <v>11949231</v>
      </c>
      <c r="C6" s="10" t="str">
        <f>IFERROR(B6/SUMIF(Historic_BCast_BASE[Programme Type],'Country &amp; Continent'!$A6,Historic_BCast_BASE[Digital?])-1,"-")</f>
        <v>-</v>
      </c>
      <c r="D6" s="8">
        <f t="shared" ref="D6:D14" si="2">R6</f>
        <v>16.898611111111112</v>
      </c>
      <c r="E6" s="10" t="str">
        <f>IFERROR(D6/SUMIF(Historic_BCast_BASE[Programme Type],'Country &amp; Continent'!$A6,Historic_BCast_BASE[Rolex G])-1,"-")</f>
        <v>-</v>
      </c>
      <c r="F6" s="8">
        <f t="shared" ref="F6:F14" si="3">S6</f>
        <v>1.1655327307335779</v>
      </c>
      <c r="G6" s="1">
        <f t="shared" ref="G6:G14" si="4">T6</f>
        <v>6444643.4374336479</v>
      </c>
      <c r="H6" s="1">
        <f t="shared" ref="H6:H14" si="5">U6</f>
        <v>1853523.1853359491</v>
      </c>
      <c r="I6" s="9" t="str">
        <f>IFERROR(H6/SUMIF(Historic_BCast_BASE[Programme Type],'Country &amp; Continent'!A6,Historic_BCast_BASE[Household Reach])-1,"-")</f>
        <v>-</v>
      </c>
      <c r="J6" s="21">
        <f t="shared" ref="J6:J14" si="6">H6/$H$16</f>
        <v>0.1108653904823651</v>
      </c>
      <c r="K6" s="21" t="e">
        <f t="shared" ref="K6:K14" si="7">J6-L6</f>
        <v>#DIV/0!</v>
      </c>
      <c r="L6" s="9" t="e">
        <f>SUMIFS(Historic_BCast_BASE[Household Reach],Historic_BCast_BASE[Broadcast Market],"N",Historic_BCast_BASE[Programme Type],'Country &amp; Continent'!$A6)/SUMIF(Historic_BCast_BASE[Broadcast Market],"N",Historic_BCast_BASE[Household Reach])</f>
        <v>#DIV/0!</v>
      </c>
      <c r="N6" s="21" t="e">
        <f>H6/#REF!</f>
        <v>#REF!</v>
      </c>
      <c r="P6" s="7" t="s">
        <v>35</v>
      </c>
      <c r="Q6">
        <v>11949231</v>
      </c>
      <c r="R6">
        <v>16.898611111111112</v>
      </c>
      <c r="S6">
        <v>1.1655327307335779</v>
      </c>
      <c r="T6">
        <v>6444643.4374336479</v>
      </c>
      <c r="U6">
        <v>1853523.1853359491</v>
      </c>
    </row>
    <row r="7" spans="1:21" x14ac:dyDescent="0.25">
      <c r="A7" t="str">
        <f t="shared" si="0"/>
        <v>Germany</v>
      </c>
      <c r="B7" s="1">
        <f t="shared" si="1"/>
        <v>14502618</v>
      </c>
      <c r="C7" s="10" t="str">
        <f>IFERROR(B7/SUMIF(Historic_BCast_BASE[Programme Type],'Country &amp; Continent'!$A7,Historic_BCast_BASE[Digital?])-1,"-")</f>
        <v>-</v>
      </c>
      <c r="D7" s="8">
        <f t="shared" si="2"/>
        <v>14.097685185185185</v>
      </c>
      <c r="E7" s="10" t="str">
        <f>IFERROR(D7/SUMIF(Historic_BCast_BASE[Programme Type],'Country &amp; Continent'!$A7,Historic_BCast_BASE[Rolex G])-1,"-")</f>
        <v>-</v>
      </c>
      <c r="F7" s="8">
        <f t="shared" si="3"/>
        <v>1.1126088694441401</v>
      </c>
      <c r="G7" s="1">
        <f t="shared" si="4"/>
        <v>3454593.2122721579</v>
      </c>
      <c r="H7" s="1">
        <f t="shared" si="5"/>
        <v>994020.71465399477</v>
      </c>
      <c r="I7" s="9" t="str">
        <f>IFERROR(H7/SUMIF(Historic_BCast_BASE[Programme Type],'Country &amp; Continent'!A7,Historic_BCast_BASE[Household Reach])-1,"-")</f>
        <v>-</v>
      </c>
      <c r="J7" s="21">
        <f t="shared" si="6"/>
        <v>5.9455687174315368E-2</v>
      </c>
      <c r="K7" s="21" t="e">
        <f t="shared" si="7"/>
        <v>#DIV/0!</v>
      </c>
      <c r="L7" s="9" t="e">
        <f>SUMIFS(Historic_BCast_BASE[Household Reach],Historic_BCast_BASE[Broadcast Market],"N",Historic_BCast_BASE[Programme Type],'Country &amp; Continent'!$A7)/SUMIF(Historic_BCast_BASE[Broadcast Market],"N",Historic_BCast_BASE[Household Reach])</f>
        <v>#DIV/0!</v>
      </c>
      <c r="N7" s="9"/>
      <c r="P7" s="7" t="s">
        <v>56</v>
      </c>
      <c r="Q7">
        <v>14502618</v>
      </c>
      <c r="R7">
        <v>14.097685185185185</v>
      </c>
      <c r="S7">
        <v>1.1126088694441401</v>
      </c>
      <c r="T7">
        <v>3454593.2122721579</v>
      </c>
      <c r="U7">
        <v>994020.71465399477</v>
      </c>
    </row>
    <row r="8" spans="1:21" x14ac:dyDescent="0.25">
      <c r="A8" t="str">
        <f t="shared" si="0"/>
        <v>Brazil</v>
      </c>
      <c r="B8" s="1">
        <f t="shared" si="1"/>
        <v>8758918</v>
      </c>
      <c r="C8" s="10" t="str">
        <f>IFERROR(B8/SUMIF(Historic_BCast_BASE[Programme Type],'Country &amp; Continent'!$A8,Historic_BCast_BASE[Digital?])-1,"-")</f>
        <v>-</v>
      </c>
      <c r="D8" s="8">
        <f t="shared" si="2"/>
        <v>16.545138888888889</v>
      </c>
      <c r="E8" s="10" t="str">
        <f>IFERROR(D8/SUMIF(Historic_BCast_BASE[Programme Type],'Country &amp; Continent'!$A8,Historic_BCast_BASE[Rolex G])-1,"-")</f>
        <v>-</v>
      </c>
      <c r="F8" s="8">
        <f t="shared" si="3"/>
        <v>1.056903391846532</v>
      </c>
      <c r="G8" s="1">
        <f t="shared" si="4"/>
        <v>2071534.0922819907</v>
      </c>
      <c r="H8" s="1">
        <f t="shared" si="5"/>
        <v>584144.23929966916</v>
      </c>
      <c r="I8" s="9" t="str">
        <f>IFERROR(H8/SUMIF(Historic_BCast_BASE[Programme Type],'Country &amp; Continent'!A8,Historic_BCast_BASE[Household Reach])-1,"-")</f>
        <v>-</v>
      </c>
      <c r="J8" s="21">
        <f t="shared" si="6"/>
        <v>3.4939611060891052E-2</v>
      </c>
      <c r="K8" s="21" t="e">
        <f t="shared" si="7"/>
        <v>#DIV/0!</v>
      </c>
      <c r="L8" s="9" t="e">
        <f>SUMIFS(Historic_BCast_BASE[Household Reach],Historic_BCast_BASE[Broadcast Market],"N",Historic_BCast_BASE[Programme Type],'Country &amp; Continent'!$A8)/SUMIF(Historic_BCast_BASE[Broadcast Market],"N",Historic_BCast_BASE[Household Reach])</f>
        <v>#DIV/0!</v>
      </c>
      <c r="P8" s="7" t="s">
        <v>31</v>
      </c>
      <c r="Q8">
        <v>8758918</v>
      </c>
      <c r="R8">
        <v>16.545138888888889</v>
      </c>
      <c r="S8">
        <v>1.056903391846532</v>
      </c>
      <c r="T8">
        <v>2071534.0922819907</v>
      </c>
      <c r="U8">
        <v>584144.23929966916</v>
      </c>
    </row>
    <row r="9" spans="1:21" x14ac:dyDescent="0.25">
      <c r="A9" t="str">
        <f t="shared" si="0"/>
        <v>United Kingdom</v>
      </c>
      <c r="B9" s="1">
        <f t="shared" si="1"/>
        <v>6013000</v>
      </c>
      <c r="C9" s="10" t="str">
        <f>IFERROR(B9/SUMIF(Historic_BCast_BASE[Programme Type],'Country &amp; Continent'!$A9,Historic_BCast_BASE[Digital?])-1,"-")</f>
        <v>-</v>
      </c>
      <c r="D9" s="8">
        <f t="shared" si="2"/>
        <v>0.15528935185185186</v>
      </c>
      <c r="E9" s="10" t="str">
        <f>IFERROR(D9/SUMIF(Historic_BCast_BASE[Programme Type],'Country &amp; Continent'!$A9,Historic_BCast_BASE[Rolex G])-1,"-")</f>
        <v>-</v>
      </c>
      <c r="F9" s="8">
        <f t="shared" si="3"/>
        <v>9.5122322099173012E-3</v>
      </c>
      <c r="G9" s="1">
        <f t="shared" si="4"/>
        <v>1555831.8766729331</v>
      </c>
      <c r="H9" s="1">
        <f t="shared" si="5"/>
        <v>431952.20764704118</v>
      </c>
      <c r="I9" s="9" t="str">
        <f>IFERROR(H9/SUMIF(Historic_BCast_BASE[Programme Type],'Country &amp; Continent'!A9,Historic_BCast_BASE[Household Reach])-1,"-")</f>
        <v>-</v>
      </c>
      <c r="J9" s="21">
        <f t="shared" si="6"/>
        <v>2.5836499132774068E-2</v>
      </c>
      <c r="K9" s="21" t="e">
        <f t="shared" si="7"/>
        <v>#DIV/0!</v>
      </c>
      <c r="L9" s="9" t="e">
        <f>SUMIFS(Historic_BCast_BASE[Household Reach],Historic_BCast_BASE[Broadcast Market],"N",Historic_BCast_BASE[Programme Type],'Country &amp; Continent'!$A9)/SUMIF(Historic_BCast_BASE[Broadcast Market],"N",Historic_BCast_BASE[Household Reach])</f>
        <v>#DIV/0!</v>
      </c>
      <c r="P9" s="7" t="s">
        <v>121</v>
      </c>
      <c r="Q9">
        <v>6013000</v>
      </c>
      <c r="R9">
        <v>0.15528935185185186</v>
      </c>
      <c r="S9">
        <v>9.5122322099173012E-3</v>
      </c>
      <c r="T9">
        <v>1555831.8766729331</v>
      </c>
      <c r="U9">
        <v>431952.20764704118</v>
      </c>
    </row>
    <row r="10" spans="1:21" x14ac:dyDescent="0.25">
      <c r="A10" t="str">
        <f t="shared" si="0"/>
        <v>China</v>
      </c>
      <c r="B10" s="1">
        <f t="shared" si="1"/>
        <v>9833675</v>
      </c>
      <c r="C10" s="10" t="str">
        <f>IFERROR(B10/SUMIF(Historic_BCast_BASE[Programme Type],'Country &amp; Continent'!$A10,Historic_BCast_BASE[Digital?])-1,"-")</f>
        <v>-</v>
      </c>
      <c r="D10" s="8">
        <f t="shared" si="2"/>
        <v>13.815659722222222</v>
      </c>
      <c r="E10" s="10" t="str">
        <f>IFERROR(D10/SUMIF(Historic_BCast_BASE[Programme Type],'Country &amp; Continent'!$A10,Historic_BCast_BASE[Rolex G])-1,"-")</f>
        <v>-</v>
      </c>
      <c r="F10" s="8">
        <f t="shared" si="3"/>
        <v>0.86114746745311888</v>
      </c>
      <c r="G10" s="1">
        <f t="shared" si="4"/>
        <v>1223538.5101449927</v>
      </c>
      <c r="H10" s="1">
        <f t="shared" si="5"/>
        <v>344694.4530953184</v>
      </c>
      <c r="I10" s="9" t="str">
        <f>IFERROR(H10/SUMIF(Historic_BCast_BASE[Programme Type],'Country &amp; Continent'!A10,Historic_BCast_BASE[Household Reach])-1,"-")</f>
        <v>-</v>
      </c>
      <c r="J10" s="21">
        <f t="shared" si="6"/>
        <v>2.0617322427823524E-2</v>
      </c>
      <c r="K10" s="21" t="e">
        <f t="shared" si="7"/>
        <v>#DIV/0!</v>
      </c>
      <c r="L10" s="9" t="e">
        <f>SUMIFS(Historic_BCast_BASE[Household Reach],Historic_BCast_BASE[Broadcast Market],"N",Historic_BCast_BASE[Programme Type],'Country &amp; Continent'!$A10)/SUMIF(Historic_BCast_BASE[Broadcast Market],"N",Historic_BCast_BASE[Household Reach])</f>
        <v>#DIV/0!</v>
      </c>
      <c r="P10" s="7" t="s">
        <v>38</v>
      </c>
      <c r="Q10">
        <v>9833675</v>
      </c>
      <c r="R10">
        <v>13.815659722222222</v>
      </c>
      <c r="S10">
        <v>0.86114746745311888</v>
      </c>
      <c r="T10">
        <v>1223538.5101449927</v>
      </c>
      <c r="U10">
        <v>344694.4530953184</v>
      </c>
    </row>
    <row r="11" spans="1:21" x14ac:dyDescent="0.25">
      <c r="A11" t="str">
        <f t="shared" si="0"/>
        <v>Pakistan</v>
      </c>
      <c r="B11" s="1">
        <f t="shared" si="1"/>
        <v>3266376.4450867046</v>
      </c>
      <c r="C11" s="10" t="str">
        <f>IFERROR(B11/SUMIF(Historic_BCast_BASE[Programme Type],'Country &amp; Continent'!$A11,Historic_BCast_BASE[Digital?])-1,"-")</f>
        <v>-</v>
      </c>
      <c r="D11" s="8">
        <f t="shared" si="2"/>
        <v>8.8527777777777779</v>
      </c>
      <c r="E11" s="10" t="str">
        <f>IFERROR(D11/SUMIF(Historic_BCast_BASE[Programme Type],'Country &amp; Continent'!$A11,Historic_BCast_BASE[Rolex G])-1,"-")</f>
        <v>-</v>
      </c>
      <c r="F11" s="8">
        <f t="shared" si="3"/>
        <v>0.5422759314840534</v>
      </c>
      <c r="G11" s="1">
        <f t="shared" si="4"/>
        <v>1230007.0079478186</v>
      </c>
      <c r="H11" s="1">
        <f t="shared" si="5"/>
        <v>341492.06637966505</v>
      </c>
      <c r="I11" s="9" t="str">
        <f>IFERROR(H11/SUMIF(Historic_BCast_BASE[Programme Type],'Country &amp; Continent'!A11,Historic_BCast_BASE[Household Reach])-1,"-")</f>
        <v>-</v>
      </c>
      <c r="J11" s="21">
        <f t="shared" si="6"/>
        <v>2.0425777020398744E-2</v>
      </c>
      <c r="K11" s="21" t="e">
        <f t="shared" si="7"/>
        <v>#DIV/0!</v>
      </c>
      <c r="L11" s="9" t="e">
        <f>SUMIFS(Historic_BCast_BASE[Household Reach],Historic_BCast_BASE[Broadcast Market],"N",Historic_BCast_BASE[Programme Type],'Country &amp; Continent'!$A11)/SUMIF(Historic_BCast_BASE[Broadcast Market],"N",Historic_BCast_BASE[Household Reach])</f>
        <v>#DIV/0!</v>
      </c>
      <c r="P11" s="7" t="s">
        <v>92</v>
      </c>
      <c r="Q11">
        <v>3266376.4450867046</v>
      </c>
      <c r="R11">
        <v>8.8527777777777779</v>
      </c>
      <c r="S11">
        <v>0.5422759314840534</v>
      </c>
      <c r="T11">
        <v>1230007.0079478186</v>
      </c>
      <c r="U11">
        <v>341492.06637966505</v>
      </c>
    </row>
    <row r="12" spans="1:21" x14ac:dyDescent="0.25">
      <c r="A12" t="str">
        <f t="shared" si="0"/>
        <v>Romania</v>
      </c>
      <c r="B12" s="1">
        <f t="shared" si="1"/>
        <v>3596935</v>
      </c>
      <c r="C12" s="10" t="str">
        <f>IFERROR(B12/SUMIF(Historic_BCast_BASE[Programme Type],'Country &amp; Continent'!$A12,Historic_BCast_BASE[Digital?])-1,"-")</f>
        <v>-</v>
      </c>
      <c r="D12" s="8">
        <f t="shared" si="2"/>
        <v>15.061921296296298</v>
      </c>
      <c r="E12" s="10" t="str">
        <f>IFERROR(D12/SUMIF(Historic_BCast_BASE[Programme Type],'Country &amp; Continent'!$A12,Historic_BCast_BASE[Rolex G])-1,"-")</f>
        <v>-</v>
      </c>
      <c r="F12" s="8">
        <f t="shared" si="3"/>
        <v>1.2013249666069783</v>
      </c>
      <c r="G12" s="1">
        <f t="shared" si="4"/>
        <v>1118321.2418724925</v>
      </c>
      <c r="H12" s="1">
        <f t="shared" si="5"/>
        <v>322084.18351205025</v>
      </c>
      <c r="I12" s="9" t="str">
        <f>IFERROR(H12/SUMIF(Historic_BCast_BASE[Programme Type],'Country &amp; Continent'!A12,Historic_BCast_BASE[Household Reach])-1,"-")</f>
        <v>-</v>
      </c>
      <c r="J12" s="21">
        <f t="shared" si="6"/>
        <v>1.926492695411585E-2</v>
      </c>
      <c r="K12" s="21" t="e">
        <f t="shared" si="7"/>
        <v>#DIV/0!</v>
      </c>
      <c r="L12" s="9" t="e">
        <f>SUMIFS(Historic_BCast_BASE[Household Reach],Historic_BCast_BASE[Broadcast Market],"N",Historic_BCast_BASE[Programme Type],'Country &amp; Continent'!$A12)/SUMIF(Historic_BCast_BASE[Broadcast Market],"N",Historic_BCast_BASE[Household Reach])</f>
        <v>#DIV/0!</v>
      </c>
      <c r="P12" s="7" t="s">
        <v>103</v>
      </c>
      <c r="Q12">
        <v>3596935</v>
      </c>
      <c r="R12">
        <v>15.061921296296298</v>
      </c>
      <c r="S12">
        <v>1.2013249666069783</v>
      </c>
      <c r="T12">
        <v>1118321.2418724925</v>
      </c>
      <c r="U12">
        <v>322084.18351205025</v>
      </c>
    </row>
    <row r="13" spans="1:21" x14ac:dyDescent="0.25">
      <c r="A13" t="str">
        <f t="shared" si="0"/>
        <v>Mexico</v>
      </c>
      <c r="B13" s="1">
        <f t="shared" si="1"/>
        <v>2121736</v>
      </c>
      <c r="C13" s="10" t="str">
        <f>IFERROR(B13/SUMIF(Historic_BCast_BASE[Programme Type],'Country &amp; Continent'!$A13,Historic_BCast_BASE[Digital?])-1,"-")</f>
        <v>-</v>
      </c>
      <c r="D13" s="8">
        <f t="shared" si="2"/>
        <v>11.607638888888886</v>
      </c>
      <c r="E13" s="10" t="str">
        <f>IFERROR(D13/SUMIF(Historic_BCast_BASE[Programme Type],'Country &amp; Continent'!$A13,Historic_BCast_BASE[Rolex G])-1,"-")</f>
        <v>-</v>
      </c>
      <c r="F13" s="8">
        <f t="shared" si="3"/>
        <v>0.73840213932702181</v>
      </c>
      <c r="G13" s="1">
        <f t="shared" si="4"/>
        <v>1141031.926843991</v>
      </c>
      <c r="H13" s="1">
        <f t="shared" si="5"/>
        <v>320589.23551697441</v>
      </c>
      <c r="I13" s="9" t="str">
        <f>IFERROR(H13/SUMIF(Historic_BCast_BASE[Programme Type],'Country &amp; Continent'!A13,Historic_BCast_BASE[Household Reach])-1,"-")</f>
        <v>-</v>
      </c>
      <c r="J13" s="21">
        <f t="shared" si="6"/>
        <v>1.9175509139148041E-2</v>
      </c>
      <c r="K13" s="21" t="e">
        <f t="shared" si="7"/>
        <v>#DIV/0!</v>
      </c>
      <c r="L13" s="9" t="e">
        <f>SUMIFS(Historic_BCast_BASE[Household Reach],Historic_BCast_BASE[Broadcast Market],"N",Historic_BCast_BASE[Programme Type],'Country &amp; Continent'!$A13)/SUMIF(Historic_BCast_BASE[Broadcast Market],"N",Historic_BCast_BASE[Household Reach])</f>
        <v>#DIV/0!</v>
      </c>
      <c r="P13" s="7" t="s">
        <v>83</v>
      </c>
      <c r="Q13">
        <v>2121736</v>
      </c>
      <c r="R13">
        <v>11.607638888888886</v>
      </c>
      <c r="S13">
        <v>0.73840213932702181</v>
      </c>
      <c r="T13">
        <v>1141031.926843991</v>
      </c>
      <c r="U13">
        <v>320589.23551697441</v>
      </c>
    </row>
    <row r="14" spans="1:21" x14ac:dyDescent="0.25">
      <c r="A14" t="str">
        <f t="shared" si="0"/>
        <v>Switzerland</v>
      </c>
      <c r="B14" s="1">
        <f t="shared" si="1"/>
        <v>2503486</v>
      </c>
      <c r="C14" s="10" t="str">
        <f>IFERROR(B14/SUMIF(Historic_BCast_BASE[Programme Type],'Country &amp; Continent'!$A14,Historic_BCast_BASE[Digital?])-1,"-")</f>
        <v>-</v>
      </c>
      <c r="D14" s="8">
        <f t="shared" si="2"/>
        <v>18.877430555555556</v>
      </c>
      <c r="E14" s="10" t="str">
        <f>IFERROR(D14/SUMIF(Historic_BCast_BASE[Programme Type],'Country &amp; Continent'!$A14,Historic_BCast_BASE[Rolex G])-1,"-")</f>
        <v>-</v>
      </c>
      <c r="F14" s="8">
        <f t="shared" si="3"/>
        <v>1.4555872117185937</v>
      </c>
      <c r="G14" s="1">
        <f t="shared" si="4"/>
        <v>1019516.7432225689</v>
      </c>
      <c r="H14" s="1">
        <f t="shared" si="5"/>
        <v>299178.72907265852</v>
      </c>
      <c r="I14" s="9" t="str">
        <f>IFERROR(H14/SUMIF(Historic_BCast_BASE[Programme Type],'Country &amp; Continent'!A14,Historic_BCast_BASE[Household Reach])-1,"-")</f>
        <v>-</v>
      </c>
      <c r="J14" s="21">
        <f t="shared" si="6"/>
        <v>1.7894875491749642E-2</v>
      </c>
      <c r="K14" s="21" t="e">
        <f t="shared" si="7"/>
        <v>#DIV/0!</v>
      </c>
      <c r="L14" s="9" t="e">
        <f>SUMIFS(Historic_BCast_BASE[Household Reach],Historic_BCast_BASE[Broadcast Market],"N",Historic_BCast_BASE[Programme Type],'Country &amp; Continent'!$A14)/SUMIF(Historic_BCast_BASE[Broadcast Market],"N",Historic_BCast_BASE[Household Reach])</f>
        <v>#DIV/0!</v>
      </c>
      <c r="P14" s="7" t="s">
        <v>113</v>
      </c>
      <c r="Q14">
        <v>2503486</v>
      </c>
      <c r="R14">
        <v>18.877430555555556</v>
      </c>
      <c r="S14">
        <v>1.4555872117185937</v>
      </c>
      <c r="T14">
        <v>1019516.7432225689</v>
      </c>
      <c r="U14">
        <v>299178.72907265852</v>
      </c>
    </row>
    <row r="15" spans="1:21" x14ac:dyDescent="0.25">
      <c r="A15" t="s">
        <v>1665</v>
      </c>
      <c r="B15" s="1">
        <f>SUMIF(Broadcast_BASE[Digital?],"N",Broadcast_BASE[Audience])-SUM(B5:B14)</f>
        <v>82166569.12793763</v>
      </c>
      <c r="D15" s="8">
        <f>SUMIF(Broadcast_BASE[Digital?],"N",Broadcast_BASE[Broadcast Duration])-SUM(D5:D14)</f>
        <v>566.83427083333368</v>
      </c>
      <c r="F15" s="8">
        <f>(SUMIF(Broadcast_BASE[Digital?],"N",Broadcast_BASE[Rolex S])/86400)-SUM(F5:F14)</f>
        <v>38.367467337049355</v>
      </c>
      <c r="G15" s="1">
        <f>SUMIF(Broadcast_BASE[Digital?],"N",Broadcast_BASE[Rolex G])-SUM(G5:G14)</f>
        <v>18351568.912224077</v>
      </c>
      <c r="H15" s="1">
        <f>SUMIF(Broadcast_BASE[Digital?],"N",Broadcast_BASE[Rolex N])-SUM(H5:H14)</f>
        <v>5237650.9708366226</v>
      </c>
      <c r="J15" s="21"/>
      <c r="K15" s="21"/>
      <c r="L15" s="9" t="e">
        <f>SUMIFS(Historic_BCast_BASE[Household Reach],Historic_BCast_BASE[Broadcast Market],"N",Historic_BCast_BASE[Programme Type],'Country &amp; Continent'!$A15)/SUMIF(Historic_BCast_BASE[Broadcast Market],"N",Historic_BCast_BASE[Household Reach])</f>
        <v>#DIV/0!</v>
      </c>
    </row>
    <row r="16" spans="1:21" x14ac:dyDescent="0.25">
      <c r="A16" s="13" t="s">
        <v>1666</v>
      </c>
      <c r="B16" s="15">
        <f>SUM(B5:B15)</f>
        <v>173479104.57302433</v>
      </c>
      <c r="C16" s="12" t="e">
        <f>B16/SUMIF(Historic_BCast_BASE[Broadcast Market],"N",Historic_BCast_BASE[Digital?])-1</f>
        <v>#DIV/0!</v>
      </c>
      <c r="D16" s="14">
        <f>SUM(D5:D15)</f>
        <v>706.63253472222254</v>
      </c>
      <c r="E16" s="12" t="e">
        <f>D16/SUMIF(Historic_BCast_BASE[Broadcast Market],"N",Historic_BCast_BASE[Rolex G])-1</f>
        <v>#DIV/0!</v>
      </c>
      <c r="F16" s="14">
        <f>SUM(F5:F15)</f>
        <v>48.119677207194556</v>
      </c>
      <c r="G16" s="15">
        <f>SUM(G5:G15)</f>
        <v>58826939.48726467</v>
      </c>
      <c r="H16" s="15">
        <f>SUM(H5:H15)</f>
        <v>16718681.793041456</v>
      </c>
      <c r="I16" s="21" t="e">
        <f>H16/H18-1</f>
        <v>#DIV/0!</v>
      </c>
    </row>
    <row r="18" spans="1:21" x14ac:dyDescent="0.25">
      <c r="B18" s="21">
        <f>B5/B16</f>
        <v>0.16582146922421426</v>
      </c>
      <c r="H18" s="1">
        <f>SUMIF(Historic_BCast_BASE[Broadcast Market],"N",Historic_BCast_BASE[Household Reach])</f>
        <v>0</v>
      </c>
    </row>
    <row r="20" spans="1:21" x14ac:dyDescent="0.25">
      <c r="P20" s="6" t="s">
        <v>1627</v>
      </c>
      <c r="Q20" t="s">
        <v>1628</v>
      </c>
    </row>
    <row r="22" spans="1:21" x14ac:dyDescent="0.25">
      <c r="A22" t="s">
        <v>3</v>
      </c>
      <c r="B22" t="s">
        <v>1652</v>
      </c>
      <c r="C22" t="s">
        <v>1653</v>
      </c>
      <c r="D22" t="s">
        <v>1654</v>
      </c>
      <c r="E22" t="s">
        <v>1655</v>
      </c>
      <c r="F22" t="s">
        <v>1656</v>
      </c>
      <c r="G22" t="s">
        <v>1657</v>
      </c>
      <c r="H22" t="s">
        <v>1658</v>
      </c>
      <c r="I22" t="s">
        <v>1667</v>
      </c>
      <c r="J22" s="9" t="s">
        <v>1659</v>
      </c>
      <c r="K22" t="s">
        <v>1660</v>
      </c>
      <c r="L22" t="s">
        <v>1661</v>
      </c>
      <c r="M22" t="s">
        <v>1662</v>
      </c>
      <c r="P22" s="6" t="s">
        <v>1630</v>
      </c>
      <c r="Q22" t="s">
        <v>1631</v>
      </c>
      <c r="R22" t="s">
        <v>1632</v>
      </c>
      <c r="S22" t="s">
        <v>1663</v>
      </c>
      <c r="T22" t="s">
        <v>1664</v>
      </c>
      <c r="U22" t="s">
        <v>1641</v>
      </c>
    </row>
    <row r="23" spans="1:21" x14ac:dyDescent="0.25">
      <c r="A23" t="str">
        <f t="shared" ref="A23:B27" si="8">P23</f>
        <v>North America</v>
      </c>
      <c r="B23" s="1">
        <f t="shared" si="8"/>
        <v>40715791</v>
      </c>
      <c r="C23" s="10" t="str">
        <f>IFERROR(B23/SUMIF(Historic_BCast_BASE[Broadcaster],'Country &amp; Continent'!$A23,Historic_BCast_BASE[Digital?])-1,"-")</f>
        <v>-</v>
      </c>
      <c r="D23" s="8">
        <f>R23</f>
        <v>40.784722222222221</v>
      </c>
      <c r="E23" s="10" t="str">
        <f>IFERROR(D23/SUMIF(Historic_BCast_BASE[Broadcaster],'Country &amp; Continent'!$A23,Historic_BCast_BASE[Rolex G])-1,"-")</f>
        <v>-</v>
      </c>
      <c r="F23" s="8">
        <f t="shared" ref="F23:H27" si="9">S23</f>
        <v>2.7744476600548449</v>
      </c>
      <c r="G23" s="1">
        <f t="shared" si="9"/>
        <v>27660995.963781647</v>
      </c>
      <c r="H23" s="1">
        <f t="shared" si="9"/>
        <v>7842874.9930274626</v>
      </c>
      <c r="I23" s="9">
        <f>H23/$H$28</f>
        <v>0.46910845544603758</v>
      </c>
      <c r="J23" s="9" t="str">
        <f>IFERROR(H23/SUMIF(Historic_BCast_BASE[Broadcaster],'Country &amp; Continent'!A23,Historic_BCast_BASE[Household Reach])-1,"-")</f>
        <v>-</v>
      </c>
      <c r="K23" s="9">
        <f>H23/$H$28</f>
        <v>0.46910845544603758</v>
      </c>
      <c r="L23" s="9" t="e">
        <f>K23-M23</f>
        <v>#DIV/0!</v>
      </c>
      <c r="M23" s="21" t="e">
        <f>SUMIFS(Historic_BCast_BASE[Household Reach], Historic_BCast_BASE[Broadcast Market],"N",Historic_BCast_BASE[Broadcaster],'Country &amp; Continent'!$A23)/SUMIF(Historic_BCast_BASE[Broadcast Market],"N",Historic_BCast_BASE[Household Reach])</f>
        <v>#DIV/0!</v>
      </c>
      <c r="P23" s="7" t="s">
        <v>36</v>
      </c>
      <c r="Q23">
        <v>40715791</v>
      </c>
      <c r="R23">
        <v>40.784722222222221</v>
      </c>
      <c r="S23">
        <v>2.7744476600548449</v>
      </c>
      <c r="T23">
        <v>27660995.963781647</v>
      </c>
      <c r="U23">
        <v>7842874.9930274626</v>
      </c>
    </row>
    <row r="24" spans="1:21" x14ac:dyDescent="0.25">
      <c r="A24" t="str">
        <f t="shared" si="8"/>
        <v>Europe</v>
      </c>
      <c r="B24" s="1">
        <f t="shared" si="8"/>
        <v>79792351</v>
      </c>
      <c r="C24" s="10" t="str">
        <f>IFERROR(B24/SUMIF(Historic_BCast_BASE[Broadcaster],'Country &amp; Continent'!$A24,Historic_BCast_BASE[Digital?])-1,"-")</f>
        <v>-</v>
      </c>
      <c r="D24" s="8">
        <f>R24</f>
        <v>222.05400462962979</v>
      </c>
      <c r="E24" s="10" t="str">
        <f>IFERROR(D24/SUMIF(Historic_BCast_BASE[Broadcaster],'Country &amp; Continent'!$A24,Historic_BCast_BASE[Rolex G])-1,"-")</f>
        <v>-</v>
      </c>
      <c r="F24" s="8">
        <f t="shared" si="9"/>
        <v>17.048529470313987</v>
      </c>
      <c r="G24" s="1">
        <f t="shared" si="9"/>
        <v>19062972.595587377</v>
      </c>
      <c r="H24" s="1">
        <f t="shared" si="9"/>
        <v>5474032.4234707179</v>
      </c>
      <c r="I24" s="9">
        <f>H24/$H$28</f>
        <v>0.32742009754316209</v>
      </c>
      <c r="J24" s="9" t="str">
        <f>IFERROR(H24/SUMIF(Historic_BCast_BASE[Broadcaster],'Country &amp; Continent'!A24,Historic_BCast_BASE[Household Reach])-1,"-")</f>
        <v>-</v>
      </c>
      <c r="K24" s="9">
        <f>H24/$H$28</f>
        <v>0.32742009754316209</v>
      </c>
      <c r="L24" s="9" t="e">
        <f>K24-M24</f>
        <v>#DIV/0!</v>
      </c>
      <c r="M24" s="21" t="e">
        <f>SUMIFS(Historic_BCast_BASE[Household Reach], Historic_BCast_BASE[Broadcast Market],"N",Historic_BCast_BASE[Broadcaster],'Country &amp; Continent'!$A24)/SUMIF(Historic_BCast_BASE[Broadcast Market],"N",Historic_BCast_BASE[Household Reach])</f>
        <v>#DIV/0!</v>
      </c>
      <c r="P24" s="7" t="s">
        <v>7</v>
      </c>
      <c r="Q24">
        <v>79792351</v>
      </c>
      <c r="R24">
        <v>222.05400462962979</v>
      </c>
      <c r="S24">
        <v>17.048529470313987</v>
      </c>
      <c r="T24">
        <v>19062972.595587377</v>
      </c>
      <c r="U24">
        <v>5474032.4234707179</v>
      </c>
    </row>
    <row r="25" spans="1:21" x14ac:dyDescent="0.25">
      <c r="A25" t="str">
        <f t="shared" si="8"/>
        <v>Asia Pacific</v>
      </c>
      <c r="B25" s="1">
        <f t="shared" si="8"/>
        <v>26897088.573024306</v>
      </c>
      <c r="C25" s="10" t="str">
        <f>IFERROR(B25/SUMIF(Historic_BCast_BASE[Broadcaster],'Country &amp; Continent'!$A25,Historic_BCast_BASE[Digital?])-1,"-")</f>
        <v>-</v>
      </c>
      <c r="D25" s="8">
        <f>R25</f>
        <v>286.05371527777783</v>
      </c>
      <c r="E25" s="10" t="str">
        <f>IFERROR(D25/SUMIF(Historic_BCast_BASE[Broadcaster],'Country &amp; Continent'!$A25,Historic_BCast_BASE[Rolex G])-1,"-")</f>
        <v>-</v>
      </c>
      <c r="F25" s="8">
        <f t="shared" si="9"/>
        <v>17.920905836937678</v>
      </c>
      <c r="G25" s="1">
        <f t="shared" si="9"/>
        <v>5993537.9961162694</v>
      </c>
      <c r="H25" s="1">
        <f t="shared" si="9"/>
        <v>1679119.3987382939</v>
      </c>
      <c r="I25" s="9">
        <f>H25/$H$28</f>
        <v>0.10043371956736251</v>
      </c>
      <c r="J25" s="9" t="str">
        <f>IFERROR(H25/SUMIF(Historic_BCast_BASE[Broadcaster],'Country &amp; Continent'!A25,Historic_BCast_BASE[Household Reach])-1,"-")</f>
        <v>-</v>
      </c>
      <c r="K25" s="9">
        <f>H25/$H$28</f>
        <v>0.10043371956736251</v>
      </c>
      <c r="L25" s="9" t="e">
        <f>K25-M25</f>
        <v>#DIV/0!</v>
      </c>
      <c r="M25" s="21" t="e">
        <f>SUMIFS(Historic_BCast_BASE[Household Reach], Historic_BCast_BASE[Broadcast Market],"N",Historic_BCast_BASE[Broadcaster],'Country &amp; Continent'!$A25)/SUMIF(Historic_BCast_BASE[Broadcast Market],"N",Historic_BCast_BASE[Household Reach])</f>
        <v>#DIV/0!</v>
      </c>
      <c r="P25" s="7" t="s">
        <v>18</v>
      </c>
      <c r="Q25">
        <v>26897088.573024306</v>
      </c>
      <c r="R25">
        <v>286.05371527777783</v>
      </c>
      <c r="S25">
        <v>17.920905836937678</v>
      </c>
      <c r="T25">
        <v>5993537.9961162694</v>
      </c>
      <c r="U25">
        <v>1679119.3987382939</v>
      </c>
    </row>
    <row r="26" spans="1:21" x14ac:dyDescent="0.25">
      <c r="A26" t="str">
        <f t="shared" si="8"/>
        <v>Central &amp; South America</v>
      </c>
      <c r="B26" s="1">
        <f t="shared" si="8"/>
        <v>16673670</v>
      </c>
      <c r="C26" s="10" t="str">
        <f>IFERROR(B26/SUMIF(Historic_BCast_BASE[Broadcaster],'Country &amp; Continent'!$A26,Historic_BCast_BASE[Digital?])-1,"-")</f>
        <v>-</v>
      </c>
      <c r="D26" s="8">
        <f>R26</f>
        <v>56.993055555555557</v>
      </c>
      <c r="E26" s="10" t="str">
        <f>IFERROR(D26/SUMIF(Historic_BCast_BASE[Broadcaster],'Country &amp; Continent'!$A26,Historic_BCast_BASE[Rolex G])-1,"-")</f>
        <v>-</v>
      </c>
      <c r="F26" s="8">
        <f t="shared" si="9"/>
        <v>3.6346183852354859</v>
      </c>
      <c r="G26" s="1">
        <f t="shared" si="9"/>
        <v>5612977.7060048059</v>
      </c>
      <c r="H26" s="1">
        <f t="shared" si="9"/>
        <v>1579257.1882727505</v>
      </c>
      <c r="I26" s="9">
        <f>H26/$H$28</f>
        <v>9.4460628404929622E-2</v>
      </c>
      <c r="J26" s="9" t="str">
        <f>IFERROR(H26/SUMIF(Historic_BCast_BASE[Broadcaster],'Country &amp; Continent'!A26,Historic_BCast_BASE[Household Reach])-1,"-")</f>
        <v>-</v>
      </c>
      <c r="K26" s="76">
        <f>H26/$H$28</f>
        <v>9.4460628404929622E-2</v>
      </c>
      <c r="L26" s="9" t="e">
        <f>K26-M26</f>
        <v>#DIV/0!</v>
      </c>
      <c r="M26" s="21" t="e">
        <f>SUMIFS(Historic_BCast_BASE[Household Reach], Historic_BCast_BASE[Broadcast Market],"N",Historic_BCast_BASE[Broadcaster],'Country &amp; Continent'!$A26)/SUMIF(Historic_BCast_BASE[Broadcast Market],"N",Historic_BCast_BASE[Household Reach])</f>
        <v>#DIV/0!</v>
      </c>
      <c r="P26" s="7" t="s">
        <v>14</v>
      </c>
      <c r="Q26">
        <v>16673670</v>
      </c>
      <c r="R26">
        <v>56.993055555555557</v>
      </c>
      <c r="S26">
        <v>3.6346183852354859</v>
      </c>
      <c r="T26">
        <v>5612977.7060048059</v>
      </c>
      <c r="U26">
        <v>1579257.1882727505</v>
      </c>
    </row>
    <row r="27" spans="1:21" x14ac:dyDescent="0.25">
      <c r="A27" t="str">
        <f t="shared" si="8"/>
        <v>Africa &amp; Middle East</v>
      </c>
      <c r="B27" s="1">
        <f t="shared" si="8"/>
        <v>9400204</v>
      </c>
      <c r="C27" s="10" t="str">
        <f>IFERROR(B27/SUMIF(Historic_BCast_BASE[Broadcaster],'Country &amp; Continent'!$A27,Historic_BCast_BASE[Digital?])-1,"-")</f>
        <v>-</v>
      </c>
      <c r="D27" s="8">
        <f>R27</f>
        <v>100.74703703703703</v>
      </c>
      <c r="E27" s="10" t="str">
        <f>IFERROR(D27/SUMIF(Historic_BCast_BASE[Broadcaster],'Country &amp; Continent'!$A27,Historic_BCast_BASE[Rolex G])-1,"-")</f>
        <v>-</v>
      </c>
      <c r="F27" s="8">
        <f t="shared" si="9"/>
        <v>6.7411758546525595</v>
      </c>
      <c r="G27" s="1">
        <f t="shared" si="9"/>
        <v>496455.22577457031</v>
      </c>
      <c r="H27" s="1">
        <f t="shared" si="9"/>
        <v>143397.78953222049</v>
      </c>
      <c r="I27" s="9">
        <f>H27/$H$28</f>
        <v>8.57709903850821E-3</v>
      </c>
      <c r="J27" s="9" t="str">
        <f>IFERROR(H27/SUMIF(Historic_BCast_BASE[Broadcaster],'Country &amp; Continent'!A27,Historic_BCast_BASE[Household Reach])-1,"-")</f>
        <v>-</v>
      </c>
      <c r="K27" s="9">
        <f>H27/$H$28</f>
        <v>8.57709903850821E-3</v>
      </c>
      <c r="L27" s="9" t="e">
        <f>K27-M27</f>
        <v>#DIV/0!</v>
      </c>
      <c r="M27" s="21" t="e">
        <f>SUMIFS(Historic_BCast_BASE[Household Reach], Historic_BCast_BASE[Broadcast Market],"N",Historic_BCast_BASE[Broadcaster],'Country &amp; Continent'!$A27)/SUMIF(Historic_BCast_BASE[Broadcast Market],"N",Historic_BCast_BASE[Household Reach])</f>
        <v>#DIV/0!</v>
      </c>
      <c r="P27" s="7" t="s">
        <v>50</v>
      </c>
      <c r="Q27">
        <v>9400204</v>
      </c>
      <c r="R27">
        <v>100.74703703703703</v>
      </c>
      <c r="S27">
        <v>6.7411758546525595</v>
      </c>
      <c r="T27">
        <v>496455.22577457031</v>
      </c>
      <c r="U27">
        <v>143397.78953222049</v>
      </c>
    </row>
    <row r="28" spans="1:21" x14ac:dyDescent="0.25">
      <c r="A28" s="13" t="s">
        <v>1666</v>
      </c>
      <c r="B28" s="15">
        <f>SUM(B23:B27)</f>
        <v>173479104.5730243</v>
      </c>
      <c r="C28" s="12" t="e">
        <f>B28/SUMIF(Historic_BCast_BASE[Broadcast Market],"N",Historic_BCast_BASE[Digital?])-1</f>
        <v>#DIV/0!</v>
      </c>
      <c r="D28" s="14">
        <f>SUM(D23:D27)</f>
        <v>706.63253472222243</v>
      </c>
      <c r="E28" s="12" t="e">
        <f>D28/SUMIF(Historic_BCast_BASE[Broadcast Market],"N",Historic_BCast_BASE[Rolex G])-1</f>
        <v>#DIV/0!</v>
      </c>
      <c r="F28" s="14">
        <f>SUM(F23:F27)</f>
        <v>48.119677207194556</v>
      </c>
      <c r="G28" s="15">
        <f>SUM(G23:G27)</f>
        <v>58826939.48726467</v>
      </c>
      <c r="H28" s="15">
        <f>SUM(H23:H27)</f>
        <v>16718681.793041445</v>
      </c>
    </row>
    <row r="29" spans="1:21" x14ac:dyDescent="0.25">
      <c r="A29" s="13"/>
      <c r="B29" s="78">
        <f>B24/B28</f>
        <v>0.45995367105674795</v>
      </c>
      <c r="C29" s="13"/>
      <c r="D29" s="78">
        <f>D23/D28</f>
        <v>5.7717017287145879E-2</v>
      </c>
      <c r="E29" s="13"/>
      <c r="F29" s="13"/>
      <c r="G29" s="13"/>
      <c r="H29" s="13"/>
    </row>
    <row r="30" spans="1:21" x14ac:dyDescent="0.25">
      <c r="A30" s="13"/>
      <c r="B30" s="13"/>
      <c r="C30" s="13"/>
      <c r="D30" s="13"/>
      <c r="E30" s="13"/>
      <c r="F30" s="13"/>
      <c r="G30" s="13"/>
      <c r="H30" s="13"/>
    </row>
    <row r="31" spans="1:21" x14ac:dyDescent="0.25">
      <c r="A31" s="24">
        <f>SUMIF(Historic_BCast_BASE[Broadcaster],$A$25,Historic_BCast_BASE[Digital?])</f>
        <v>0</v>
      </c>
      <c r="B31" s="24">
        <f>B25-A31</f>
        <v>26897088.573024306</v>
      </c>
      <c r="C31" s="13"/>
      <c r="D31" s="13"/>
      <c r="E31" s="13"/>
      <c r="F31" s="13"/>
      <c r="G31" s="13"/>
      <c r="H31" s="13"/>
    </row>
    <row r="32" spans="1:21" x14ac:dyDescent="0.25">
      <c r="A32" s="13"/>
      <c r="B32" s="109" t="e">
        <f>B25/A31-1</f>
        <v>#DIV/0!</v>
      </c>
      <c r="C32" s="13"/>
      <c r="D32" s="13"/>
      <c r="E32" s="13"/>
      <c r="F32" s="13"/>
      <c r="G32" s="13"/>
      <c r="H32" s="13"/>
    </row>
    <row r="33" spans="2:6" x14ac:dyDescent="0.25">
      <c r="F33" s="8"/>
    </row>
    <row r="35" spans="2:6" x14ac:dyDescent="0.25">
      <c r="C35" s="97"/>
    </row>
    <row r="36" spans="2:6" x14ac:dyDescent="0.25">
      <c r="C36" s="97"/>
    </row>
    <row r="37" spans="2:6" x14ac:dyDescent="0.25">
      <c r="C37" s="97"/>
    </row>
    <row r="38" spans="2:6" x14ac:dyDescent="0.25">
      <c r="C38" s="97"/>
    </row>
    <row r="39" spans="2:6" x14ac:dyDescent="0.25">
      <c r="C39" s="97"/>
    </row>
    <row r="40" spans="2:6" x14ac:dyDescent="0.25">
      <c r="C40" s="97"/>
    </row>
    <row r="41" spans="2:6" x14ac:dyDescent="0.25">
      <c r="C41" s="97"/>
    </row>
    <row r="42" spans="2:6" x14ac:dyDescent="0.25">
      <c r="C42" s="97"/>
    </row>
    <row r="43" spans="2:6" x14ac:dyDescent="0.25">
      <c r="C43" s="97"/>
    </row>
    <row r="44" spans="2:6" x14ac:dyDescent="0.25">
      <c r="C44" s="97"/>
    </row>
    <row r="46" spans="2:6" x14ac:dyDescent="0.25">
      <c r="B46" s="98"/>
    </row>
  </sheetData>
  <conditionalFormatting sqref="C5:C14">
    <cfRule type="cellIs" dxfId="23" priority="17" operator="lessThan">
      <formula>0</formula>
    </cfRule>
    <cfRule type="cellIs" dxfId="22" priority="18" operator="greaterThan">
      <formula>0</formula>
    </cfRule>
  </conditionalFormatting>
  <conditionalFormatting sqref="C16">
    <cfRule type="cellIs" dxfId="21" priority="11" operator="lessThan">
      <formula>0</formula>
    </cfRule>
    <cfRule type="cellIs" dxfId="20" priority="12" operator="greaterThan">
      <formula>0</formula>
    </cfRule>
  </conditionalFormatting>
  <conditionalFormatting sqref="C23:C28">
    <cfRule type="cellIs" dxfId="19" priority="3" operator="lessThan">
      <formula>0</formula>
    </cfRule>
    <cfRule type="cellIs" dxfId="18" priority="4" operator="greaterThan">
      <formula>0</formula>
    </cfRule>
  </conditionalFormatting>
  <conditionalFormatting sqref="E5:E14">
    <cfRule type="cellIs" dxfId="17" priority="13" operator="lessThan">
      <formula>0</formula>
    </cfRule>
    <cfRule type="cellIs" dxfId="16" priority="14" operator="greaterThan">
      <formula>0</formula>
    </cfRule>
  </conditionalFormatting>
  <conditionalFormatting sqref="E16">
    <cfRule type="cellIs" dxfId="15" priority="9" operator="lessThan">
      <formula>0</formula>
    </cfRule>
    <cfRule type="cellIs" dxfId="14" priority="10" operator="greaterThan">
      <formula>0</formula>
    </cfRule>
  </conditionalFormatting>
  <conditionalFormatting sqref="E23:E28">
    <cfRule type="cellIs" dxfId="13" priority="1" operator="lessThan">
      <formula>0</formula>
    </cfRule>
    <cfRule type="cellIs" dxfId="12" priority="2" operator="greater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7030A0"/>
  </sheetPr>
  <dimension ref="A1:Q58"/>
  <sheetViews>
    <sheetView zoomScale="70" zoomScaleNormal="70" workbookViewId="0">
      <selection activeCell="E9" sqref="E9"/>
    </sheetView>
  </sheetViews>
  <sheetFormatPr defaultRowHeight="15" x14ac:dyDescent="0.25"/>
  <cols>
    <col min="1" max="1" width="22.28515625" bestFit="1" customWidth="1"/>
    <col min="2" max="2" width="14.85546875" bestFit="1" customWidth="1"/>
    <col min="3" max="3" width="23.5703125" bestFit="1" customWidth="1"/>
    <col min="4" max="4" width="13.42578125" bestFit="1" customWidth="1"/>
    <col min="5" max="5" width="8.85546875" bestFit="1" customWidth="1"/>
    <col min="7" max="7" width="16.140625" bestFit="1" customWidth="1"/>
    <col min="8" max="8" width="14.85546875" bestFit="1" customWidth="1"/>
    <col min="9" max="9" width="23.5703125" bestFit="1" customWidth="1"/>
    <col min="10" max="10" width="13.42578125" customWidth="1"/>
    <col min="13" max="13" width="13.140625" bestFit="1" customWidth="1"/>
    <col min="14" max="14" width="14.85546875" bestFit="1" customWidth="1"/>
    <col min="15" max="15" width="23.5703125" bestFit="1" customWidth="1"/>
    <col min="16" max="16" width="13.42578125" bestFit="1" customWidth="1"/>
  </cols>
  <sheetData>
    <row r="1" spans="1:17" x14ac:dyDescent="0.25">
      <c r="A1" s="6" t="s">
        <v>1627</v>
      </c>
      <c r="B1" t="s">
        <v>1628</v>
      </c>
      <c r="C1" s="49" t="s">
        <v>1668</v>
      </c>
      <c r="G1" s="6" t="s">
        <v>1627</v>
      </c>
      <c r="H1" t="s">
        <v>1628</v>
      </c>
      <c r="M1" s="6" t="s">
        <v>1627</v>
      </c>
      <c r="N1" t="s">
        <v>1669</v>
      </c>
    </row>
    <row r="2" spans="1:17" x14ac:dyDescent="0.25">
      <c r="A2" s="6" t="s">
        <v>1670</v>
      </c>
      <c r="B2" t="s">
        <v>149</v>
      </c>
      <c r="C2" s="49" t="s">
        <v>1671</v>
      </c>
      <c r="G2" s="6" t="s">
        <v>1670</v>
      </c>
      <c r="H2" t="s">
        <v>142</v>
      </c>
      <c r="M2" s="6" t="s">
        <v>1670</v>
      </c>
      <c r="N2" t="s">
        <v>45</v>
      </c>
    </row>
    <row r="4" spans="1:17" x14ac:dyDescent="0.25">
      <c r="A4" s="6" t="s">
        <v>1630</v>
      </c>
      <c r="B4" t="s">
        <v>1631</v>
      </c>
      <c r="C4" t="s">
        <v>1632</v>
      </c>
      <c r="D4" t="s">
        <v>1641</v>
      </c>
      <c r="G4" s="6" t="s">
        <v>1630</v>
      </c>
      <c r="H4" t="s">
        <v>1631</v>
      </c>
      <c r="I4" t="s">
        <v>1632</v>
      </c>
      <c r="J4" t="s">
        <v>1641</v>
      </c>
      <c r="M4" s="6" t="s">
        <v>1630</v>
      </c>
      <c r="N4" t="s">
        <v>1631</v>
      </c>
      <c r="O4" t="s">
        <v>1632</v>
      </c>
      <c r="P4" t="s">
        <v>1641</v>
      </c>
    </row>
    <row r="5" spans="1:17" x14ac:dyDescent="0.25">
      <c r="A5" s="7" t="s">
        <v>268</v>
      </c>
      <c r="B5" s="1">
        <v>37871770</v>
      </c>
      <c r="C5" s="8">
        <v>124.7726736111111</v>
      </c>
      <c r="D5" s="1">
        <v>2506434.179769922</v>
      </c>
      <c r="G5" s="7" t="s">
        <v>56</v>
      </c>
      <c r="H5" s="1">
        <v>13513775</v>
      </c>
      <c r="I5" s="8">
        <v>7.7954050925925928</v>
      </c>
      <c r="J5" s="1">
        <v>921650.63027638593</v>
      </c>
      <c r="M5" s="7" t="s">
        <v>45</v>
      </c>
      <c r="N5" s="1">
        <v>37320672.996883258</v>
      </c>
      <c r="O5" s="8">
        <v>749.47836805555619</v>
      </c>
      <c r="P5" s="1">
        <v>3832825.1133322124</v>
      </c>
      <c r="Q5" t="e">
        <f>N5/N15</f>
        <v>#DIV/0!</v>
      </c>
    </row>
    <row r="6" spans="1:17" x14ac:dyDescent="0.25">
      <c r="A6" s="7" t="s">
        <v>269</v>
      </c>
      <c r="B6" s="1">
        <v>22833982</v>
      </c>
      <c r="C6" s="8">
        <v>98.42614583333328</v>
      </c>
      <c r="D6" s="1">
        <v>1454780.3502771854</v>
      </c>
      <c r="G6" s="7" t="s">
        <v>38</v>
      </c>
      <c r="H6" s="1">
        <v>8160376</v>
      </c>
      <c r="I6" s="8">
        <v>4.3781597222222226</v>
      </c>
      <c r="J6" s="1">
        <v>276785.8692101562</v>
      </c>
      <c r="M6" s="7" t="s">
        <v>1639</v>
      </c>
      <c r="N6" s="1">
        <v>37320672.996883258</v>
      </c>
      <c r="O6" s="8">
        <v>749.47836805555619</v>
      </c>
      <c r="P6" s="1">
        <v>3832825.1133322124</v>
      </c>
    </row>
    <row r="7" spans="1:17" x14ac:dyDescent="0.25">
      <c r="A7" s="7" t="s">
        <v>183</v>
      </c>
      <c r="B7" s="1">
        <v>22046288.133319762</v>
      </c>
      <c r="C7" s="8">
        <v>50.196851851851847</v>
      </c>
      <c r="D7" s="1">
        <v>4369092.6325344164</v>
      </c>
      <c r="G7" s="7" t="s">
        <v>121</v>
      </c>
      <c r="H7" s="1">
        <v>6013000</v>
      </c>
      <c r="I7" s="8">
        <v>0.15528935185185186</v>
      </c>
      <c r="J7" s="1">
        <v>431952.20764704118</v>
      </c>
    </row>
    <row r="8" spans="1:17" x14ac:dyDescent="0.25">
      <c r="A8" s="7" t="s">
        <v>220</v>
      </c>
      <c r="B8" s="1">
        <v>8593100</v>
      </c>
      <c r="C8" s="8">
        <v>2.8479166666666669</v>
      </c>
      <c r="D8" s="1">
        <v>1921112.9665717392</v>
      </c>
      <c r="G8" s="7" t="s">
        <v>113</v>
      </c>
      <c r="H8" s="1">
        <v>1767411</v>
      </c>
      <c r="I8" s="8">
        <v>4.7797453703703701</v>
      </c>
      <c r="J8" s="1">
        <v>154724.36691271138</v>
      </c>
      <c r="K8" s="9"/>
    </row>
    <row r="9" spans="1:17" x14ac:dyDescent="0.25">
      <c r="A9" s="7" t="s">
        <v>492</v>
      </c>
      <c r="B9" s="1">
        <v>7538232</v>
      </c>
      <c r="C9" s="8">
        <v>8.0687499999999996</v>
      </c>
      <c r="D9" s="1">
        <v>1029440.3566770391</v>
      </c>
      <c r="G9" s="7" t="s">
        <v>17</v>
      </c>
      <c r="H9" s="1">
        <v>491310.99461784132</v>
      </c>
      <c r="I9" s="8">
        <v>1.7255787037037038</v>
      </c>
      <c r="J9" s="1">
        <v>84911.253759879939</v>
      </c>
    </row>
    <row r="10" spans="1:17" x14ac:dyDescent="0.25">
      <c r="A10" s="7" t="s">
        <v>421</v>
      </c>
      <c r="B10" s="1">
        <v>7059037</v>
      </c>
      <c r="C10" s="8">
        <v>6.8263888888888884</v>
      </c>
      <c r="D10" s="1">
        <v>411282.48946595634</v>
      </c>
      <c r="E10" s="8"/>
      <c r="G10" s="7" t="s">
        <v>23</v>
      </c>
      <c r="H10" s="1">
        <v>324689</v>
      </c>
      <c r="I10" s="8">
        <v>0.78923611111111114</v>
      </c>
      <c r="J10" s="1">
        <v>6337.5791800397255</v>
      </c>
    </row>
    <row r="11" spans="1:17" x14ac:dyDescent="0.25">
      <c r="A11" s="7" t="s">
        <v>481</v>
      </c>
      <c r="B11" s="1">
        <v>3591002</v>
      </c>
      <c r="C11" s="8">
        <v>5.5201388888888889</v>
      </c>
      <c r="D11" s="1">
        <v>698346.02787018812</v>
      </c>
      <c r="E11" s="9"/>
      <c r="G11" s="7" t="s">
        <v>104</v>
      </c>
      <c r="H11" s="1">
        <v>256399.99999999997</v>
      </c>
      <c r="I11" s="8">
        <v>8.3333333333333329E-2</v>
      </c>
      <c r="J11" s="1">
        <v>3294.6542793545868</v>
      </c>
    </row>
    <row r="12" spans="1:17" x14ac:dyDescent="0.25">
      <c r="A12" s="7" t="s">
        <v>468</v>
      </c>
      <c r="B12" s="1">
        <v>3347831</v>
      </c>
      <c r="C12" s="8">
        <v>34.008032407407413</v>
      </c>
      <c r="D12" s="1">
        <v>137989.73280682598</v>
      </c>
      <c r="G12" s="7" t="s">
        <v>53</v>
      </c>
      <c r="H12" s="1">
        <v>63900</v>
      </c>
      <c r="I12" s="8">
        <v>0.20078703703703704</v>
      </c>
      <c r="J12" s="1">
        <v>5565.3973104092829</v>
      </c>
    </row>
    <row r="13" spans="1:17" x14ac:dyDescent="0.25">
      <c r="A13" s="7" t="s">
        <v>1178</v>
      </c>
      <c r="B13" s="1">
        <v>3266376.4450867046</v>
      </c>
      <c r="C13" s="8">
        <v>8.8527777777777779</v>
      </c>
      <c r="D13" s="1">
        <v>341492.06637966505</v>
      </c>
      <c r="G13" s="7" t="s">
        <v>133</v>
      </c>
      <c r="H13" s="1">
        <v>2552</v>
      </c>
      <c r="I13" s="8">
        <v>1.9409722222222223</v>
      </c>
      <c r="J13" s="1">
        <v>292.1213150079609</v>
      </c>
    </row>
    <row r="14" spans="1:17" x14ac:dyDescent="0.25">
      <c r="A14" s="7" t="s">
        <v>1594</v>
      </c>
      <c r="B14" s="1">
        <v>2909519</v>
      </c>
      <c r="C14" s="8">
        <v>6.7631944444444443</v>
      </c>
      <c r="D14" s="1">
        <v>304188.84098992124</v>
      </c>
      <c r="G14" s="7" t="s">
        <v>62</v>
      </c>
      <c r="H14" s="1">
        <v>132</v>
      </c>
      <c r="I14" s="8">
        <v>0.23629629629629631</v>
      </c>
      <c r="J14" s="1">
        <v>14.592685906792815</v>
      </c>
    </row>
    <row r="15" spans="1:17" x14ac:dyDescent="0.25">
      <c r="A15" s="7" t="s">
        <v>185</v>
      </c>
      <c r="B15" s="1">
        <v>2578603</v>
      </c>
      <c r="C15" s="8">
        <v>18.114583333333336</v>
      </c>
      <c r="D15" s="1">
        <v>303991.49778587802</v>
      </c>
      <c r="G15" s="7" t="s">
        <v>1639</v>
      </c>
      <c r="H15" s="1">
        <v>30593545.994617842</v>
      </c>
      <c r="I15" s="8">
        <v>22.084803240740744</v>
      </c>
      <c r="J15" s="1">
        <v>1885528.6725768929</v>
      </c>
    </row>
    <row r="16" spans="1:17" x14ac:dyDescent="0.25">
      <c r="A16" s="7" t="s">
        <v>1280</v>
      </c>
      <c r="B16" s="1">
        <v>2363467</v>
      </c>
      <c r="C16" s="8">
        <v>13.752777777777778</v>
      </c>
      <c r="D16" s="1">
        <v>49254.080691890893</v>
      </c>
    </row>
    <row r="17" spans="1:5" x14ac:dyDescent="0.25">
      <c r="A17" s="7" t="s">
        <v>199</v>
      </c>
      <c r="B17" s="1">
        <v>1644951</v>
      </c>
      <c r="C17" s="8">
        <v>13.428634259259258</v>
      </c>
      <c r="D17" s="1">
        <v>121819.90645949225</v>
      </c>
    </row>
    <row r="18" spans="1:5" x14ac:dyDescent="0.25">
      <c r="A18" s="7" t="s">
        <v>186</v>
      </c>
      <c r="B18" s="1">
        <v>1635161</v>
      </c>
      <c r="C18" s="8">
        <v>6.5</v>
      </c>
      <c r="D18" s="1">
        <v>189499.89317782782</v>
      </c>
      <c r="E18" s="9"/>
    </row>
    <row r="19" spans="1:5" x14ac:dyDescent="0.25">
      <c r="A19" s="7" t="s">
        <v>548</v>
      </c>
      <c r="B19" s="1">
        <v>1600323</v>
      </c>
      <c r="C19" s="8">
        <v>9.1875</v>
      </c>
      <c r="D19" s="1">
        <v>67050.336696488972</v>
      </c>
    </row>
    <row r="20" spans="1:5" x14ac:dyDescent="0.25">
      <c r="A20" s="7" t="s">
        <v>1198</v>
      </c>
      <c r="B20" s="1">
        <v>1506591</v>
      </c>
      <c r="C20" s="8">
        <v>30.782430555555557</v>
      </c>
      <c r="D20" s="1">
        <v>16828.36473811129</v>
      </c>
    </row>
    <row r="21" spans="1:5" x14ac:dyDescent="0.25">
      <c r="A21" s="7" t="s">
        <v>871</v>
      </c>
      <c r="B21" s="1">
        <v>1424683</v>
      </c>
      <c r="C21" s="8">
        <v>17.031134259259257</v>
      </c>
      <c r="D21" s="1">
        <v>37200.387537351053</v>
      </c>
    </row>
    <row r="22" spans="1:5" x14ac:dyDescent="0.25">
      <c r="A22" s="7" t="s">
        <v>1439</v>
      </c>
      <c r="B22" s="1">
        <v>1396766</v>
      </c>
      <c r="C22" s="8">
        <v>7.2315509259259256</v>
      </c>
      <c r="D22" s="1">
        <v>181703.241363768</v>
      </c>
    </row>
    <row r="23" spans="1:5" x14ac:dyDescent="0.25">
      <c r="A23" s="7" t="s">
        <v>1546</v>
      </c>
      <c r="B23" s="1">
        <v>1345942</v>
      </c>
      <c r="C23" s="8">
        <v>8.1222222222222218</v>
      </c>
      <c r="D23" s="1">
        <v>39052.672107409919</v>
      </c>
    </row>
    <row r="24" spans="1:5" x14ac:dyDescent="0.25">
      <c r="A24" s="7" t="s">
        <v>184</v>
      </c>
      <c r="B24" s="1">
        <v>984886</v>
      </c>
      <c r="C24" s="8">
        <v>5.1875</v>
      </c>
      <c r="D24" s="1">
        <v>104593.87959317068</v>
      </c>
    </row>
    <row r="25" spans="1:5" x14ac:dyDescent="0.25">
      <c r="A25" s="7" t="s">
        <v>868</v>
      </c>
      <c r="B25" s="1">
        <v>940686</v>
      </c>
      <c r="C25" s="8">
        <v>17.830046296296295</v>
      </c>
      <c r="D25" s="1">
        <v>71068.359633585555</v>
      </c>
    </row>
    <row r="26" spans="1:5" x14ac:dyDescent="0.25">
      <c r="A26" s="7" t="s">
        <v>1547</v>
      </c>
      <c r="B26" s="1">
        <v>817845</v>
      </c>
      <c r="C26" s="8">
        <v>5.0798611111111107</v>
      </c>
      <c r="D26" s="1">
        <v>18582.481532457306</v>
      </c>
    </row>
    <row r="27" spans="1:5" x14ac:dyDescent="0.25">
      <c r="A27" s="7" t="s">
        <v>225</v>
      </c>
      <c r="B27" s="1">
        <v>638525</v>
      </c>
      <c r="C27" s="8">
        <v>18.3125</v>
      </c>
      <c r="D27" s="1">
        <v>38724.230349592559</v>
      </c>
      <c r="E27" s="9"/>
    </row>
    <row r="28" spans="1:5" x14ac:dyDescent="0.25">
      <c r="A28" s="7" t="s">
        <v>1493</v>
      </c>
      <c r="B28" s="1">
        <v>542318</v>
      </c>
      <c r="C28" s="8">
        <v>14.812499999999998</v>
      </c>
      <c r="D28" s="1">
        <v>11944.661670756836</v>
      </c>
    </row>
    <row r="29" spans="1:5" x14ac:dyDescent="0.25">
      <c r="A29" s="7" t="s">
        <v>804</v>
      </c>
      <c r="B29" s="1">
        <v>526147</v>
      </c>
      <c r="C29" s="8">
        <v>12.760416666666668</v>
      </c>
      <c r="D29" s="1">
        <v>31119.456666063183</v>
      </c>
    </row>
    <row r="30" spans="1:5" x14ac:dyDescent="0.25">
      <c r="A30" s="7" t="s">
        <v>1494</v>
      </c>
      <c r="B30" s="1">
        <v>473292</v>
      </c>
      <c r="C30" s="8">
        <v>14.041666666666668</v>
      </c>
      <c r="D30" s="1">
        <v>11225.789072841731</v>
      </c>
    </row>
    <row r="31" spans="1:5" x14ac:dyDescent="0.25">
      <c r="A31" s="7" t="s">
        <v>882</v>
      </c>
      <c r="B31" s="1">
        <v>420619</v>
      </c>
      <c r="C31" s="8">
        <v>9.1659490740740743</v>
      </c>
      <c r="D31" s="1">
        <v>48702.185508845403</v>
      </c>
    </row>
    <row r="32" spans="1:5" x14ac:dyDescent="0.25">
      <c r="A32" s="7" t="s">
        <v>486</v>
      </c>
      <c r="B32" s="1">
        <v>411196</v>
      </c>
      <c r="C32" s="8">
        <v>1.7249999999999999</v>
      </c>
      <c r="D32" s="1">
        <v>60973.869745838449</v>
      </c>
    </row>
    <row r="33" spans="1:6" x14ac:dyDescent="0.25">
      <c r="A33" s="7" t="s">
        <v>498</v>
      </c>
      <c r="B33" s="1">
        <v>408801</v>
      </c>
      <c r="C33" s="8">
        <v>1.5847222222222221</v>
      </c>
      <c r="D33" s="1">
        <v>64762.9310428834</v>
      </c>
    </row>
    <row r="34" spans="1:6" x14ac:dyDescent="0.25">
      <c r="A34" s="7" t="s">
        <v>1024</v>
      </c>
      <c r="B34" s="1">
        <v>350502</v>
      </c>
      <c r="C34" s="8">
        <v>8</v>
      </c>
      <c r="D34" s="1">
        <v>17626.271175928556</v>
      </c>
    </row>
    <row r="35" spans="1:6" x14ac:dyDescent="0.25">
      <c r="A35" s="7" t="s">
        <v>1201</v>
      </c>
      <c r="B35" s="1">
        <v>235507</v>
      </c>
      <c r="C35" s="8">
        <v>0.46787037037037038</v>
      </c>
      <c r="D35" s="1">
        <v>424.02524228455468</v>
      </c>
    </row>
    <row r="36" spans="1:6" x14ac:dyDescent="0.25">
      <c r="A36" s="7" t="s">
        <v>1076</v>
      </c>
      <c r="B36" s="1">
        <v>212729</v>
      </c>
      <c r="C36" s="8">
        <v>8.413657407407408</v>
      </c>
      <c r="D36" s="1">
        <v>52018.69012527747</v>
      </c>
      <c r="E36" s="8"/>
      <c r="F36" s="9"/>
    </row>
    <row r="37" spans="1:6" x14ac:dyDescent="0.25">
      <c r="A37" s="7" t="s">
        <v>187</v>
      </c>
      <c r="B37" s="1">
        <v>192649</v>
      </c>
      <c r="C37" s="8">
        <v>3.5798611111111116</v>
      </c>
      <c r="D37" s="1">
        <v>41423.19205487275</v>
      </c>
    </row>
    <row r="38" spans="1:6" x14ac:dyDescent="0.25">
      <c r="A38" s="7" t="s">
        <v>1617</v>
      </c>
      <c r="B38" s="1">
        <v>171758</v>
      </c>
      <c r="C38" s="8">
        <v>4.666666666666667</v>
      </c>
      <c r="D38" s="1">
        <v>5043.7092170524093</v>
      </c>
    </row>
    <row r="39" spans="1:6" x14ac:dyDescent="0.25">
      <c r="A39" s="7" t="s">
        <v>1645</v>
      </c>
      <c r="B39" s="1">
        <v>146894</v>
      </c>
      <c r="C39" s="8">
        <v>17.00636574074074</v>
      </c>
      <c r="D39" s="1">
        <v>8949.7239703597443</v>
      </c>
    </row>
    <row r="40" spans="1:6" x14ac:dyDescent="0.25">
      <c r="A40" s="7" t="s">
        <v>1646</v>
      </c>
      <c r="B40" s="1">
        <v>127662</v>
      </c>
      <c r="C40" s="8">
        <v>17.830439814814813</v>
      </c>
      <c r="D40" s="1">
        <v>11816.896411664744</v>
      </c>
    </row>
    <row r="41" spans="1:6" x14ac:dyDescent="0.25">
      <c r="A41" s="7" t="s">
        <v>197</v>
      </c>
      <c r="B41" s="1">
        <v>112986</v>
      </c>
      <c r="C41" s="8">
        <v>14.208333333333332</v>
      </c>
      <c r="D41" s="1">
        <v>16266.487230957864</v>
      </c>
    </row>
    <row r="42" spans="1:6" x14ac:dyDescent="0.25">
      <c r="A42" s="7" t="s">
        <v>1196</v>
      </c>
      <c r="B42" s="1">
        <v>94190</v>
      </c>
      <c r="C42" s="8">
        <v>12.944606481481481</v>
      </c>
      <c r="D42" s="1">
        <v>1867.2518183912152</v>
      </c>
    </row>
    <row r="43" spans="1:6" x14ac:dyDescent="0.25">
      <c r="A43" s="7" t="s">
        <v>803</v>
      </c>
      <c r="B43" s="1">
        <v>81172</v>
      </c>
      <c r="C43" s="8">
        <v>3.0833333333333335</v>
      </c>
      <c r="D43" s="1">
        <v>9801.9289523540265</v>
      </c>
      <c r="E43" s="8"/>
    </row>
    <row r="44" spans="1:6" x14ac:dyDescent="0.25">
      <c r="A44" s="7" t="s">
        <v>420</v>
      </c>
      <c r="B44" s="1">
        <v>74328</v>
      </c>
      <c r="C44" s="8">
        <v>0.20833333333333334</v>
      </c>
      <c r="D44" s="1">
        <v>4128.3537804246516</v>
      </c>
      <c r="E44" s="9"/>
    </row>
    <row r="45" spans="1:6" x14ac:dyDescent="0.25">
      <c r="A45" s="7" t="s">
        <v>549</v>
      </c>
      <c r="B45" s="1">
        <v>72976</v>
      </c>
      <c r="C45" s="8">
        <v>0.25</v>
      </c>
      <c r="D45" s="1">
        <v>858.24718867326328</v>
      </c>
    </row>
    <row r="46" spans="1:6" x14ac:dyDescent="0.25">
      <c r="A46" s="7" t="s">
        <v>412</v>
      </c>
      <c r="B46" s="1">
        <v>61220</v>
      </c>
      <c r="C46" s="8">
        <v>0.41666666666666669</v>
      </c>
      <c r="D46" s="1">
        <v>3714.9585474842343</v>
      </c>
    </row>
    <row r="47" spans="1:6" x14ac:dyDescent="0.25">
      <c r="A47" s="7" t="s">
        <v>907</v>
      </c>
      <c r="B47" s="1">
        <v>59300</v>
      </c>
      <c r="C47" s="8">
        <v>0.15555555555555556</v>
      </c>
      <c r="D47" s="1">
        <v>4694.8663493885351</v>
      </c>
    </row>
    <row r="48" spans="1:6" x14ac:dyDescent="0.25">
      <c r="A48" s="7" t="s">
        <v>1278</v>
      </c>
      <c r="B48" s="1">
        <v>50846</v>
      </c>
      <c r="C48" s="8">
        <v>0.35069444444444442</v>
      </c>
      <c r="D48" s="1">
        <v>560.21962979967907</v>
      </c>
    </row>
    <row r="49" spans="1:5" x14ac:dyDescent="0.25">
      <c r="A49" s="7" t="s">
        <v>1203</v>
      </c>
      <c r="B49" s="1">
        <v>34408</v>
      </c>
      <c r="C49" s="8">
        <v>7.7498148148148145</v>
      </c>
      <c r="D49" s="1">
        <v>829.29869670611413</v>
      </c>
    </row>
    <row r="50" spans="1:5" x14ac:dyDescent="0.25">
      <c r="A50" s="7" t="s">
        <v>1573</v>
      </c>
      <c r="B50" s="1">
        <v>33260</v>
      </c>
      <c r="C50" s="8">
        <v>4.666666666666667</v>
      </c>
      <c r="D50" s="1">
        <v>6623.6609505721854</v>
      </c>
      <c r="E50" s="8"/>
    </row>
    <row r="51" spans="1:5" x14ac:dyDescent="0.25">
      <c r="A51" s="7" t="s">
        <v>1200</v>
      </c>
      <c r="B51" s="1">
        <v>19844</v>
      </c>
      <c r="C51" s="8">
        <v>0.75337962962962957</v>
      </c>
      <c r="D51" s="1">
        <v>61.442981691893756</v>
      </c>
      <c r="E51" s="9"/>
    </row>
    <row r="52" spans="1:5" x14ac:dyDescent="0.25">
      <c r="A52" s="7" t="s">
        <v>1199</v>
      </c>
      <c r="B52" s="1">
        <v>14738</v>
      </c>
      <c r="C52" s="8">
        <v>5.2980787037037036</v>
      </c>
      <c r="D52" s="1">
        <v>517.71345911071205</v>
      </c>
      <c r="E52" s="9"/>
    </row>
    <row r="53" spans="1:5" x14ac:dyDescent="0.25">
      <c r="A53" s="7" t="s">
        <v>1574</v>
      </c>
      <c r="B53" s="1">
        <v>14432</v>
      </c>
      <c r="C53" s="8">
        <v>2.375</v>
      </c>
      <c r="D53" s="1">
        <v>3243.8384349200096</v>
      </c>
    </row>
    <row r="54" spans="1:5" x14ac:dyDescent="0.25">
      <c r="A54" s="7" t="s">
        <v>1277</v>
      </c>
      <c r="B54" s="1">
        <v>4852</v>
      </c>
      <c r="C54" s="8">
        <v>2.0833333333333332E-2</v>
      </c>
      <c r="D54" s="1">
        <v>16.970096590225964</v>
      </c>
    </row>
    <row r="55" spans="1:5" x14ac:dyDescent="0.25">
      <c r="A55" s="7" t="s">
        <v>795</v>
      </c>
      <c r="B55" s="1">
        <v>1184</v>
      </c>
      <c r="C55" s="8">
        <v>0.61111111111111105</v>
      </c>
      <c r="D55" s="1">
        <v>396.72059229948462</v>
      </c>
    </row>
    <row r="56" spans="1:5" x14ac:dyDescent="0.25">
      <c r="A56" s="7" t="s">
        <v>1197</v>
      </c>
      <c r="B56" s="1">
        <v>98</v>
      </c>
      <c r="C56" s="8">
        <v>0.32030092592592591</v>
      </c>
      <c r="D56" s="1">
        <v>1.4600060566319382</v>
      </c>
    </row>
    <row r="57" spans="1:5" x14ac:dyDescent="0.25">
      <c r="A57" s="7" t="s">
        <v>833</v>
      </c>
      <c r="B57" s="1">
        <v>84</v>
      </c>
      <c r="C57" s="8">
        <v>0.23629629629629631</v>
      </c>
      <c r="D57" s="1">
        <v>9.3248345801727073</v>
      </c>
    </row>
    <row r="58" spans="1:5" x14ac:dyDescent="0.25">
      <c r="A58" s="7" t="s">
        <v>1639</v>
      </c>
      <c r="B58" s="1">
        <v>142885558.57840645</v>
      </c>
      <c r="C58" s="8">
        <v>684.54773148148149</v>
      </c>
      <c r="D58" s="1">
        <v>14833153.120464547</v>
      </c>
    </row>
  </sheetData>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7030A0"/>
  </sheetPr>
  <dimension ref="A1:V66"/>
  <sheetViews>
    <sheetView tabSelected="1" topLeftCell="A22" zoomScale="80" zoomScaleNormal="80" workbookViewId="0">
      <selection activeCell="E37" sqref="E37"/>
    </sheetView>
  </sheetViews>
  <sheetFormatPr defaultRowHeight="15" x14ac:dyDescent="0.25"/>
  <cols>
    <col min="1" max="1" width="12.42578125" customWidth="1"/>
    <col min="2" max="2" width="17.5703125" bestFit="1" customWidth="1"/>
    <col min="3" max="3" width="26.42578125" bestFit="1" customWidth="1"/>
    <col min="4" max="4" width="15.7109375" bestFit="1" customWidth="1"/>
    <col min="5" max="5" width="24.42578125" bestFit="1" customWidth="1"/>
    <col min="6" max="6" width="10.42578125" bestFit="1" customWidth="1"/>
  </cols>
  <sheetData>
    <row r="1" spans="1:22" x14ac:dyDescent="0.25">
      <c r="A1" s="28" t="s">
        <v>1672</v>
      </c>
      <c r="B1" s="105" t="s">
        <v>1673</v>
      </c>
      <c r="C1" s="105" t="s">
        <v>1674</v>
      </c>
      <c r="D1" s="106" t="s">
        <v>1675</v>
      </c>
      <c r="E1" s="106" t="s">
        <v>1676</v>
      </c>
      <c r="F1" s="135" t="s">
        <v>1677</v>
      </c>
    </row>
    <row r="2" spans="1:22" x14ac:dyDescent="0.25">
      <c r="A2" s="72"/>
      <c r="B2" t="s">
        <v>1678</v>
      </c>
      <c r="C2" s="101">
        <v>7913738.6069364157</v>
      </c>
      <c r="D2" s="102">
        <v>33.642476851851846</v>
      </c>
      <c r="E2" s="101">
        <v>737974.49593699467</v>
      </c>
      <c r="F2" s="21">
        <f>Table91416[[#This Row],[Linear TV Audience]]/SUM(Table91416[Linear TV Audience])</f>
        <v>4.5617820234973627E-2</v>
      </c>
      <c r="V2">
        <f>Table91416[[#This Row],[Linear TV Audience]]/118</f>
        <v>67065.581414715387</v>
      </c>
    </row>
    <row r="3" spans="1:22" x14ac:dyDescent="0.25">
      <c r="A3" s="72"/>
      <c r="B3" t="s">
        <v>1679</v>
      </c>
      <c r="C3" s="101">
        <v>11954761.04687514</v>
      </c>
      <c r="D3" s="102">
        <v>57.402615740740742</v>
      </c>
      <c r="E3" s="101">
        <v>1057798.1509001316</v>
      </c>
      <c r="F3" s="21">
        <f>Table91416[[#This Row],[Linear TV Audience]]/SUM(Table91416[Linear TV Audience])</f>
        <v>6.8911821261118514E-2</v>
      </c>
      <c r="V3">
        <f>Table91416[[#This Row],[Linear TV Audience]]/282</f>
        <v>42392.769669770001</v>
      </c>
    </row>
    <row r="4" spans="1:22" x14ac:dyDescent="0.25">
      <c r="A4" s="72"/>
      <c r="B4" t="s">
        <v>1680</v>
      </c>
      <c r="C4" s="101">
        <v>11780533.811060112</v>
      </c>
      <c r="D4" s="102">
        <v>55.044513888888893</v>
      </c>
      <c r="E4" s="101">
        <v>997293.00872906577</v>
      </c>
      <c r="F4" s="21">
        <f>Table91416[[#This Row],[Linear TV Audience]]/SUM(Table91416[Linear TV Audience])</f>
        <v>6.7907508746110748E-2</v>
      </c>
      <c r="V4">
        <f>Table91416[[#This Row],[Linear TV Audience]]/288</f>
        <v>40904.631288403165</v>
      </c>
    </row>
    <row r="5" spans="1:22" x14ac:dyDescent="0.25">
      <c r="A5" s="72"/>
      <c r="B5" t="s">
        <v>1681</v>
      </c>
      <c r="C5" s="101">
        <v>12152110.346995411</v>
      </c>
      <c r="D5" s="102">
        <v>53.801874999999995</v>
      </c>
      <c r="E5" s="101">
        <v>1035212.9067208625</v>
      </c>
      <c r="F5" s="21">
        <f>Table91416[[#This Row],[Linear TV Audience]]/SUM(Table91416[Linear TV Audience])</f>
        <v>7.0049418210364922E-2</v>
      </c>
      <c r="V5">
        <f>Table91416[[#This Row],[Linear TV Audience]]/266</f>
        <v>45684.625364644402</v>
      </c>
    </row>
    <row r="6" spans="1:22" x14ac:dyDescent="0.25">
      <c r="A6" s="72"/>
      <c r="B6" t="s">
        <v>1682</v>
      </c>
      <c r="C6" s="101">
        <v>11627127.673827164</v>
      </c>
      <c r="D6" s="102">
        <v>58.680891203703709</v>
      </c>
      <c r="E6" s="101">
        <v>1321496.8642168981</v>
      </c>
      <c r="F6" s="21">
        <f>Table91416[[#This Row],[Linear TV Audience]]/SUM(Table91416[Linear TV Audience])</f>
        <v>6.7023217017660119E-2</v>
      </c>
    </row>
    <row r="7" spans="1:22" x14ac:dyDescent="0.25">
      <c r="A7" s="72"/>
      <c r="B7" t="s">
        <v>1683</v>
      </c>
      <c r="C7" s="101">
        <v>12066290.392372822</v>
      </c>
      <c r="D7" s="102">
        <v>57.529583333333335</v>
      </c>
      <c r="E7" s="101">
        <v>1509006.7967300045</v>
      </c>
      <c r="F7" s="21">
        <f>Table91416[[#This Row],[Linear TV Audience]]/SUM(Table91416[Linear TV Audience])</f>
        <v>6.9554719123499018E-2</v>
      </c>
    </row>
    <row r="8" spans="1:22" x14ac:dyDescent="0.25">
      <c r="A8" s="72"/>
      <c r="B8" t="s">
        <v>1684</v>
      </c>
      <c r="C8" s="101">
        <v>12107075.393867757</v>
      </c>
      <c r="D8" s="102">
        <v>50.040729166666665</v>
      </c>
      <c r="E8" s="101">
        <v>1625959.6848259801</v>
      </c>
      <c r="F8" s="21">
        <f>Table91416[[#This Row],[Linear TV Audience]]/SUM(Table91416[Linear TV Audience])</f>
        <v>6.9789819492476118E-2</v>
      </c>
    </row>
    <row r="9" spans="1:22" x14ac:dyDescent="0.25">
      <c r="A9" s="72"/>
      <c r="B9" t="s">
        <v>1685</v>
      </c>
      <c r="C9" s="101">
        <v>12665359.105857801</v>
      </c>
      <c r="D9" s="102">
        <v>55.832141203703706</v>
      </c>
      <c r="E9" s="101">
        <v>1340678.2817884572</v>
      </c>
      <c r="F9" s="21">
        <f>Table91416[[#This Row],[Linear TV Audience]]/SUM(Table91416[Linear TV Audience])</f>
        <v>7.300798062700653E-2</v>
      </c>
    </row>
    <row r="10" spans="1:22" x14ac:dyDescent="0.25">
      <c r="A10" s="72"/>
      <c r="B10" t="s">
        <v>1686</v>
      </c>
      <c r="C10" s="101">
        <v>9949023.3427369893</v>
      </c>
      <c r="D10" s="102">
        <v>45.318229166666669</v>
      </c>
      <c r="E10" s="101">
        <v>1588186.6560932752</v>
      </c>
      <c r="F10" s="21">
        <f>Table91416[[#This Row],[Linear TV Audience]]/SUM(Table91416[Linear TV Audience])</f>
        <v>5.7349980951446777E-2</v>
      </c>
    </row>
    <row r="11" spans="1:22" x14ac:dyDescent="0.25">
      <c r="A11" s="72"/>
      <c r="B11" t="s">
        <v>1687</v>
      </c>
      <c r="C11" s="101">
        <v>11209055.241192479</v>
      </c>
      <c r="D11" s="102">
        <v>43.94670138888889</v>
      </c>
      <c r="E11" s="101">
        <v>1138362.3361583855</v>
      </c>
      <c r="F11" s="21">
        <f>Table91416[[#This Row],[Linear TV Audience]]/SUM(Table91416[Linear TV Audience])</f>
        <v>6.4613287397238872E-2</v>
      </c>
    </row>
    <row r="12" spans="1:22" x14ac:dyDescent="0.25">
      <c r="A12" s="72"/>
      <c r="B12" t="s">
        <v>1688</v>
      </c>
      <c r="C12" s="101">
        <v>9242895.6042901631</v>
      </c>
      <c r="D12" s="102">
        <v>39.520578703703698</v>
      </c>
      <c r="E12" s="101">
        <v>726230.20695562859</v>
      </c>
      <c r="F12" s="21">
        <f>Table91416[[#This Row],[Linear TV Audience]]/SUM(Table91416[Linear TV Audience])</f>
        <v>5.3279590225227713E-2</v>
      </c>
    </row>
    <row r="13" spans="1:22" x14ac:dyDescent="0.25">
      <c r="A13" s="72"/>
      <c r="B13" t="s">
        <v>1689</v>
      </c>
      <c r="C13" s="101">
        <v>12218030.839156054</v>
      </c>
      <c r="D13" s="102">
        <v>43.998009259259256</v>
      </c>
      <c r="E13" s="101">
        <v>1087083.3329995547</v>
      </c>
      <c r="F13" s="21">
        <f>Table91416[[#This Row],[Linear TV Audience]]/SUM(Table91416[Linear TV Audience])</f>
        <v>7.0429409174250113E-2</v>
      </c>
    </row>
    <row r="14" spans="1:22" x14ac:dyDescent="0.25">
      <c r="A14" s="72"/>
      <c r="B14" t="s">
        <v>1690</v>
      </c>
      <c r="C14" s="101">
        <v>18618792.352053151</v>
      </c>
      <c r="D14" s="102">
        <v>37.578344907407406</v>
      </c>
      <c r="E14" s="101">
        <v>1499820.8212455553</v>
      </c>
      <c r="F14" s="21">
        <f>Table91416[[#This Row],[Linear TV Audience]]/SUM(Table91416[Linear TV Audience])</f>
        <v>0.10732584997990782</v>
      </c>
    </row>
    <row r="15" spans="1:22" x14ac:dyDescent="0.25">
      <c r="A15" s="72"/>
      <c r="B15" t="s">
        <v>1691</v>
      </c>
      <c r="C15" s="101">
        <v>13001667.402494773</v>
      </c>
      <c r="D15" s="102">
        <v>33.52929398148148</v>
      </c>
      <c r="E15" s="101">
        <v>813097.6409035516</v>
      </c>
      <c r="F15" s="21">
        <f>Table91416[[#This Row],[Linear TV Audience]]/SUM(Table91416[Linear TV Audience])</f>
        <v>7.4946590452464837E-2</v>
      </c>
    </row>
    <row r="16" spans="1:22" x14ac:dyDescent="0.25">
      <c r="A16" s="72"/>
      <c r="B16" t="s">
        <v>1692</v>
      </c>
      <c r="C16" s="101">
        <v>5022524.5346953562</v>
      </c>
      <c r="D16" s="102">
        <v>26.740405092592592</v>
      </c>
      <c r="E16" s="101">
        <v>178910.60211271653</v>
      </c>
      <c r="F16" s="21">
        <f>Table91416[[#This Row],[Linear TV Audience]]/SUM(Table91416[Linear TV Audience])</f>
        <v>2.8951755008518466E-2</v>
      </c>
    </row>
    <row r="17" spans="1:6" x14ac:dyDescent="0.25">
      <c r="A17" s="72"/>
      <c r="B17" t="s">
        <v>1693</v>
      </c>
      <c r="C17" s="101">
        <v>1943051.8786127164</v>
      </c>
      <c r="D17" s="102">
        <v>13.8178125</v>
      </c>
      <c r="E17" s="101">
        <v>61464.374138362204</v>
      </c>
      <c r="F17" s="21">
        <f>Table91416[[#This Row],[Linear TV Audience]]/SUM(Table91416[Linear TV Audience])</f>
        <v>1.120049520312579E-2</v>
      </c>
    </row>
    <row r="18" spans="1:6" x14ac:dyDescent="0.25">
      <c r="A18" s="72"/>
      <c r="B18" t="s">
        <v>1694</v>
      </c>
      <c r="C18" s="101">
        <v>7067</v>
      </c>
      <c r="D18" s="102">
        <v>0.20833333333333334</v>
      </c>
      <c r="E18" s="101">
        <v>105.63258602368001</v>
      </c>
      <c r="F18" s="21">
        <f>Table91416[[#This Row],[Linear TV Audience]]/SUM(Table91416[Linear TV Audience])</f>
        <v>4.0736894609835936E-5</v>
      </c>
    </row>
    <row r="25" spans="1:6" x14ac:dyDescent="0.25">
      <c r="B25" t="s">
        <v>1674</v>
      </c>
      <c r="C25" t="s">
        <v>1695</v>
      </c>
    </row>
    <row r="26" spans="1:6" x14ac:dyDescent="0.25">
      <c r="A26" s="2" t="s">
        <v>1696</v>
      </c>
      <c r="B26" s="138">
        <f>C2/1000000</f>
        <v>7.9137386069364153</v>
      </c>
      <c r="C26" s="138">
        <f>E2/1000000</f>
        <v>0.73797449593699471</v>
      </c>
    </row>
    <row r="27" spans="1:6" x14ac:dyDescent="0.25">
      <c r="A27" s="3" t="s">
        <v>1697</v>
      </c>
      <c r="B27" s="138">
        <f>C3/1000000</f>
        <v>11.95476104687514</v>
      </c>
      <c r="C27" s="138">
        <f t="shared" ref="C27:C42" si="0">E3/1000000</f>
        <v>1.0577981509001315</v>
      </c>
    </row>
    <row r="28" spans="1:6" x14ac:dyDescent="0.25">
      <c r="A28" s="2" t="s">
        <v>1698</v>
      </c>
      <c r="B28" s="138">
        <f>C4/1000000</f>
        <v>11.780533811060112</v>
      </c>
      <c r="C28" s="138">
        <f t="shared" si="0"/>
        <v>0.99729300872906579</v>
      </c>
      <c r="D28" s="19"/>
      <c r="E28" s="21"/>
    </row>
    <row r="29" spans="1:6" x14ac:dyDescent="0.25">
      <c r="A29" s="2" t="s">
        <v>1699</v>
      </c>
      <c r="B29" s="138">
        <f t="shared" ref="B29:B42" si="1">C5/1000000</f>
        <v>12.152110346995411</v>
      </c>
      <c r="C29" s="138">
        <f t="shared" si="0"/>
        <v>1.0352129067208624</v>
      </c>
      <c r="D29" s="19"/>
      <c r="E29" s="21"/>
    </row>
    <row r="30" spans="1:6" x14ac:dyDescent="0.25">
      <c r="A30" s="2" t="s">
        <v>1700</v>
      </c>
      <c r="B30" s="138">
        <f t="shared" si="1"/>
        <v>11.627127673827165</v>
      </c>
      <c r="C30" s="138">
        <f t="shared" si="0"/>
        <v>1.321496864216898</v>
      </c>
      <c r="D30" s="19"/>
      <c r="E30" s="21"/>
    </row>
    <row r="31" spans="1:6" x14ac:dyDescent="0.25">
      <c r="A31" s="2" t="s">
        <v>1701</v>
      </c>
      <c r="B31" s="138">
        <f t="shared" si="1"/>
        <v>12.066290392372823</v>
      </c>
      <c r="C31" s="138">
        <f t="shared" si="0"/>
        <v>1.5090067967300045</v>
      </c>
      <c r="D31" s="19"/>
      <c r="E31" s="21"/>
    </row>
    <row r="32" spans="1:6" x14ac:dyDescent="0.25">
      <c r="A32" s="2" t="s">
        <v>1702</v>
      </c>
      <c r="B32" s="138">
        <f t="shared" si="1"/>
        <v>12.107075393867758</v>
      </c>
      <c r="C32" s="138">
        <f t="shared" si="0"/>
        <v>1.6259596848259801</v>
      </c>
      <c r="D32" s="19"/>
      <c r="E32" s="21"/>
    </row>
    <row r="33" spans="1:5" x14ac:dyDescent="0.25">
      <c r="A33" s="2" t="s">
        <v>1703</v>
      </c>
      <c r="B33" s="138">
        <f t="shared" si="1"/>
        <v>12.665359105857801</v>
      </c>
      <c r="C33" s="138">
        <f t="shared" si="0"/>
        <v>1.3406782817884573</v>
      </c>
      <c r="D33" s="19"/>
      <c r="E33" s="21"/>
    </row>
    <row r="34" spans="1:5" x14ac:dyDescent="0.25">
      <c r="A34" s="2" t="s">
        <v>1704</v>
      </c>
      <c r="B34" s="138">
        <f t="shared" si="1"/>
        <v>9.9490233427369894</v>
      </c>
      <c r="C34" s="138">
        <f t="shared" si="0"/>
        <v>1.5881866560932751</v>
      </c>
      <c r="D34" s="19"/>
      <c r="E34" s="21"/>
    </row>
    <row r="35" spans="1:5" x14ac:dyDescent="0.25">
      <c r="A35" s="2" t="s">
        <v>1705</v>
      </c>
      <c r="B35" s="138">
        <f t="shared" si="1"/>
        <v>11.209055241192479</v>
      </c>
      <c r="C35" s="138">
        <f t="shared" si="0"/>
        <v>1.1383623361583854</v>
      </c>
      <c r="D35" s="19"/>
      <c r="E35" s="21"/>
    </row>
    <row r="36" spans="1:5" x14ac:dyDescent="0.25">
      <c r="A36" s="170" t="s">
        <v>1706</v>
      </c>
      <c r="B36" s="138">
        <f t="shared" si="1"/>
        <v>9.2428956042901635</v>
      </c>
      <c r="C36" s="138">
        <f t="shared" si="0"/>
        <v>0.72623020695562857</v>
      </c>
      <c r="D36" s="19"/>
      <c r="E36" s="21"/>
    </row>
    <row r="37" spans="1:5" x14ac:dyDescent="0.25">
      <c r="A37" s="2" t="s">
        <v>1707</v>
      </c>
      <c r="B37" s="138">
        <f t="shared" si="1"/>
        <v>12.218030839156054</v>
      </c>
      <c r="C37" s="138">
        <f t="shared" si="0"/>
        <v>1.0870833329995546</v>
      </c>
      <c r="D37" s="19"/>
      <c r="E37" s="21"/>
    </row>
    <row r="38" spans="1:5" x14ac:dyDescent="0.25">
      <c r="A38" s="2" t="s">
        <v>1708</v>
      </c>
      <c r="B38" s="138">
        <f t="shared" si="1"/>
        <v>18.618792352053152</v>
      </c>
      <c r="C38" s="138">
        <f t="shared" si="0"/>
        <v>1.4998208212455553</v>
      </c>
      <c r="D38" s="19"/>
      <c r="E38" s="21"/>
    </row>
    <row r="39" spans="1:5" x14ac:dyDescent="0.25">
      <c r="A39" s="2" t="s">
        <v>1709</v>
      </c>
      <c r="B39" s="138">
        <f t="shared" si="1"/>
        <v>13.001667402494773</v>
      </c>
      <c r="C39" s="138">
        <f t="shared" si="0"/>
        <v>0.81309764090355163</v>
      </c>
      <c r="D39" s="19"/>
      <c r="E39" s="21"/>
    </row>
    <row r="40" spans="1:5" ht="30" x14ac:dyDescent="0.25">
      <c r="A40" s="108" t="s">
        <v>1710</v>
      </c>
      <c r="B40" s="138">
        <f t="shared" si="1"/>
        <v>5.0225245346953562</v>
      </c>
      <c r="C40" s="138">
        <f t="shared" si="0"/>
        <v>0.17891060211271653</v>
      </c>
      <c r="D40" s="19"/>
      <c r="E40" s="21"/>
    </row>
    <row r="41" spans="1:5" ht="30" x14ac:dyDescent="0.25">
      <c r="A41" s="108" t="s">
        <v>1711</v>
      </c>
      <c r="B41" s="138">
        <f>(C17/1000000)+B42</f>
        <v>1.9501188786127164</v>
      </c>
      <c r="C41" s="138">
        <f>(E17/1000000)+C42</f>
        <v>6.1570006724385888E-2</v>
      </c>
    </row>
    <row r="42" spans="1:5" ht="30" x14ac:dyDescent="0.25">
      <c r="A42" s="108" t="s">
        <v>1711</v>
      </c>
      <c r="B42" s="138">
        <f t="shared" si="1"/>
        <v>7.0670000000000004E-3</v>
      </c>
      <c r="C42" s="138">
        <f t="shared" si="0"/>
        <v>1.0563258602368E-4</v>
      </c>
    </row>
    <row r="49" spans="1:8" x14ac:dyDescent="0.25">
      <c r="A49" s="2" t="s">
        <v>1696</v>
      </c>
      <c r="B49" s="107">
        <f>B26*1000000</f>
        <v>7913738.6069364157</v>
      </c>
      <c r="C49" s="107">
        <f>C26*1000000</f>
        <v>737974.49593699467</v>
      </c>
      <c r="D49" s="9">
        <f>B49/$B$66</f>
        <v>4.5615961982337826E-2</v>
      </c>
      <c r="H49" s="9"/>
    </row>
    <row r="50" spans="1:8" x14ac:dyDescent="0.25">
      <c r="A50" s="3" t="s">
        <v>1697</v>
      </c>
      <c r="B50" s="107">
        <f t="shared" ref="B50:C65" si="2">B27*1000000</f>
        <v>11954761.04687514</v>
      </c>
      <c r="C50" s="107">
        <f t="shared" si="2"/>
        <v>1057798.1509001316</v>
      </c>
      <c r="D50" s="9">
        <f t="shared" ref="D50:D65" si="3">B50/$B$66</f>
        <v>6.8909014121872558E-2</v>
      </c>
      <c r="E50" s="9">
        <f>B50/B49-1</f>
        <v>0.51063380289017335</v>
      </c>
      <c r="F50" s="19">
        <f>B50-B49</f>
        <v>4041022.439938724</v>
      </c>
      <c r="H50" s="9"/>
    </row>
    <row r="51" spans="1:8" x14ac:dyDescent="0.25">
      <c r="A51" s="2" t="s">
        <v>1698</v>
      </c>
      <c r="B51" s="107">
        <f t="shared" si="2"/>
        <v>11780533.811060112</v>
      </c>
      <c r="C51" s="107">
        <f t="shared" si="2"/>
        <v>997293.00872906577</v>
      </c>
      <c r="D51" s="9">
        <f t="shared" si="3"/>
        <v>6.7904742517771302E-2</v>
      </c>
      <c r="E51" s="9">
        <f>B51/B50-1</f>
        <v>-1.4573878568703735E-2</v>
      </c>
      <c r="F51" s="19">
        <f>B51-B50</f>
        <v>-174227.23581502773</v>
      </c>
      <c r="H51" s="9"/>
    </row>
    <row r="52" spans="1:8" x14ac:dyDescent="0.25">
      <c r="A52" s="2" t="s">
        <v>1699</v>
      </c>
      <c r="B52" s="107">
        <f t="shared" si="2"/>
        <v>12152110.346995411</v>
      </c>
      <c r="C52" s="107">
        <f t="shared" si="2"/>
        <v>1035212.9067208624</v>
      </c>
      <c r="D52" s="9">
        <f t="shared" si="3"/>
        <v>7.00465647308397E-2</v>
      </c>
      <c r="E52" s="9">
        <f>B52/B51-1</f>
        <v>3.1541570347724424E-2</v>
      </c>
      <c r="F52" s="19">
        <f>B52-B51</f>
        <v>371576.53593529947</v>
      </c>
    </row>
    <row r="53" spans="1:8" x14ac:dyDescent="0.25">
      <c r="A53" s="2" t="s">
        <v>1700</v>
      </c>
      <c r="B53" s="107">
        <f t="shared" si="2"/>
        <v>11627127.673827164</v>
      </c>
      <c r="C53" s="107">
        <f t="shared" si="2"/>
        <v>1321496.8642168981</v>
      </c>
      <c r="D53" s="9">
        <f t="shared" si="3"/>
        <v>6.7020486811152191E-2</v>
      </c>
      <c r="E53" s="9">
        <f>B53/B52-1</f>
        <v>-4.3200946846080002E-2</v>
      </c>
      <c r="F53" s="19">
        <f>B53-B52</f>
        <v>-524982.67316824757</v>
      </c>
    </row>
    <row r="54" spans="1:8" x14ac:dyDescent="0.25">
      <c r="A54" s="2" t="s">
        <v>1701</v>
      </c>
      <c r="B54" s="107">
        <f t="shared" si="2"/>
        <v>12066290.392372822</v>
      </c>
      <c r="C54" s="107">
        <f t="shared" si="2"/>
        <v>1509006.7967300045</v>
      </c>
      <c r="D54" s="9">
        <f t="shared" si="3"/>
        <v>6.955188579565745E-2</v>
      </c>
      <c r="E54" s="9">
        <f t="shared" ref="E54:E65" si="4">B54/B53-1</f>
        <v>3.7770525177445169E-2</v>
      </c>
      <c r="F54" s="19">
        <f t="shared" ref="F54:F65" si="5">B54-B53</f>
        <v>439162.71854565851</v>
      </c>
    </row>
    <row r="55" spans="1:8" x14ac:dyDescent="0.25">
      <c r="A55" s="2" t="s">
        <v>1702</v>
      </c>
      <c r="B55" s="107">
        <f t="shared" si="2"/>
        <v>12107075.393867757</v>
      </c>
      <c r="C55" s="107">
        <f t="shared" si="2"/>
        <v>1625959.6848259801</v>
      </c>
      <c r="D55" s="9">
        <f t="shared" si="3"/>
        <v>6.9786976587765726E-2</v>
      </c>
      <c r="E55" s="9">
        <f t="shared" si="4"/>
        <v>3.3800779003889669E-3</v>
      </c>
      <c r="F55" s="19">
        <f t="shared" si="5"/>
        <v>40785.001494934782</v>
      </c>
    </row>
    <row r="56" spans="1:8" x14ac:dyDescent="0.25">
      <c r="A56" s="2" t="s">
        <v>1703</v>
      </c>
      <c r="B56" s="107">
        <f t="shared" si="2"/>
        <v>12665359.105857801</v>
      </c>
      <c r="C56" s="107">
        <f t="shared" si="2"/>
        <v>1340678.2817884572</v>
      </c>
      <c r="D56" s="9">
        <f t="shared" si="3"/>
        <v>7.3005006629745461E-2</v>
      </c>
      <c r="E56" s="9">
        <f t="shared" si="4"/>
        <v>4.6112185959692242E-2</v>
      </c>
      <c r="F56" s="19">
        <f t="shared" si="5"/>
        <v>558283.71199004352</v>
      </c>
    </row>
    <row r="57" spans="1:8" x14ac:dyDescent="0.25">
      <c r="A57" s="2" t="s">
        <v>1704</v>
      </c>
      <c r="B57" s="107">
        <f t="shared" si="2"/>
        <v>9949023.3427369893</v>
      </c>
      <c r="C57" s="107">
        <f t="shared" si="2"/>
        <v>1588186.6560932752</v>
      </c>
      <c r="D57" s="9">
        <f t="shared" si="3"/>
        <v>5.7347644786484991E-2</v>
      </c>
      <c r="E57" s="9">
        <f t="shared" si="4"/>
        <v>-0.21446969962853168</v>
      </c>
      <c r="F57" s="19">
        <f t="shared" si="5"/>
        <v>-2716335.7631208114</v>
      </c>
    </row>
    <row r="58" spans="1:8" x14ac:dyDescent="0.25">
      <c r="A58" s="2" t="s">
        <v>1705</v>
      </c>
      <c r="B58" s="107">
        <f t="shared" si="2"/>
        <v>11209055.241192479</v>
      </c>
      <c r="C58" s="107">
        <f t="shared" si="2"/>
        <v>1138362.3361583855</v>
      </c>
      <c r="D58" s="9">
        <f t="shared" si="3"/>
        <v>6.4610655359780819E-2</v>
      </c>
      <c r="E58" s="9">
        <f t="shared" si="4"/>
        <v>0.12664880310843185</v>
      </c>
      <c r="F58" s="19">
        <f t="shared" si="5"/>
        <v>1260031.8984554894</v>
      </c>
    </row>
    <row r="59" spans="1:8" x14ac:dyDescent="0.25">
      <c r="A59" s="2" t="s">
        <v>1706</v>
      </c>
      <c r="B59" s="107">
        <f t="shared" si="2"/>
        <v>9242895.6042901631</v>
      </c>
      <c r="C59" s="107">
        <f t="shared" si="2"/>
        <v>726230.20695562859</v>
      </c>
      <c r="D59" s="9">
        <f t="shared" si="3"/>
        <v>5.3277419868589443E-2</v>
      </c>
      <c r="E59" s="9">
        <f t="shared" si="4"/>
        <v>-0.17540814944660266</v>
      </c>
      <c r="F59" s="19">
        <f t="shared" si="5"/>
        <v>-1966159.6369023155</v>
      </c>
    </row>
    <row r="60" spans="1:8" x14ac:dyDescent="0.25">
      <c r="A60" s="2" t="s">
        <v>1707</v>
      </c>
      <c r="B60" s="107">
        <f t="shared" si="2"/>
        <v>12218030.839156054</v>
      </c>
      <c r="C60" s="107">
        <f t="shared" si="2"/>
        <v>1087083.3329995547</v>
      </c>
      <c r="D60" s="9">
        <f t="shared" si="3"/>
        <v>7.0426540215703604E-2</v>
      </c>
      <c r="E60" s="9">
        <f t="shared" si="4"/>
        <v>0.32188346187583883</v>
      </c>
      <c r="F60" s="19">
        <f t="shared" si="5"/>
        <v>2975135.2348658908</v>
      </c>
    </row>
    <row r="61" spans="1:8" x14ac:dyDescent="0.25">
      <c r="A61" s="2" t="s">
        <v>1708</v>
      </c>
      <c r="B61" s="107">
        <f t="shared" si="2"/>
        <v>18618792.352053151</v>
      </c>
      <c r="C61" s="107">
        <f t="shared" si="2"/>
        <v>1499820.8212455553</v>
      </c>
      <c r="D61" s="9">
        <f t="shared" si="3"/>
        <v>0.10732147803616769</v>
      </c>
      <c r="E61" s="9">
        <f t="shared" si="4"/>
        <v>0.52387832353345254</v>
      </c>
      <c r="F61" s="19">
        <f t="shared" si="5"/>
        <v>6400761.5128970966</v>
      </c>
    </row>
    <row r="62" spans="1:8" x14ac:dyDescent="0.25">
      <c r="A62" s="2" t="s">
        <v>1709</v>
      </c>
      <c r="B62" s="107">
        <f t="shared" si="2"/>
        <v>13001667.402494773</v>
      </c>
      <c r="C62" s="107">
        <f t="shared" si="2"/>
        <v>813097.6409035516</v>
      </c>
      <c r="D62" s="9">
        <f t="shared" si="3"/>
        <v>7.4943537485476594E-2</v>
      </c>
      <c r="E62" s="9">
        <f t="shared" si="4"/>
        <v>-0.30169115393453327</v>
      </c>
      <c r="F62" s="19">
        <f t="shared" si="5"/>
        <v>-5617124.9495583773</v>
      </c>
    </row>
    <row r="63" spans="1:8" x14ac:dyDescent="0.25">
      <c r="A63" s="2" t="s">
        <v>1712</v>
      </c>
      <c r="B63" s="107">
        <f t="shared" si="2"/>
        <v>5022524.5346953562</v>
      </c>
      <c r="C63" s="107">
        <f t="shared" si="2"/>
        <v>178910.60211271653</v>
      </c>
      <c r="D63" s="9">
        <f t="shared" si="3"/>
        <v>2.8950575651969238E-2</v>
      </c>
      <c r="E63" s="9">
        <f t="shared" si="4"/>
        <v>-0.61370150618284325</v>
      </c>
      <c r="F63" s="19">
        <f t="shared" si="5"/>
        <v>-7979142.8677994171</v>
      </c>
    </row>
    <row r="64" spans="1:8" ht="30" x14ac:dyDescent="0.25">
      <c r="A64" s="108" t="s">
        <v>1713</v>
      </c>
      <c r="B64" s="107">
        <f t="shared" si="2"/>
        <v>1950118.8786127164</v>
      </c>
      <c r="C64" s="107">
        <f t="shared" si="2"/>
        <v>61570.006724385887</v>
      </c>
      <c r="D64" s="9">
        <f t="shared" si="3"/>
        <v>1.124077418350238E-2</v>
      </c>
      <c r="E64" s="9">
        <f t="shared" si="4"/>
        <v>-0.61172536537325217</v>
      </c>
      <c r="F64" s="19">
        <f t="shared" si="5"/>
        <v>-3072405.6560826395</v>
      </c>
    </row>
    <row r="65" spans="1:6" ht="30" x14ac:dyDescent="0.25">
      <c r="A65" s="108" t="s">
        <v>1714</v>
      </c>
      <c r="B65" s="107">
        <f t="shared" si="2"/>
        <v>7067</v>
      </c>
      <c r="C65" s="107">
        <f t="shared" si="2"/>
        <v>105.63258602368001</v>
      </c>
      <c r="D65" s="9">
        <f t="shared" si="3"/>
        <v>4.0735235182853385E-5</v>
      </c>
      <c r="E65" s="9">
        <f t="shared" si="4"/>
        <v>-0.99637611836001128</v>
      </c>
      <c r="F65" s="19">
        <f t="shared" si="5"/>
        <v>-1943051.8786127164</v>
      </c>
    </row>
    <row r="66" spans="1:6" x14ac:dyDescent="0.25">
      <c r="B66" s="19">
        <f>SUM(B49:B65)</f>
        <v>173486171.57302433</v>
      </c>
      <c r="C66" s="19">
        <f>SUM(C49:C65)</f>
        <v>16718787.425627468</v>
      </c>
    </row>
  </sheetData>
  <pageMargins left="0.7" right="0.7" top="0.75" bottom="0.75" header="0.3" footer="0.3"/>
  <pageSetup orientation="portrait" horizontalDpi="300" verticalDpi="300"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FF00"/>
  </sheetPr>
  <dimension ref="B2:T12"/>
  <sheetViews>
    <sheetView workbookViewId="0"/>
  </sheetViews>
  <sheetFormatPr defaultRowHeight="15" x14ac:dyDescent="0.25"/>
  <cols>
    <col min="3" max="3" width="22.42578125" bestFit="1" customWidth="1"/>
    <col min="18" max="18" width="21.28515625" bestFit="1" customWidth="1"/>
  </cols>
  <sheetData>
    <row r="2" spans="2:20" x14ac:dyDescent="0.25">
      <c r="I2" t="s">
        <v>1715</v>
      </c>
      <c r="J2" t="s">
        <v>1716</v>
      </c>
      <c r="K2" t="s">
        <v>1717</v>
      </c>
      <c r="R2" t="s">
        <v>1718</v>
      </c>
    </row>
    <row r="3" spans="2:20" x14ac:dyDescent="0.25">
      <c r="C3" s="23" t="s">
        <v>1719</v>
      </c>
      <c r="D3" t="s">
        <v>1720</v>
      </c>
      <c r="I3" s="9">
        <v>0.24953789279112754</v>
      </c>
      <c r="J3" s="9">
        <v>0.55268022181146026</v>
      </c>
      <c r="K3" s="9">
        <v>0.1977818853974122</v>
      </c>
    </row>
    <row r="4" spans="2:20" x14ac:dyDescent="0.25">
      <c r="B4" t="s">
        <v>1715</v>
      </c>
      <c r="C4" s="20">
        <f>I3</f>
        <v>0.24953789279112754</v>
      </c>
      <c r="D4" s="21">
        <v>0.27</v>
      </c>
    </row>
    <row r="5" spans="2:20" x14ac:dyDescent="0.25">
      <c r="B5" t="s">
        <v>1716</v>
      </c>
      <c r="C5" s="20">
        <f>J3</f>
        <v>0.55268022181146026</v>
      </c>
      <c r="D5" s="21">
        <v>0.5</v>
      </c>
    </row>
    <row r="6" spans="2:20" ht="15.75" thickBot="1" x14ac:dyDescent="0.3">
      <c r="B6" t="s">
        <v>1717</v>
      </c>
      <c r="C6" s="20">
        <f>K3</f>
        <v>0.1977818853974122</v>
      </c>
      <c r="D6" s="21">
        <v>0.23</v>
      </c>
      <c r="I6" s="9">
        <f>SUM(I3:J3)</f>
        <v>0.80221811460258774</v>
      </c>
      <c r="R6" s="64" t="s">
        <v>135</v>
      </c>
      <c r="S6" s="65" t="s">
        <v>1721</v>
      </c>
      <c r="T6" s="66" t="s">
        <v>1722</v>
      </c>
    </row>
    <row r="7" spans="2:20" ht="15.75" thickTop="1" x14ac:dyDescent="0.25">
      <c r="R7" s="67" t="s">
        <v>89</v>
      </c>
      <c r="S7" s="68">
        <v>64053.243584513431</v>
      </c>
      <c r="T7" s="69">
        <v>0.24371438509526799</v>
      </c>
    </row>
    <row r="8" spans="2:20" x14ac:dyDescent="0.25">
      <c r="C8" t="str">
        <f>IF(SUM(C4:C6)=1,"","CHECK %S ARE CORRECT")</f>
        <v/>
      </c>
      <c r="R8" s="67" t="s">
        <v>90</v>
      </c>
      <c r="S8" s="68">
        <v>48537.020597467737</v>
      </c>
      <c r="T8" s="69">
        <v>0.10921807362495825</v>
      </c>
    </row>
    <row r="9" spans="2:20" x14ac:dyDescent="0.25">
      <c r="R9" s="67" t="s">
        <v>121</v>
      </c>
      <c r="S9" s="68">
        <v>40202.149999366979</v>
      </c>
      <c r="T9" s="69">
        <v>5.2234578981215932E-2</v>
      </c>
    </row>
    <row r="10" spans="2:20" x14ac:dyDescent="0.25">
      <c r="R10" s="67" t="s">
        <v>64</v>
      </c>
      <c r="S10" s="68">
        <v>33393.015438240756</v>
      </c>
      <c r="T10" s="69">
        <v>2.2696128517355973E-2</v>
      </c>
    </row>
    <row r="11" spans="2:20" x14ac:dyDescent="0.25">
      <c r="R11" s="67" t="s">
        <v>81</v>
      </c>
      <c r="S11" s="68">
        <v>16537.449968545701</v>
      </c>
      <c r="T11" s="69">
        <v>8.0566738874468732E-2</v>
      </c>
    </row>
    <row r="12" spans="2:20" x14ac:dyDescent="0.25">
      <c r="R12" s="70" t="s">
        <v>1723</v>
      </c>
      <c r="S12" s="71">
        <v>37602.942517540992</v>
      </c>
      <c r="T12" s="99">
        <v>4.0896586188345505E-2</v>
      </c>
    </row>
  </sheetData>
  <conditionalFormatting sqref="C8">
    <cfRule type="expression" dxfId="11" priority="100">
      <formula>$C$8=$R$2</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C7EC8-8ABE-4E3C-A97B-EFDC85ED5931}">
  <sheetPr>
    <tabColor rgb="FF7030A0"/>
  </sheetPr>
  <dimension ref="A2:E27"/>
  <sheetViews>
    <sheetView zoomScale="55" zoomScaleNormal="55" workbookViewId="0">
      <selection activeCell="Q31" sqref="Q31"/>
    </sheetView>
  </sheetViews>
  <sheetFormatPr defaultRowHeight="15" x14ac:dyDescent="0.25"/>
  <cols>
    <col min="1" max="1" width="33.140625" bestFit="1" customWidth="1"/>
    <col min="2" max="2" width="25.5703125" bestFit="1" customWidth="1"/>
    <col min="3" max="3" width="10.42578125" bestFit="1" customWidth="1"/>
    <col min="4" max="5" width="11.42578125" bestFit="1" customWidth="1"/>
    <col min="6" max="6" width="10.42578125" bestFit="1" customWidth="1"/>
    <col min="7" max="7" width="11.42578125" bestFit="1" customWidth="1"/>
  </cols>
  <sheetData>
    <row r="2" spans="1:4" x14ac:dyDescent="0.25">
      <c r="A2" s="6" t="s">
        <v>1724</v>
      </c>
      <c r="B2" t="s">
        <v>1725</v>
      </c>
    </row>
    <row r="3" spans="1:4" x14ac:dyDescent="0.25">
      <c r="D3" t="s">
        <v>0</v>
      </c>
    </row>
    <row r="4" spans="1:4" x14ac:dyDescent="0.25">
      <c r="A4" s="6" t="s">
        <v>1630</v>
      </c>
      <c r="B4" t="s">
        <v>1726</v>
      </c>
      <c r="C4" t="s">
        <v>1727</v>
      </c>
      <c r="D4" t="s">
        <v>1728</v>
      </c>
    </row>
    <row r="5" spans="1:4" x14ac:dyDescent="0.25">
      <c r="A5" s="7" t="s">
        <v>1729</v>
      </c>
      <c r="B5" s="8">
        <v>38.396250038293459</v>
      </c>
      <c r="C5" s="1">
        <v>13868806.756974252</v>
      </c>
      <c r="D5" s="9">
        <v>0.82953948933621346</v>
      </c>
    </row>
    <row r="6" spans="1:4" x14ac:dyDescent="0.25">
      <c r="A6" s="7" t="s">
        <v>1730</v>
      </c>
      <c r="B6" s="8">
        <v>1.3115616861181822</v>
      </c>
      <c r="C6" s="1">
        <v>565735.00739213859</v>
      </c>
      <c r="D6" s="9">
        <v>3.3838493632171736E-2</v>
      </c>
    </row>
    <row r="7" spans="1:4" x14ac:dyDescent="0.25">
      <c r="A7" s="7" t="s">
        <v>1731</v>
      </c>
      <c r="B7" s="8">
        <v>1.4949988500826332</v>
      </c>
      <c r="C7" s="1">
        <v>511135.07417092909</v>
      </c>
      <c r="D7" s="9">
        <v>3.0572689910497056E-2</v>
      </c>
    </row>
    <row r="8" spans="1:4" x14ac:dyDescent="0.25">
      <c r="A8" s="7" t="s">
        <v>1732</v>
      </c>
      <c r="B8" s="8">
        <v>2.4695227781149085</v>
      </c>
      <c r="C8" s="1">
        <v>493320.2627705335</v>
      </c>
      <c r="D8" s="9">
        <v>2.9507126750618604E-2</v>
      </c>
    </row>
    <row r="9" spans="1:4" x14ac:dyDescent="0.25">
      <c r="A9" s="7" t="s">
        <v>1733</v>
      </c>
      <c r="B9" s="8">
        <v>1.6165312518555308</v>
      </c>
      <c r="C9" s="1">
        <v>448657.63081493392</v>
      </c>
      <c r="D9" s="9">
        <v>2.6835706090277502E-2</v>
      </c>
    </row>
    <row r="10" spans="1:4" x14ac:dyDescent="0.25">
      <c r="A10" s="7" t="s">
        <v>1734</v>
      </c>
      <c r="B10" s="8">
        <v>1.724806196302797</v>
      </c>
      <c r="C10" s="1">
        <v>399037.733440499</v>
      </c>
      <c r="D10" s="9">
        <v>2.3867774886808611E-2</v>
      </c>
    </row>
    <row r="11" spans="1:4" x14ac:dyDescent="0.25">
      <c r="A11" s="7" t="s">
        <v>1735</v>
      </c>
      <c r="B11" s="8">
        <v>0.71981977415465737</v>
      </c>
      <c r="C11" s="1">
        <v>279470.91405279847</v>
      </c>
      <c r="D11" s="9">
        <v>1.6716085485227565E-2</v>
      </c>
    </row>
    <row r="12" spans="1:4" x14ac:dyDescent="0.25">
      <c r="A12" s="7" t="s">
        <v>1736</v>
      </c>
      <c r="B12" s="8">
        <v>0.20557855171498482</v>
      </c>
      <c r="C12" s="1">
        <v>104725.35656469113</v>
      </c>
      <c r="D12" s="9">
        <v>6.2639721158087545E-3</v>
      </c>
    </row>
    <row r="13" spans="1:4" x14ac:dyDescent="0.25">
      <c r="A13" s="7" t="s">
        <v>1737</v>
      </c>
      <c r="B13" s="8">
        <v>0.18060808055741376</v>
      </c>
      <c r="C13" s="1">
        <v>47793.056860671109</v>
      </c>
      <c r="D13" s="9">
        <v>2.8586617923766727E-3</v>
      </c>
    </row>
    <row r="14" spans="1:4" x14ac:dyDescent="0.25">
      <c r="A14" s="7" t="s">
        <v>1639</v>
      </c>
      <c r="B14" s="8">
        <v>48.11967720719457</v>
      </c>
      <c r="C14" s="1">
        <v>16718681.793041447</v>
      </c>
      <c r="D14" s="9">
        <v>1</v>
      </c>
    </row>
    <row r="17" spans="1:5" x14ac:dyDescent="0.25">
      <c r="A17" s="140" t="s">
        <v>1630</v>
      </c>
      <c r="B17" s="140" t="s">
        <v>1738</v>
      </c>
      <c r="C17" s="140" t="s">
        <v>1739</v>
      </c>
      <c r="D17" s="140" t="s">
        <v>1740</v>
      </c>
      <c r="E17" s="140" t="s">
        <v>1741</v>
      </c>
    </row>
    <row r="18" spans="1:5" x14ac:dyDescent="0.25">
      <c r="A18" s="7" t="s">
        <v>1729</v>
      </c>
      <c r="B18" s="18">
        <v>2121.4963078634291</v>
      </c>
      <c r="C18" s="18">
        <v>0.96357345676895734</v>
      </c>
      <c r="D18" s="9">
        <v>8.271270175852341E-2</v>
      </c>
      <c r="E18" s="9">
        <v>0.5483504085419465</v>
      </c>
    </row>
    <row r="19" spans="1:5" x14ac:dyDescent="0.25">
      <c r="A19" s="7" t="s">
        <v>1734</v>
      </c>
      <c r="B19" s="18">
        <v>171.916598773846</v>
      </c>
      <c r="C19" s="18">
        <v>0.11154345458710228</v>
      </c>
      <c r="D19" s="9">
        <v>7.2805101874869313E-2</v>
      </c>
      <c r="E19" s="9">
        <v>0.34768442152163076</v>
      </c>
    </row>
    <row r="20" spans="1:5" x14ac:dyDescent="0.25">
      <c r="A20" s="7" t="s">
        <v>1733</v>
      </c>
      <c r="B20" s="18">
        <v>25.376232253682041</v>
      </c>
      <c r="C20" s="18">
        <v>0.41100000143051146</v>
      </c>
      <c r="D20" s="9">
        <v>0.2121212121212121</v>
      </c>
      <c r="E20" s="9">
        <v>0.2085858585858586</v>
      </c>
    </row>
    <row r="21" spans="1:5" x14ac:dyDescent="0.25">
      <c r="A21" s="7" t="s">
        <v>1730</v>
      </c>
      <c r="B21" s="18">
        <v>18.083079098198819</v>
      </c>
      <c r="C21" s="18">
        <v>0.23267759065159033</v>
      </c>
      <c r="D21" s="9">
        <v>8.1967213114754106E-2</v>
      </c>
      <c r="E21" s="9">
        <v>0.7051608986035216</v>
      </c>
    </row>
    <row r="22" spans="1:5" x14ac:dyDescent="0.25">
      <c r="A22" s="7" t="s">
        <v>1732</v>
      </c>
      <c r="B22" s="18">
        <v>12.013380057760571</v>
      </c>
      <c r="C22" s="18">
        <v>0.19499999284744263</v>
      </c>
      <c r="D22" s="9">
        <v>0.11627906976744186</v>
      </c>
      <c r="E22" s="9">
        <v>4.6511627906976737E-2</v>
      </c>
    </row>
    <row r="23" spans="1:5" x14ac:dyDescent="0.25">
      <c r="A23" s="7" t="s">
        <v>1735</v>
      </c>
      <c r="B23" s="18">
        <v>2.5138232159854605</v>
      </c>
      <c r="C23" s="18">
        <v>0.3125</v>
      </c>
      <c r="D23" s="9">
        <v>0.5</v>
      </c>
      <c r="E23" s="9">
        <v>0</v>
      </c>
    </row>
    <row r="24" spans="1:5" x14ac:dyDescent="0.25">
      <c r="A24" s="7" t="s">
        <v>1736</v>
      </c>
      <c r="B24" s="18">
        <v>2.1836269407524229</v>
      </c>
      <c r="C24" s="18">
        <v>4.8000000715255737</v>
      </c>
      <c r="D24" s="9">
        <v>0.83333333333333326</v>
      </c>
      <c r="E24" s="9">
        <v>1</v>
      </c>
    </row>
    <row r="25" spans="1:5" x14ac:dyDescent="0.25">
      <c r="A25" s="7" t="s">
        <v>1731</v>
      </c>
      <c r="B25" s="18">
        <v>1.6762855894549631</v>
      </c>
      <c r="C25" s="18">
        <v>0.33000001311302185</v>
      </c>
      <c r="D25" s="9">
        <v>0</v>
      </c>
      <c r="E25" s="9">
        <v>0.33333333333333331</v>
      </c>
    </row>
    <row r="26" spans="1:5" x14ac:dyDescent="0.25">
      <c r="A26" s="195" t="s">
        <v>1639</v>
      </c>
      <c r="B26" s="196">
        <v>2355.2593337931094</v>
      </c>
      <c r="C26" s="196">
        <v>0.75103040384326281</v>
      </c>
      <c r="D26" s="197">
        <v>0.18493135935064933</v>
      </c>
      <c r="E26" s="197">
        <v>0.4218035985866147</v>
      </c>
    </row>
    <row r="27" spans="1:5" ht="120" x14ac:dyDescent="0.25">
      <c r="B27" s="48" t="s">
        <v>1742</v>
      </c>
      <c r="C27" s="48" t="s">
        <v>1743</v>
      </c>
      <c r="D27" s="48" t="s">
        <v>1744</v>
      </c>
      <c r="E27" s="48" t="s">
        <v>1745</v>
      </c>
    </row>
  </sheetData>
  <pageMargins left="0.7" right="0.7" top="0.75" bottom="0.75" header="0.3" footer="0.3"/>
  <pageSetup paperSize="9" orientation="portrait"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7030A0"/>
  </sheetPr>
  <dimension ref="A3:E25"/>
  <sheetViews>
    <sheetView zoomScale="55" zoomScaleNormal="55" workbookViewId="0">
      <selection activeCell="M31" sqref="M31"/>
    </sheetView>
  </sheetViews>
  <sheetFormatPr defaultRowHeight="15" x14ac:dyDescent="0.25"/>
  <cols>
    <col min="1" max="1" width="33.140625" bestFit="1" customWidth="1"/>
    <col min="2" max="2" width="25.5703125" bestFit="1" customWidth="1"/>
    <col min="3" max="5" width="11.42578125" bestFit="1" customWidth="1"/>
  </cols>
  <sheetData>
    <row r="3" spans="1:4" x14ac:dyDescent="0.25">
      <c r="A3" s="6" t="s">
        <v>1724</v>
      </c>
      <c r="B3" t="s">
        <v>1725</v>
      </c>
    </row>
    <row r="5" spans="1:4" x14ac:dyDescent="0.25">
      <c r="A5" s="6" t="s">
        <v>1630</v>
      </c>
      <c r="B5" t="s">
        <v>1726</v>
      </c>
      <c r="C5" t="s">
        <v>1727</v>
      </c>
      <c r="D5" t="s">
        <v>1728</v>
      </c>
    </row>
    <row r="6" spans="1:4" x14ac:dyDescent="0.25">
      <c r="A6" s="7" t="s">
        <v>1729</v>
      </c>
      <c r="B6" s="8">
        <v>49.219021077110547</v>
      </c>
      <c r="C6" s="19">
        <v>20520669.207849946</v>
      </c>
      <c r="D6" s="16">
        <v>0.87506495860021316</v>
      </c>
    </row>
    <row r="7" spans="1:4" x14ac:dyDescent="0.25">
      <c r="A7" s="7" t="s">
        <v>1730</v>
      </c>
      <c r="B7" s="8">
        <v>3.0045318069502547</v>
      </c>
      <c r="C7" s="19">
        <v>1704588.812361317</v>
      </c>
      <c r="D7" s="16">
        <v>7.2688951973785429E-2</v>
      </c>
    </row>
    <row r="8" spans="1:4" x14ac:dyDescent="0.25">
      <c r="A8" s="7" t="s">
        <v>1734</v>
      </c>
      <c r="B8" s="8">
        <v>3.0565994652791399</v>
      </c>
      <c r="C8" s="19">
        <v>594468.67575718521</v>
      </c>
      <c r="D8" s="16">
        <v>2.5349987462474605E-2</v>
      </c>
    </row>
    <row r="9" spans="1:4" x14ac:dyDescent="0.25">
      <c r="A9" s="7" t="s">
        <v>1733</v>
      </c>
      <c r="B9" s="8">
        <v>1.1279726615962977</v>
      </c>
      <c r="C9" s="19">
        <v>274945.06396309088</v>
      </c>
      <c r="D9" s="16">
        <v>1.1724509984409198E-2</v>
      </c>
    </row>
    <row r="10" spans="1:4" x14ac:dyDescent="0.25">
      <c r="A10" s="7" t="s">
        <v>1735</v>
      </c>
      <c r="B10" s="8">
        <v>0.45611108303971504</v>
      </c>
      <c r="C10" s="19">
        <v>206091.93401612094</v>
      </c>
      <c r="D10" s="16">
        <v>8.788399046882266E-3</v>
      </c>
    </row>
    <row r="11" spans="1:4" x14ac:dyDescent="0.25">
      <c r="A11" s="7" t="s">
        <v>1746</v>
      </c>
      <c r="B11" s="8">
        <v>0.18746573162364055</v>
      </c>
      <c r="C11" s="19">
        <v>149688.76237693385</v>
      </c>
      <c r="D11" s="16">
        <v>6.3831929322354184E-3</v>
      </c>
    </row>
    <row r="12" spans="1:4" x14ac:dyDescent="0.25">
      <c r="A12" s="7" t="s">
        <v>1639</v>
      </c>
      <c r="B12" s="8">
        <v>57.051701825599608</v>
      </c>
      <c r="C12" s="19">
        <v>23450452.456324592</v>
      </c>
      <c r="D12" s="9">
        <v>1</v>
      </c>
    </row>
    <row r="17" spans="1:5" x14ac:dyDescent="0.25">
      <c r="A17" s="191" t="s">
        <v>1630</v>
      </c>
      <c r="B17" s="191" t="s">
        <v>1738</v>
      </c>
      <c r="C17" s="191" t="s">
        <v>1739</v>
      </c>
      <c r="D17" s="191" t="s">
        <v>1740</v>
      </c>
      <c r="E17" s="191" t="s">
        <v>1741</v>
      </c>
    </row>
    <row r="18" spans="1:5" x14ac:dyDescent="0.25">
      <c r="A18" s="192" t="s">
        <v>1729</v>
      </c>
      <c r="B18" s="193">
        <v>1683.0334304149781</v>
      </c>
      <c r="C18" s="193">
        <v>0.77940783179053452</v>
      </c>
      <c r="D18" s="194">
        <v>0.10244208658056642</v>
      </c>
      <c r="E18" s="194">
        <v>0.62701261609510939</v>
      </c>
    </row>
    <row r="19" spans="1:5" x14ac:dyDescent="0.25">
      <c r="A19" s="192" t="s">
        <v>1734</v>
      </c>
      <c r="B19" s="193">
        <v>99.534640386826595</v>
      </c>
      <c r="C19" s="193">
        <v>0.18499999741713205</v>
      </c>
      <c r="D19" s="194">
        <v>9.7916666666666652E-2</v>
      </c>
      <c r="E19" s="194">
        <v>0.28174119241192414</v>
      </c>
    </row>
    <row r="20" spans="1:5" x14ac:dyDescent="0.25">
      <c r="A20" s="192" t="s">
        <v>1733</v>
      </c>
      <c r="B20" s="193">
        <v>8.7290980273381997</v>
      </c>
      <c r="C20" s="193">
        <v>0.23000000417232513</v>
      </c>
      <c r="D20" s="194">
        <v>2.0408163265306121E-2</v>
      </c>
      <c r="E20" s="194">
        <v>0.40816326530612246</v>
      </c>
    </row>
    <row r="21" spans="1:5" x14ac:dyDescent="0.25">
      <c r="A21" s="192" t="s">
        <v>1730</v>
      </c>
      <c r="B21" s="193">
        <v>8.6808262802887359</v>
      </c>
      <c r="C21" s="193">
        <v>0.18749999484190574</v>
      </c>
      <c r="D21" s="194">
        <v>0.85897435897435903</v>
      </c>
      <c r="E21" s="194">
        <v>0.38461538461538464</v>
      </c>
    </row>
    <row r="22" spans="1:5" x14ac:dyDescent="0.25">
      <c r="A22" s="192" t="s">
        <v>1735</v>
      </c>
      <c r="B22" s="193">
        <v>3.0284625809132537</v>
      </c>
      <c r="C22" s="193">
        <v>0.31000000238418579</v>
      </c>
      <c r="D22" s="194">
        <v>0.41176470588235292</v>
      </c>
      <c r="E22" s="194">
        <v>0</v>
      </c>
    </row>
    <row r="23" spans="1:5" x14ac:dyDescent="0.25">
      <c r="A23" s="192" t="s">
        <v>1746</v>
      </c>
      <c r="B23" s="193">
        <v>1.2998826224687483</v>
      </c>
      <c r="C23" s="193">
        <v>3.6400001049041748</v>
      </c>
      <c r="D23" s="194">
        <v>0.66666666666666663</v>
      </c>
      <c r="E23" s="194">
        <v>0.66666666666666663</v>
      </c>
    </row>
    <row r="24" spans="1:5" x14ac:dyDescent="0.25">
      <c r="A24" s="192" t="s">
        <v>1639</v>
      </c>
      <c r="B24" s="193">
        <v>1804.3063403128135</v>
      </c>
      <c r="C24" s="193">
        <v>0.692849173257582</v>
      </c>
      <c r="D24" s="194">
        <v>0.27867297589737505</v>
      </c>
      <c r="E24" s="194">
        <v>0.44802671991652904</v>
      </c>
    </row>
    <row r="25" spans="1:5" ht="120" x14ac:dyDescent="0.25">
      <c r="B25" s="48" t="s">
        <v>1742</v>
      </c>
      <c r="C25" s="48" t="s">
        <v>1743</v>
      </c>
      <c r="D25" s="48" t="s">
        <v>1744</v>
      </c>
      <c r="E25" s="48" t="s">
        <v>1745</v>
      </c>
    </row>
  </sheetData>
  <pageMargins left="0.7" right="0.7" top="0.75" bottom="0.75" header="0.3" footer="0.3"/>
  <pageSetup paperSize="9" orientation="portrait"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0" tint="-0.499984740745262"/>
  </sheetPr>
  <dimension ref="A1:M29"/>
  <sheetViews>
    <sheetView workbookViewId="0"/>
  </sheetViews>
  <sheetFormatPr defaultRowHeight="15" x14ac:dyDescent="0.25"/>
  <cols>
    <col min="1" max="1" width="14.28515625" bestFit="1" customWidth="1"/>
    <col min="9" max="9" width="15.5703125" bestFit="1" customWidth="1"/>
    <col min="10" max="10" width="25.28515625" bestFit="1" customWidth="1"/>
    <col min="11" max="11" width="12.42578125" bestFit="1" customWidth="1"/>
    <col min="12" max="12" width="10.85546875" customWidth="1"/>
    <col min="13" max="13" width="11.140625" bestFit="1" customWidth="1"/>
  </cols>
  <sheetData>
    <row r="1" spans="1:13" x14ac:dyDescent="0.25">
      <c r="G1" s="16"/>
      <c r="H1" s="16"/>
    </row>
    <row r="2" spans="1:13" x14ac:dyDescent="0.25">
      <c r="G2" s="16"/>
      <c r="H2" s="16"/>
      <c r="I2" s="6" t="s">
        <v>1747</v>
      </c>
      <c r="J2" t="s">
        <v>1748</v>
      </c>
    </row>
    <row r="3" spans="1:13" x14ac:dyDescent="0.25">
      <c r="G3" s="16"/>
      <c r="H3" s="16"/>
    </row>
    <row r="4" spans="1:13" x14ac:dyDescent="0.25">
      <c r="A4" t="str">
        <f>I4</f>
        <v>Row Labels</v>
      </c>
      <c r="B4" s="8" t="str">
        <f>J4</f>
        <v>Sum of Total EXP (hh:mm:ss)</v>
      </c>
      <c r="C4" s="1" t="e">
        <f>(B4/#REF!)*3600</f>
        <v>#VALUE!</v>
      </c>
      <c r="D4" s="1" t="str">
        <f t="shared" ref="D4:F15" si="0">K4</f>
        <v>Sum of Gross</v>
      </c>
      <c r="E4" s="1" t="str">
        <f t="shared" si="0"/>
        <v>Sum of Net</v>
      </c>
      <c r="F4" s="9" t="str">
        <f t="shared" si="0"/>
        <v>Sum of Net2</v>
      </c>
      <c r="G4" s="16"/>
      <c r="H4" s="16"/>
      <c r="I4" s="6" t="s">
        <v>1630</v>
      </c>
      <c r="J4" t="s">
        <v>1726</v>
      </c>
      <c r="K4" t="s">
        <v>1749</v>
      </c>
      <c r="L4" t="s">
        <v>1727</v>
      </c>
      <c r="M4" t="s">
        <v>1728</v>
      </c>
    </row>
    <row r="5" spans="1:13" x14ac:dyDescent="0.25">
      <c r="A5" t="str">
        <f>I5</f>
        <v>US Open</v>
      </c>
      <c r="B5" s="8">
        <f>J5</f>
        <v>256.69244133842972</v>
      </c>
      <c r="C5" s="1" t="e">
        <f>(B5/#REF!)*3600</f>
        <v>#REF!</v>
      </c>
      <c r="D5" s="1">
        <f t="shared" si="0"/>
        <v>329271611.69342208</v>
      </c>
      <c r="E5" s="1">
        <f t="shared" si="0"/>
        <v>94744153.568307996</v>
      </c>
      <c r="F5" s="9">
        <f>M5</f>
        <v>0.13152699560737671</v>
      </c>
      <c r="H5" s="101"/>
      <c r="I5" s="7" t="s">
        <v>1750</v>
      </c>
      <c r="J5" s="8">
        <v>256.69244133842972</v>
      </c>
      <c r="K5" s="1">
        <v>329271611.69342208</v>
      </c>
      <c r="L5" s="1">
        <v>94744153.568307996</v>
      </c>
      <c r="M5" s="9">
        <v>0.13152699560737671</v>
      </c>
    </row>
    <row r="6" spans="1:13" x14ac:dyDescent="0.25">
      <c r="A6" t="str">
        <f t="shared" ref="A6:B15" si="1">I6</f>
        <v>Emirates</v>
      </c>
      <c r="B6" s="8">
        <f t="shared" si="1"/>
        <v>221.60004674332691</v>
      </c>
      <c r="C6" s="1" t="e">
        <f>(B6/#REF!)*3600</f>
        <v>#REF!</v>
      </c>
      <c r="D6" s="1">
        <f t="shared" si="0"/>
        <v>291645085.69575167</v>
      </c>
      <c r="E6" s="1">
        <f t="shared" si="0"/>
        <v>81781997.382332191</v>
      </c>
      <c r="F6" s="9">
        <f t="shared" si="0"/>
        <v>0.11353249784128709</v>
      </c>
      <c r="H6" s="101"/>
      <c r="I6" s="7" t="s">
        <v>1751</v>
      </c>
      <c r="J6" s="8">
        <v>221.60004674332691</v>
      </c>
      <c r="K6" s="1">
        <v>291645085.69575167</v>
      </c>
      <c r="L6" s="1">
        <v>81781997.382332191</v>
      </c>
      <c r="M6" s="9">
        <v>0.11353249784128709</v>
      </c>
    </row>
    <row r="7" spans="1:13" x14ac:dyDescent="0.25">
      <c r="A7" t="str">
        <f t="shared" si="1"/>
        <v>Mercedes Benz</v>
      </c>
      <c r="B7" s="8">
        <f t="shared" si="1"/>
        <v>208.19450412779668</v>
      </c>
      <c r="C7" s="1" t="e">
        <f>(B7/#REF!)*3600</f>
        <v>#REF!</v>
      </c>
      <c r="D7" s="1">
        <f t="shared" si="0"/>
        <v>268781400.6635834</v>
      </c>
      <c r="E7" s="1">
        <f t="shared" si="0"/>
        <v>95499944.877221748</v>
      </c>
      <c r="F7" s="9">
        <f t="shared" si="0"/>
        <v>0.13257621032325809</v>
      </c>
      <c r="H7" s="101"/>
      <c r="I7" s="7" t="s">
        <v>1752</v>
      </c>
      <c r="J7" s="8">
        <v>208.19450412779668</v>
      </c>
      <c r="K7" s="1">
        <v>268781400.6635834</v>
      </c>
      <c r="L7" s="1">
        <v>95499944.877221748</v>
      </c>
      <c r="M7" s="9">
        <v>0.13257621032325809</v>
      </c>
    </row>
    <row r="8" spans="1:13" x14ac:dyDescent="0.25">
      <c r="A8" t="str">
        <f t="shared" si="1"/>
        <v>American Express</v>
      </c>
      <c r="B8" s="8">
        <f t="shared" si="1"/>
        <v>200.13744595924922</v>
      </c>
      <c r="C8" s="1" t="e">
        <f>(B8/#REF!)*3600</f>
        <v>#REF!</v>
      </c>
      <c r="D8" s="1">
        <f t="shared" si="0"/>
        <v>263742168.32380286</v>
      </c>
      <c r="E8" s="1">
        <f t="shared" si="0"/>
        <v>70206244.587848872</v>
      </c>
      <c r="F8" s="9">
        <f t="shared" si="0"/>
        <v>9.7462651527716021E-2</v>
      </c>
      <c r="H8" s="101"/>
      <c r="I8" s="7" t="s">
        <v>1753</v>
      </c>
      <c r="J8" s="8">
        <v>200.13744595924922</v>
      </c>
      <c r="K8" s="1">
        <v>263742168.32380286</v>
      </c>
      <c r="L8" s="1">
        <v>70206244.587848872</v>
      </c>
      <c r="M8" s="9">
        <v>9.7462651527716021E-2</v>
      </c>
    </row>
    <row r="9" spans="1:13" x14ac:dyDescent="0.25">
      <c r="A9" t="str">
        <f t="shared" si="1"/>
        <v>JP Morgan</v>
      </c>
      <c r="B9" s="8">
        <f t="shared" si="1"/>
        <v>187.04218218983203</v>
      </c>
      <c r="C9" s="1" t="e">
        <f>(B9/#REF!)*3600</f>
        <v>#REF!</v>
      </c>
      <c r="D9" s="1">
        <f t="shared" si="0"/>
        <v>256077312.24650329</v>
      </c>
      <c r="E9" s="1">
        <f t="shared" si="0"/>
        <v>75365961.464891151</v>
      </c>
      <c r="F9" s="9">
        <f t="shared" si="0"/>
        <v>0.10462554267680169</v>
      </c>
      <c r="H9" s="101"/>
      <c r="I9" s="7" t="s">
        <v>1754</v>
      </c>
      <c r="J9" s="8">
        <v>187.04218218983203</v>
      </c>
      <c r="K9" s="1">
        <v>256077312.24650329</v>
      </c>
      <c r="L9" s="1">
        <v>75365961.464891151</v>
      </c>
      <c r="M9" s="9">
        <v>0.10462554267680169</v>
      </c>
    </row>
    <row r="10" spans="1:13" x14ac:dyDescent="0.25">
      <c r="A10" t="str">
        <f t="shared" si="1"/>
        <v>IBM</v>
      </c>
      <c r="B10" s="8">
        <f t="shared" si="1"/>
        <v>176.03197213797256</v>
      </c>
      <c r="C10" s="1" t="e">
        <f>(B10/#REF!)*3600</f>
        <v>#REF!</v>
      </c>
      <c r="D10" s="1">
        <f t="shared" si="0"/>
        <v>234622528.25933063</v>
      </c>
      <c r="E10" s="1">
        <f t="shared" si="0"/>
        <v>51306293.644432589</v>
      </c>
      <c r="F10" s="9">
        <f t="shared" si="0"/>
        <v>7.1225108934419065E-2</v>
      </c>
      <c r="H10" s="101"/>
      <c r="I10" s="7" t="s">
        <v>1755</v>
      </c>
      <c r="J10" s="8">
        <v>176.03197213797256</v>
      </c>
      <c r="K10" s="1">
        <v>234622528.25933063</v>
      </c>
      <c r="L10" s="1">
        <v>51306293.644432589</v>
      </c>
      <c r="M10" s="9">
        <v>7.1225108934419065E-2</v>
      </c>
    </row>
    <row r="11" spans="1:13" x14ac:dyDescent="0.25">
      <c r="A11" t="str">
        <f t="shared" si="1"/>
        <v>Ralph Lauren</v>
      </c>
      <c r="B11" s="8">
        <f t="shared" si="1"/>
        <v>150.92281146678309</v>
      </c>
      <c r="C11" s="1" t="e">
        <f>(B11/#REF!)*3600</f>
        <v>#REF!</v>
      </c>
      <c r="D11" s="1">
        <f t="shared" si="0"/>
        <v>201447013.77464855</v>
      </c>
      <c r="E11" s="1">
        <f t="shared" si="0"/>
        <v>44815851.208271347</v>
      </c>
      <c r="F11" s="9">
        <f t="shared" si="0"/>
        <v>6.2214860157691752E-2</v>
      </c>
      <c r="H11" s="101"/>
      <c r="I11" s="7" t="s">
        <v>1756</v>
      </c>
      <c r="J11" s="8">
        <v>150.92281146678309</v>
      </c>
      <c r="K11" s="1">
        <v>201447013.77464855</v>
      </c>
      <c r="L11" s="1">
        <v>44815851.208271347</v>
      </c>
      <c r="M11" s="9">
        <v>6.2214860157691752E-2</v>
      </c>
    </row>
    <row r="12" spans="1:13" x14ac:dyDescent="0.25">
      <c r="A12" t="str">
        <f t="shared" si="1"/>
        <v>Chase</v>
      </c>
      <c r="B12" s="8">
        <f t="shared" si="1"/>
        <v>128.65819316464655</v>
      </c>
      <c r="C12" s="1" t="e">
        <f>(B12/#REF!)*3600</f>
        <v>#REF!</v>
      </c>
      <c r="D12" s="1">
        <f t="shared" si="0"/>
        <v>149383300.63499275</v>
      </c>
      <c r="E12" s="1">
        <f t="shared" si="0"/>
        <v>42193951.908904865</v>
      </c>
      <c r="F12" s="9">
        <f t="shared" si="0"/>
        <v>5.8575052057214805E-2</v>
      </c>
      <c r="H12" s="101"/>
      <c r="I12" s="7" t="s">
        <v>1757</v>
      </c>
      <c r="J12" s="8">
        <v>128.65819316464655</v>
      </c>
      <c r="K12" s="1">
        <v>149383300.63499275</v>
      </c>
      <c r="L12" s="1">
        <v>42193951.908904865</v>
      </c>
      <c r="M12" s="9">
        <v>5.8575052057214805E-2</v>
      </c>
    </row>
    <row r="13" spans="1:13" x14ac:dyDescent="0.25">
      <c r="A13" t="str">
        <f t="shared" si="1"/>
        <v>Chubb</v>
      </c>
      <c r="B13" s="8">
        <f t="shared" si="1"/>
        <v>114.67740416488446</v>
      </c>
      <c r="C13" s="1" t="e">
        <f>(B13/#REF!)*3600</f>
        <v>#REF!</v>
      </c>
      <c r="D13" s="1">
        <f t="shared" si="0"/>
        <v>157302496.86898819</v>
      </c>
      <c r="E13" s="1">
        <f t="shared" si="0"/>
        <v>35513738.053264663</v>
      </c>
      <c r="F13" s="9">
        <f t="shared" si="0"/>
        <v>4.930135626327161E-2</v>
      </c>
      <c r="H13" s="101"/>
      <c r="I13" s="7" t="s">
        <v>1758</v>
      </c>
      <c r="J13" s="8">
        <v>114.67740416488446</v>
      </c>
      <c r="K13" s="1">
        <v>157302496.86898819</v>
      </c>
      <c r="L13" s="1">
        <v>35513738.053264663</v>
      </c>
      <c r="M13" s="9">
        <v>4.930135626327161E-2</v>
      </c>
    </row>
    <row r="14" spans="1:13" x14ac:dyDescent="0.25">
      <c r="A14" t="str">
        <f t="shared" si="1"/>
        <v>IHG</v>
      </c>
      <c r="B14" s="8">
        <f t="shared" si="1"/>
        <v>81.759688673054839</v>
      </c>
      <c r="C14" s="1" t="e">
        <f>(B14/#REF!)*3600</f>
        <v>#REF!</v>
      </c>
      <c r="D14" s="1">
        <f t="shared" si="0"/>
        <v>105052857.76668262</v>
      </c>
      <c r="E14" s="1">
        <f t="shared" si="0"/>
        <v>22896629.35476236</v>
      </c>
      <c r="F14" s="9">
        <f t="shared" si="0"/>
        <v>3.1785864933569045E-2</v>
      </c>
      <c r="H14" s="101"/>
      <c r="I14" s="7" t="s">
        <v>1759</v>
      </c>
      <c r="J14" s="8">
        <v>81.759688673054839</v>
      </c>
      <c r="K14" s="1">
        <v>105052857.76668262</v>
      </c>
      <c r="L14" s="1">
        <v>22896629.35476236</v>
      </c>
      <c r="M14" s="9">
        <v>3.1785864933569045E-2</v>
      </c>
    </row>
    <row r="15" spans="1:13" x14ac:dyDescent="0.25">
      <c r="A15" t="str">
        <f t="shared" si="1"/>
        <v>usopen.org</v>
      </c>
      <c r="B15" s="8">
        <f t="shared" si="1"/>
        <v>74.984479182253196</v>
      </c>
      <c r="C15" s="1" t="e">
        <f>(B15/#REF!)*3600</f>
        <v>#REF!</v>
      </c>
      <c r="D15" s="1">
        <f t="shared" si="0"/>
        <v>87558237.287302658</v>
      </c>
      <c r="E15" s="1">
        <f t="shared" si="0"/>
        <v>18411296.736415334</v>
      </c>
      <c r="F15" s="9">
        <f t="shared" si="0"/>
        <v>2.5559176516688313E-2</v>
      </c>
      <c r="I15" s="7" t="s">
        <v>1760</v>
      </c>
      <c r="J15" s="8">
        <v>74.984479182253196</v>
      </c>
      <c r="K15" s="1">
        <v>87558237.287302658</v>
      </c>
      <c r="L15" s="1">
        <v>18411296.736415334</v>
      </c>
      <c r="M15" s="9">
        <v>2.5559176516688313E-2</v>
      </c>
    </row>
    <row r="16" spans="1:13" x14ac:dyDescent="0.25">
      <c r="I16" s="7" t="s">
        <v>1761</v>
      </c>
      <c r="J16" s="8">
        <v>66.921512939191942</v>
      </c>
      <c r="K16" s="1">
        <v>94484222.057834074</v>
      </c>
      <c r="L16" s="1">
        <v>19591308.832687963</v>
      </c>
      <c r="M16" s="9">
        <v>2.7197308685880196E-2</v>
      </c>
    </row>
    <row r="17" spans="1:13" x14ac:dyDescent="0.25">
      <c r="I17" s="7" t="s">
        <v>1762</v>
      </c>
      <c r="J17" s="8">
        <v>60.491709898706802</v>
      </c>
      <c r="K17" s="1">
        <v>86225347.766432852</v>
      </c>
      <c r="L17" s="1">
        <v>18472765.305495765</v>
      </c>
      <c r="M17" s="9">
        <v>2.5644509235499345E-2</v>
      </c>
    </row>
    <row r="18" spans="1:13" x14ac:dyDescent="0.25">
      <c r="I18" s="7" t="s">
        <v>1763</v>
      </c>
      <c r="J18" s="8">
        <v>56.759096269716778</v>
      </c>
      <c r="K18" s="1">
        <v>77043343.03889747</v>
      </c>
      <c r="L18" s="1">
        <v>16218870.2046373</v>
      </c>
      <c r="M18" s="9">
        <v>2.2515576843735792E-2</v>
      </c>
    </row>
    <row r="19" spans="1:13" x14ac:dyDescent="0.25">
      <c r="I19" s="7" t="s">
        <v>1725</v>
      </c>
      <c r="J19" s="8">
        <v>47.399857433039919</v>
      </c>
      <c r="K19" s="1">
        <v>58014941.822398059</v>
      </c>
      <c r="L19" s="1">
        <v>16439210.878988648</v>
      </c>
      <c r="M19" s="9">
        <v>2.2821461120665257E-2</v>
      </c>
    </row>
    <row r="20" spans="1:13" x14ac:dyDescent="0.25">
      <c r="A20" t="s">
        <v>1764</v>
      </c>
      <c r="B20" s="1">
        <v>546.75257158192233</v>
      </c>
      <c r="I20" s="7" t="s">
        <v>183</v>
      </c>
      <c r="J20" s="8">
        <v>28.581147109454371</v>
      </c>
      <c r="K20" s="1">
        <v>31089614.617880113</v>
      </c>
      <c r="L20" s="1">
        <v>9432421.5591549519</v>
      </c>
      <c r="M20" s="9">
        <v>1.3094402369465958E-2</v>
      </c>
    </row>
    <row r="21" spans="1:13" x14ac:dyDescent="0.25">
      <c r="A21" t="s">
        <v>1765</v>
      </c>
      <c r="B21" s="1">
        <v>277.58049710858273</v>
      </c>
      <c r="I21" s="7" t="s">
        <v>1766</v>
      </c>
      <c r="J21" s="8">
        <v>10.167365543454022</v>
      </c>
      <c r="K21" s="1">
        <v>11466068.92797989</v>
      </c>
      <c r="L21" s="1">
        <v>3580427.6511423029</v>
      </c>
      <c r="M21" s="9">
        <v>4.970469144619051E-3</v>
      </c>
    </row>
    <row r="22" spans="1:13" x14ac:dyDescent="0.25">
      <c r="A22" t="s">
        <v>1767</v>
      </c>
      <c r="B22" s="1">
        <v>250.31172686360006</v>
      </c>
      <c r="I22" s="7" t="s">
        <v>1768</v>
      </c>
      <c r="J22" s="8">
        <v>7.4510901582715761</v>
      </c>
      <c r="K22" s="1">
        <v>9438515.722572891</v>
      </c>
      <c r="L22" s="1">
        <v>2232868.8257131372</v>
      </c>
      <c r="M22" s="9">
        <v>3.0997430149574661E-3</v>
      </c>
    </row>
    <row r="23" spans="1:13" x14ac:dyDescent="0.25">
      <c r="A23" t="s">
        <v>1769</v>
      </c>
      <c r="B23" s="1">
        <v>230.81723079893396</v>
      </c>
      <c r="I23" s="7" t="s">
        <v>1770</v>
      </c>
      <c r="J23" s="8">
        <v>4.7593977391786879</v>
      </c>
      <c r="K23" s="1">
        <v>5642353.7030179491</v>
      </c>
      <c r="L23" s="1">
        <v>1182031.2605677415</v>
      </c>
      <c r="M23" s="9">
        <v>1.6409352404461168E-3</v>
      </c>
    </row>
    <row r="24" spans="1:13" x14ac:dyDescent="0.25">
      <c r="A24" t="s">
        <v>1725</v>
      </c>
      <c r="B24" s="1">
        <v>138.35666754226162</v>
      </c>
      <c r="I24" s="7" t="s">
        <v>1771</v>
      </c>
      <c r="J24" s="8">
        <v>1.7456264524419078</v>
      </c>
      <c r="K24" s="1">
        <v>2326542.6795211327</v>
      </c>
      <c r="L24" s="1">
        <v>454014.08653772378</v>
      </c>
      <c r="M24" s="9">
        <v>6.3027750543658988E-4</v>
      </c>
    </row>
    <row r="25" spans="1:13" x14ac:dyDescent="0.25">
      <c r="A25" t="s">
        <v>1751</v>
      </c>
      <c r="B25" s="1">
        <v>110.29017837597193</v>
      </c>
      <c r="I25" s="7" t="s">
        <v>1639</v>
      </c>
      <c r="J25" s="8">
        <v>2084.9779726916854</v>
      </c>
      <c r="K25" s="1">
        <v>2720614963.5515432</v>
      </c>
      <c r="L25" s="1">
        <v>720339981.39157867</v>
      </c>
      <c r="M25" s="9">
        <v>1</v>
      </c>
    </row>
    <row r="26" spans="1:13" x14ac:dyDescent="0.25">
      <c r="A26" t="s">
        <v>1772</v>
      </c>
      <c r="B26" s="1">
        <v>102.14158149694491</v>
      </c>
    </row>
    <row r="27" spans="1:13" x14ac:dyDescent="0.25">
      <c r="A27" t="s">
        <v>1773</v>
      </c>
      <c r="B27" s="1">
        <v>65.660738007467771</v>
      </c>
    </row>
    <row r="28" spans="1:13" x14ac:dyDescent="0.25">
      <c r="A28" t="s">
        <v>1774</v>
      </c>
      <c r="B28" s="1">
        <v>21.645341320239829</v>
      </c>
    </row>
    <row r="29" spans="1:13" x14ac:dyDescent="0.25">
      <c r="A29" t="s">
        <v>1775</v>
      </c>
      <c r="B29" s="1">
        <v>0.12335701033644866</v>
      </c>
    </row>
  </sheetData>
  <conditionalFormatting sqref="A4:F15">
    <cfRule type="expression" dxfId="10" priority="1">
      <formula>$A4=$R$3</formula>
    </cfRule>
    <cfRule type="expression" dxfId="9" priority="2">
      <formula>$A4=$R$1</formula>
    </cfRule>
    <cfRule type="expression" dxfId="8" priority="3">
      <formula>$A4=$R$2</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0" tint="-0.499984740745262"/>
  </sheetPr>
  <dimension ref="A1:M25"/>
  <sheetViews>
    <sheetView workbookViewId="0"/>
  </sheetViews>
  <sheetFormatPr defaultRowHeight="15" x14ac:dyDescent="0.25"/>
  <cols>
    <col min="1" max="1" width="14.28515625" bestFit="1" customWidth="1"/>
    <col min="9" max="9" width="15.5703125" bestFit="1" customWidth="1"/>
    <col min="10" max="10" width="25.28515625" bestFit="1" customWidth="1"/>
    <col min="11" max="11" width="12.42578125" bestFit="1" customWidth="1"/>
    <col min="12" max="12" width="10.85546875" customWidth="1"/>
    <col min="13" max="13" width="11.140625" bestFit="1" customWidth="1"/>
  </cols>
  <sheetData>
    <row r="1" spans="1:13" x14ac:dyDescent="0.25">
      <c r="G1" s="16"/>
      <c r="H1" s="16"/>
      <c r="I1" s="6" t="s">
        <v>1747</v>
      </c>
      <c r="J1" t="s">
        <v>1748</v>
      </c>
    </row>
    <row r="2" spans="1:13" x14ac:dyDescent="0.25">
      <c r="G2" s="16"/>
      <c r="H2" s="16"/>
    </row>
    <row r="3" spans="1:13" x14ac:dyDescent="0.25">
      <c r="A3" t="str">
        <f>I3</f>
        <v>Row Labels</v>
      </c>
      <c r="B3" s="8" t="str">
        <f>J3</f>
        <v>Sum of Total EXP (hh:mm:ss)</v>
      </c>
      <c r="C3" s="1" t="e">
        <f>(B3/#REF!)*3600</f>
        <v>#VALUE!</v>
      </c>
      <c r="D3" s="1" t="str">
        <f t="shared" ref="D3:F13" si="0">K3</f>
        <v>Sum of Gross</v>
      </c>
      <c r="E3" s="1" t="str">
        <f t="shared" si="0"/>
        <v>Sum of Net</v>
      </c>
      <c r="F3" s="9" t="str">
        <f t="shared" si="0"/>
        <v>Sum of Net2</v>
      </c>
      <c r="G3" s="16"/>
      <c r="H3" s="16"/>
      <c r="I3" s="6" t="s">
        <v>1630</v>
      </c>
      <c r="J3" t="s">
        <v>1726</v>
      </c>
      <c r="K3" t="s">
        <v>1749</v>
      </c>
      <c r="L3" t="s">
        <v>1727</v>
      </c>
      <c r="M3" t="s">
        <v>1728</v>
      </c>
    </row>
    <row r="4" spans="1:13" x14ac:dyDescent="0.25">
      <c r="A4" t="str">
        <f>I4</f>
        <v>US Open</v>
      </c>
      <c r="B4" s="8">
        <f>J4</f>
        <v>256.69244133842972</v>
      </c>
      <c r="C4" s="1" t="e">
        <f>(B4/#REF!)*3600</f>
        <v>#REF!</v>
      </c>
      <c r="D4" s="1">
        <f t="shared" si="0"/>
        <v>329271611.69342208</v>
      </c>
      <c r="E4" s="1">
        <f t="shared" si="0"/>
        <v>94744153.568307996</v>
      </c>
      <c r="F4" s="9">
        <f>M4</f>
        <v>0.13152699560737671</v>
      </c>
      <c r="H4" s="101"/>
      <c r="I4" s="7" t="s">
        <v>1750</v>
      </c>
      <c r="J4" s="8">
        <v>256.69244133842972</v>
      </c>
      <c r="K4" s="1">
        <v>329271611.69342208</v>
      </c>
      <c r="L4" s="1">
        <v>94744153.568307996</v>
      </c>
      <c r="M4" s="9">
        <v>0.13152699560737671</v>
      </c>
    </row>
    <row r="5" spans="1:13" x14ac:dyDescent="0.25">
      <c r="A5" t="str">
        <f t="shared" ref="A5:B13" si="1">I5</f>
        <v>Emirates</v>
      </c>
      <c r="B5" s="8">
        <f t="shared" si="1"/>
        <v>221.60004674332691</v>
      </c>
      <c r="C5" s="1" t="e">
        <f>(B5/#REF!)*3600</f>
        <v>#REF!</v>
      </c>
      <c r="D5" s="1">
        <f t="shared" si="0"/>
        <v>291645085.69575167</v>
      </c>
      <c r="E5" s="1">
        <f t="shared" si="0"/>
        <v>81781997.382332191</v>
      </c>
      <c r="F5" s="9">
        <f t="shared" si="0"/>
        <v>0.11353249784128709</v>
      </c>
      <c r="H5" s="101"/>
      <c r="I5" s="7" t="s">
        <v>1751</v>
      </c>
      <c r="J5" s="8">
        <v>221.60004674332691</v>
      </c>
      <c r="K5" s="1">
        <v>291645085.69575167</v>
      </c>
      <c r="L5" s="1">
        <v>81781997.382332191</v>
      </c>
      <c r="M5" s="9">
        <v>0.11353249784128709</v>
      </c>
    </row>
    <row r="6" spans="1:13" x14ac:dyDescent="0.25">
      <c r="A6" t="str">
        <f t="shared" si="1"/>
        <v>Mercedes Benz</v>
      </c>
      <c r="B6" s="8">
        <f t="shared" si="1"/>
        <v>208.19450412779668</v>
      </c>
      <c r="C6" s="1" t="e">
        <f>(B6/#REF!)*3600</f>
        <v>#REF!</v>
      </c>
      <c r="D6" s="1">
        <f t="shared" si="0"/>
        <v>268781400.6635834</v>
      </c>
      <c r="E6" s="1">
        <f t="shared" si="0"/>
        <v>95499944.877221748</v>
      </c>
      <c r="F6" s="9">
        <f t="shared" si="0"/>
        <v>0.13257621032325809</v>
      </c>
      <c r="H6" s="101"/>
      <c r="I6" s="7" t="s">
        <v>1752</v>
      </c>
      <c r="J6" s="8">
        <v>208.19450412779668</v>
      </c>
      <c r="K6" s="1">
        <v>268781400.6635834</v>
      </c>
      <c r="L6" s="1">
        <v>95499944.877221748</v>
      </c>
      <c r="M6" s="9">
        <v>0.13257621032325809</v>
      </c>
    </row>
    <row r="7" spans="1:13" x14ac:dyDescent="0.25">
      <c r="A7" t="str">
        <f t="shared" si="1"/>
        <v>American Express</v>
      </c>
      <c r="B7" s="8">
        <f t="shared" si="1"/>
        <v>200.13744595924922</v>
      </c>
      <c r="C7" s="1" t="e">
        <f>(B7/#REF!)*3600</f>
        <v>#REF!</v>
      </c>
      <c r="D7" s="1">
        <f t="shared" si="0"/>
        <v>263742168.32380286</v>
      </c>
      <c r="E7" s="1">
        <f t="shared" si="0"/>
        <v>70206244.587848872</v>
      </c>
      <c r="F7" s="9">
        <f t="shared" si="0"/>
        <v>9.7462651527716021E-2</v>
      </c>
      <c r="H7" s="101"/>
      <c r="I7" s="7" t="s">
        <v>1753</v>
      </c>
      <c r="J7" s="8">
        <v>200.13744595924922</v>
      </c>
      <c r="K7" s="1">
        <v>263742168.32380286</v>
      </c>
      <c r="L7" s="1">
        <v>70206244.587848872</v>
      </c>
      <c r="M7" s="9">
        <v>9.7462651527716021E-2</v>
      </c>
    </row>
    <row r="8" spans="1:13" x14ac:dyDescent="0.25">
      <c r="A8" t="str">
        <f t="shared" si="1"/>
        <v>JP Morgan</v>
      </c>
      <c r="B8" s="8">
        <f t="shared" si="1"/>
        <v>187.04218218983203</v>
      </c>
      <c r="C8" s="1" t="e">
        <f>(B8/#REF!)*3600</f>
        <v>#REF!</v>
      </c>
      <c r="D8" s="1">
        <f t="shared" si="0"/>
        <v>256077312.24650329</v>
      </c>
      <c r="E8" s="1">
        <f t="shared" si="0"/>
        <v>75365961.464891151</v>
      </c>
      <c r="F8" s="9">
        <f t="shared" si="0"/>
        <v>0.10462554267680169</v>
      </c>
      <c r="H8" s="101"/>
      <c r="I8" s="7" t="s">
        <v>1754</v>
      </c>
      <c r="J8" s="8">
        <v>187.04218218983203</v>
      </c>
      <c r="K8" s="1">
        <v>256077312.24650329</v>
      </c>
      <c r="L8" s="1">
        <v>75365961.464891151</v>
      </c>
      <c r="M8" s="9">
        <v>0.10462554267680169</v>
      </c>
    </row>
    <row r="9" spans="1:13" x14ac:dyDescent="0.25">
      <c r="A9" t="str">
        <f t="shared" si="1"/>
        <v>IBM</v>
      </c>
      <c r="B9" s="8">
        <f t="shared" si="1"/>
        <v>176.03197213797256</v>
      </c>
      <c r="C9" s="1" t="e">
        <f>(B9/#REF!)*3600</f>
        <v>#REF!</v>
      </c>
      <c r="D9" s="1">
        <f t="shared" si="0"/>
        <v>234622528.25933063</v>
      </c>
      <c r="E9" s="1">
        <f t="shared" si="0"/>
        <v>51306293.644432589</v>
      </c>
      <c r="F9" s="9">
        <f t="shared" si="0"/>
        <v>7.1225108934419065E-2</v>
      </c>
      <c r="H9" s="101"/>
      <c r="I9" s="7" t="s">
        <v>1755</v>
      </c>
      <c r="J9" s="8">
        <v>176.03197213797256</v>
      </c>
      <c r="K9" s="1">
        <v>234622528.25933063</v>
      </c>
      <c r="L9" s="1">
        <v>51306293.644432589</v>
      </c>
      <c r="M9" s="9">
        <v>7.1225108934419065E-2</v>
      </c>
    </row>
    <row r="10" spans="1:13" x14ac:dyDescent="0.25">
      <c r="A10" t="str">
        <f t="shared" si="1"/>
        <v>Ralph Lauren</v>
      </c>
      <c r="B10" s="8">
        <f t="shared" si="1"/>
        <v>150.92281146678309</v>
      </c>
      <c r="C10" s="1" t="e">
        <f>(B10/#REF!)*3600</f>
        <v>#REF!</v>
      </c>
      <c r="D10" s="1">
        <f t="shared" si="0"/>
        <v>201447013.77464855</v>
      </c>
      <c r="E10" s="1">
        <f t="shared" si="0"/>
        <v>44815851.208271347</v>
      </c>
      <c r="F10" s="9">
        <f t="shared" si="0"/>
        <v>6.2214860157691752E-2</v>
      </c>
      <c r="H10" s="101"/>
      <c r="I10" s="7" t="s">
        <v>1756</v>
      </c>
      <c r="J10" s="8">
        <v>150.92281146678309</v>
      </c>
      <c r="K10" s="1">
        <v>201447013.77464855</v>
      </c>
      <c r="L10" s="1">
        <v>44815851.208271347</v>
      </c>
      <c r="M10" s="9">
        <v>6.2214860157691752E-2</v>
      </c>
    </row>
    <row r="11" spans="1:13" x14ac:dyDescent="0.25">
      <c r="A11" t="str">
        <f t="shared" si="1"/>
        <v>Chase</v>
      </c>
      <c r="B11" s="8">
        <f t="shared" si="1"/>
        <v>128.65819316464655</v>
      </c>
      <c r="C11" s="1" t="e">
        <f>(B11/#REF!)*3600</f>
        <v>#REF!</v>
      </c>
      <c r="D11" s="1">
        <f t="shared" si="0"/>
        <v>149383300.63499275</v>
      </c>
      <c r="E11" s="1">
        <f t="shared" si="0"/>
        <v>42193951.908904865</v>
      </c>
      <c r="F11" s="9">
        <f t="shared" si="0"/>
        <v>5.8575052057214805E-2</v>
      </c>
      <c r="H11" s="101"/>
      <c r="I11" s="7" t="s">
        <v>1757</v>
      </c>
      <c r="J11" s="8">
        <v>128.65819316464655</v>
      </c>
      <c r="K11" s="1">
        <v>149383300.63499275</v>
      </c>
      <c r="L11" s="1">
        <v>42193951.908904865</v>
      </c>
      <c r="M11" s="9">
        <v>5.8575052057214805E-2</v>
      </c>
    </row>
    <row r="12" spans="1:13" x14ac:dyDescent="0.25">
      <c r="A12" t="str">
        <f t="shared" si="1"/>
        <v>Chubb</v>
      </c>
      <c r="B12" s="8">
        <f t="shared" si="1"/>
        <v>114.67740416488446</v>
      </c>
      <c r="C12" s="1" t="e">
        <f>(B12/#REF!)*3600</f>
        <v>#REF!</v>
      </c>
      <c r="D12" s="1">
        <f t="shared" si="0"/>
        <v>157302496.86898819</v>
      </c>
      <c r="E12" s="1">
        <f t="shared" si="0"/>
        <v>35513738.053264663</v>
      </c>
      <c r="F12" s="9">
        <f t="shared" si="0"/>
        <v>4.930135626327161E-2</v>
      </c>
      <c r="H12" s="101"/>
      <c r="I12" s="7" t="s">
        <v>1758</v>
      </c>
      <c r="J12" s="8">
        <v>114.67740416488446</v>
      </c>
      <c r="K12" s="1">
        <v>157302496.86898819</v>
      </c>
      <c r="L12" s="1">
        <v>35513738.053264663</v>
      </c>
      <c r="M12" s="9">
        <v>4.930135626327161E-2</v>
      </c>
    </row>
    <row r="13" spans="1:13" x14ac:dyDescent="0.25">
      <c r="A13" t="str">
        <f t="shared" si="1"/>
        <v>IHG</v>
      </c>
      <c r="B13" s="8">
        <f t="shared" si="1"/>
        <v>81.759688673054839</v>
      </c>
      <c r="C13" s="1" t="e">
        <f>(B13/#REF!)*3600</f>
        <v>#REF!</v>
      </c>
      <c r="D13" s="1">
        <f t="shared" si="0"/>
        <v>105052857.76668262</v>
      </c>
      <c r="E13" s="1">
        <f t="shared" si="0"/>
        <v>22896629.35476236</v>
      </c>
      <c r="F13" s="9">
        <f t="shared" si="0"/>
        <v>3.1785864933569045E-2</v>
      </c>
      <c r="H13" s="101"/>
      <c r="I13" s="7" t="s">
        <v>1759</v>
      </c>
      <c r="J13" s="8">
        <v>81.759688673054839</v>
      </c>
      <c r="K13" s="1">
        <v>105052857.76668262</v>
      </c>
      <c r="L13" s="1">
        <v>22896629.35476236</v>
      </c>
      <c r="M13" s="9">
        <v>3.1785864933569045E-2</v>
      </c>
    </row>
    <row r="14" spans="1:13" x14ac:dyDescent="0.25">
      <c r="I14" s="7" t="s">
        <v>1760</v>
      </c>
      <c r="J14" s="8">
        <v>74.984479182253196</v>
      </c>
      <c r="K14" s="1">
        <v>87558237.287302658</v>
      </c>
      <c r="L14" s="1">
        <v>18411296.736415334</v>
      </c>
      <c r="M14" s="9">
        <v>2.5559176516688313E-2</v>
      </c>
    </row>
    <row r="15" spans="1:13" x14ac:dyDescent="0.25">
      <c r="I15" s="7" t="s">
        <v>1761</v>
      </c>
      <c r="J15" s="8">
        <v>66.921512939191942</v>
      </c>
      <c r="K15" s="1">
        <v>94484222.057834074</v>
      </c>
      <c r="L15" s="1">
        <v>19591308.832687963</v>
      </c>
      <c r="M15" s="9">
        <v>2.7197308685880196E-2</v>
      </c>
    </row>
    <row r="16" spans="1:13" x14ac:dyDescent="0.25">
      <c r="I16" s="7" t="s">
        <v>1762</v>
      </c>
      <c r="J16" s="8">
        <v>60.491709898706802</v>
      </c>
      <c r="K16" s="1">
        <v>86225347.766432852</v>
      </c>
      <c r="L16" s="1">
        <v>18472765.305495765</v>
      </c>
      <c r="M16" s="9">
        <v>2.5644509235499345E-2</v>
      </c>
    </row>
    <row r="17" spans="1:13" x14ac:dyDescent="0.25">
      <c r="A17" t="s">
        <v>1765</v>
      </c>
      <c r="B17" s="22">
        <v>407.21079551721203</v>
      </c>
      <c r="I17" s="7" t="s">
        <v>1763</v>
      </c>
      <c r="J17" s="8">
        <v>56.759096269716778</v>
      </c>
      <c r="K17" s="1">
        <v>77043343.03889747</v>
      </c>
      <c r="L17" s="1">
        <v>16218870.2046373</v>
      </c>
      <c r="M17" s="9">
        <v>2.2515576843735792E-2</v>
      </c>
    </row>
    <row r="18" spans="1:13" x14ac:dyDescent="0.25">
      <c r="A18" t="s">
        <v>1725</v>
      </c>
      <c r="B18" s="22">
        <v>105.13460851270148</v>
      </c>
      <c r="I18" s="7" t="s">
        <v>1725</v>
      </c>
      <c r="J18" s="8">
        <v>47.399857433039919</v>
      </c>
      <c r="K18" s="1">
        <v>58014941.822398059</v>
      </c>
      <c r="L18" s="1">
        <v>16439210.878988648</v>
      </c>
      <c r="M18" s="9">
        <v>2.2821461120665257E-2</v>
      </c>
    </row>
    <row r="19" spans="1:13" x14ac:dyDescent="0.25">
      <c r="A19" t="s">
        <v>1776</v>
      </c>
      <c r="B19" s="22">
        <v>64.316504479435665</v>
      </c>
      <c r="I19" s="7" t="s">
        <v>183</v>
      </c>
      <c r="J19" s="8">
        <v>28.581147109454371</v>
      </c>
      <c r="K19" s="1">
        <v>31089614.617880113</v>
      </c>
      <c r="L19" s="1">
        <v>9432421.5591549519</v>
      </c>
      <c r="M19" s="9">
        <v>1.3094402369465958E-2</v>
      </c>
    </row>
    <row r="20" spans="1:13" x14ac:dyDescent="0.25">
      <c r="A20" t="s">
        <v>1769</v>
      </c>
      <c r="B20" s="22">
        <v>62.438269754526772</v>
      </c>
      <c r="I20" s="7" t="s">
        <v>1766</v>
      </c>
      <c r="J20" s="8">
        <v>10.167365543454022</v>
      </c>
      <c r="K20" s="1">
        <v>11466068.92797989</v>
      </c>
      <c r="L20" s="1">
        <v>3580427.6511423029</v>
      </c>
      <c r="M20" s="9">
        <v>4.970469144619051E-3</v>
      </c>
    </row>
    <row r="21" spans="1:13" x14ac:dyDescent="0.25">
      <c r="A21" t="s">
        <v>1751</v>
      </c>
      <c r="B21" s="22">
        <v>23.97716093133085</v>
      </c>
      <c r="I21" s="7" t="s">
        <v>1768</v>
      </c>
      <c r="J21" s="8">
        <v>7.4510901582715761</v>
      </c>
      <c r="K21" s="1">
        <v>9438515.722572891</v>
      </c>
      <c r="L21" s="1">
        <v>2232868.8257131372</v>
      </c>
      <c r="M21" s="9">
        <v>3.0997430149574661E-3</v>
      </c>
    </row>
    <row r="22" spans="1:13" x14ac:dyDescent="0.25">
      <c r="A22" t="s">
        <v>1767</v>
      </c>
      <c r="B22" s="22">
        <v>14.714399141869583</v>
      </c>
      <c r="I22" s="7" t="s">
        <v>1770</v>
      </c>
      <c r="J22" s="8">
        <v>4.7593977391786879</v>
      </c>
      <c r="K22" s="1">
        <v>5642353.7030179491</v>
      </c>
      <c r="L22" s="1">
        <v>1182031.2605677415</v>
      </c>
      <c r="M22" s="9">
        <v>1.6409352404461168E-3</v>
      </c>
    </row>
    <row r="23" spans="1:13" x14ac:dyDescent="0.25">
      <c r="A23" t="s">
        <v>1764</v>
      </c>
      <c r="B23" s="22">
        <v>1.265247409060533</v>
      </c>
      <c r="I23" s="7" t="s">
        <v>1771</v>
      </c>
      <c r="J23" s="8">
        <v>1.7456264524419078</v>
      </c>
      <c r="K23" s="1">
        <v>2326542.6795211327</v>
      </c>
      <c r="L23" s="1">
        <v>454014.08653772378</v>
      </c>
      <c r="M23" s="9">
        <v>6.3027750543658988E-4</v>
      </c>
    </row>
    <row r="24" spans="1:13" x14ac:dyDescent="0.25">
      <c r="A24" t="s">
        <v>1775</v>
      </c>
      <c r="B24" s="22">
        <v>0.50112754774188217</v>
      </c>
      <c r="I24" s="7" t="s">
        <v>1639</v>
      </c>
      <c r="J24" s="8">
        <v>2084.9779726916854</v>
      </c>
      <c r="K24" s="1">
        <v>2720614963.5515432</v>
      </c>
      <c r="L24" s="1">
        <v>720339981.39157867</v>
      </c>
      <c r="M24" s="9">
        <v>1</v>
      </c>
    </row>
    <row r="25" spans="1:13" x14ac:dyDescent="0.25">
      <c r="A25" t="s">
        <v>1773</v>
      </c>
      <c r="B25" s="22">
        <v>0.42224206864543778</v>
      </c>
    </row>
  </sheetData>
  <conditionalFormatting sqref="A3:F13">
    <cfRule type="expression" dxfId="7" priority="1">
      <formula>$A3=$R$3</formula>
    </cfRule>
    <cfRule type="expression" dxfId="6" priority="2">
      <formula>$A3=$R$1</formula>
    </cfRule>
    <cfRule type="expression" dxfId="5" priority="3">
      <formula>$A3=$R$2</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0" tint="-0.499984740745262"/>
  </sheetPr>
  <dimension ref="A1:C210"/>
  <sheetViews>
    <sheetView workbookViewId="0"/>
  </sheetViews>
  <sheetFormatPr defaultRowHeight="15" x14ac:dyDescent="0.25"/>
  <cols>
    <col min="1" max="1" width="32.7109375" bestFit="1" customWidth="1"/>
    <col min="2" max="2" width="9.5703125" bestFit="1" customWidth="1"/>
    <col min="3" max="3" width="24.28515625" style="22" bestFit="1" customWidth="1"/>
    <col min="4" max="5" width="11.85546875" customWidth="1"/>
    <col min="6" max="6" width="11.85546875" bestFit="1" customWidth="1"/>
  </cols>
  <sheetData>
    <row r="1" spans="1:3" x14ac:dyDescent="0.25">
      <c r="A1" s="6" t="s">
        <v>1777</v>
      </c>
      <c r="B1" t="s">
        <v>1628</v>
      </c>
    </row>
    <row r="3" spans="1:3" x14ac:dyDescent="0.25">
      <c r="A3" s="6" t="s">
        <v>1630</v>
      </c>
      <c r="B3" t="s">
        <v>1778</v>
      </c>
      <c r="C3" s="19" t="s">
        <v>1779</v>
      </c>
    </row>
    <row r="4" spans="1:3" x14ac:dyDescent="0.25">
      <c r="A4" s="7" t="s">
        <v>1780</v>
      </c>
      <c r="B4" s="18"/>
      <c r="C4" s="19"/>
    </row>
    <row r="5" spans="1:3" x14ac:dyDescent="0.25">
      <c r="A5" s="17" t="s">
        <v>1751</v>
      </c>
      <c r="B5" s="18">
        <v>4.13</v>
      </c>
      <c r="C5" s="19">
        <v>5.4655003791388959</v>
      </c>
    </row>
    <row r="6" spans="1:3" x14ac:dyDescent="0.25">
      <c r="A6" s="7" t="s">
        <v>1730</v>
      </c>
      <c r="B6" s="18"/>
      <c r="C6" s="19"/>
    </row>
    <row r="7" spans="1:3" x14ac:dyDescent="0.25">
      <c r="A7" s="17" t="s">
        <v>1725</v>
      </c>
      <c r="B7" s="18">
        <v>2.27</v>
      </c>
      <c r="C7" s="19">
        <v>7.8184149845744813</v>
      </c>
    </row>
    <row r="8" spans="1:3" x14ac:dyDescent="0.25">
      <c r="A8" s="7" t="s">
        <v>1781</v>
      </c>
      <c r="B8" s="18"/>
      <c r="C8" s="19"/>
    </row>
    <row r="9" spans="1:3" x14ac:dyDescent="0.25">
      <c r="A9" s="17" t="s">
        <v>1750</v>
      </c>
      <c r="B9" s="18">
        <v>3.37</v>
      </c>
      <c r="C9" s="19">
        <v>17.298031037368283</v>
      </c>
    </row>
    <row r="10" spans="1:3" x14ac:dyDescent="0.25">
      <c r="A10" s="7" t="s">
        <v>1782</v>
      </c>
      <c r="B10" s="18"/>
      <c r="C10" s="19"/>
    </row>
    <row r="11" spans="1:3" x14ac:dyDescent="0.25">
      <c r="A11" s="17" t="s">
        <v>1750</v>
      </c>
      <c r="B11" s="18">
        <v>3.33</v>
      </c>
      <c r="C11" s="19">
        <v>2.1955526405087165</v>
      </c>
    </row>
    <row r="12" spans="1:3" x14ac:dyDescent="0.25">
      <c r="A12" s="7" t="s">
        <v>1783</v>
      </c>
      <c r="B12" s="18"/>
      <c r="C12" s="19"/>
    </row>
    <row r="13" spans="1:3" x14ac:dyDescent="0.25">
      <c r="A13" s="17" t="s">
        <v>1766</v>
      </c>
      <c r="B13" s="18">
        <v>1.53</v>
      </c>
      <c r="C13" s="19">
        <v>25.821233908321783</v>
      </c>
    </row>
    <row r="14" spans="1:3" x14ac:dyDescent="0.25">
      <c r="A14" s="7" t="s">
        <v>1784</v>
      </c>
      <c r="B14" s="18"/>
      <c r="C14" s="19"/>
    </row>
    <row r="15" spans="1:3" x14ac:dyDescent="0.25">
      <c r="A15" s="17" t="s">
        <v>1756</v>
      </c>
      <c r="B15" s="18">
        <v>1.63</v>
      </c>
      <c r="C15" s="19">
        <v>24.559246943763245</v>
      </c>
    </row>
    <row r="16" spans="1:3" x14ac:dyDescent="0.25">
      <c r="A16" s="17" t="s">
        <v>1750</v>
      </c>
      <c r="B16" s="18">
        <v>1.83</v>
      </c>
      <c r="C16" s="19">
        <v>1.9203130511554731</v>
      </c>
    </row>
    <row r="17" spans="1:3" x14ac:dyDescent="0.25">
      <c r="A17" s="7" t="s">
        <v>1785</v>
      </c>
      <c r="B17" s="18"/>
      <c r="C17" s="19"/>
    </row>
    <row r="18" spans="1:3" x14ac:dyDescent="0.25">
      <c r="A18" s="17" t="s">
        <v>1768</v>
      </c>
      <c r="B18" s="18">
        <v>2.42</v>
      </c>
      <c r="C18" s="19">
        <v>5.4137715646045486</v>
      </c>
    </row>
    <row r="19" spans="1:3" x14ac:dyDescent="0.25">
      <c r="A19" s="17" t="s">
        <v>1750</v>
      </c>
      <c r="B19" s="18">
        <v>3.8</v>
      </c>
      <c r="C19" s="19">
        <v>0.37362326824130759</v>
      </c>
    </row>
    <row r="20" spans="1:3" x14ac:dyDescent="0.25">
      <c r="A20" s="7" t="s">
        <v>1786</v>
      </c>
      <c r="B20" s="18"/>
      <c r="C20" s="19"/>
    </row>
    <row r="21" spans="1:3" x14ac:dyDescent="0.25">
      <c r="A21" s="17" t="s">
        <v>1786</v>
      </c>
      <c r="B21" s="18">
        <v>1.35</v>
      </c>
      <c r="C21" s="19">
        <v>817.69571316534802</v>
      </c>
    </row>
    <row r="22" spans="1:3" x14ac:dyDescent="0.25">
      <c r="A22" s="7" t="s">
        <v>1787</v>
      </c>
      <c r="B22" s="18"/>
      <c r="C22" s="19"/>
    </row>
    <row r="23" spans="1:3" x14ac:dyDescent="0.25">
      <c r="A23" s="17" t="s">
        <v>1750</v>
      </c>
      <c r="B23" s="18">
        <v>2.87</v>
      </c>
      <c r="C23" s="19">
        <v>4.2665186262148911</v>
      </c>
    </row>
    <row r="24" spans="1:3" x14ac:dyDescent="0.25">
      <c r="A24" s="7" t="s">
        <v>1729</v>
      </c>
      <c r="B24" s="18"/>
      <c r="C24" s="19"/>
    </row>
    <row r="25" spans="1:3" x14ac:dyDescent="0.25">
      <c r="A25" s="17" t="s">
        <v>1725</v>
      </c>
      <c r="B25" s="18">
        <v>1.9</v>
      </c>
      <c r="C25" s="19">
        <v>195.61298602277552</v>
      </c>
    </row>
    <row r="26" spans="1:3" x14ac:dyDescent="0.25">
      <c r="A26" s="7" t="s">
        <v>1788</v>
      </c>
      <c r="B26" s="18"/>
      <c r="C26" s="19"/>
    </row>
    <row r="27" spans="1:3" x14ac:dyDescent="0.25">
      <c r="A27" s="17" t="s">
        <v>1750</v>
      </c>
      <c r="B27" s="18">
        <v>3.55</v>
      </c>
      <c r="C27" s="19">
        <v>2.3966547522120583</v>
      </c>
    </row>
    <row r="28" spans="1:3" x14ac:dyDescent="0.25">
      <c r="A28" s="7" t="s">
        <v>1789</v>
      </c>
      <c r="B28" s="18"/>
      <c r="C28" s="19"/>
    </row>
    <row r="29" spans="1:3" x14ac:dyDescent="0.25">
      <c r="A29" s="17" t="s">
        <v>1750</v>
      </c>
      <c r="B29" s="18">
        <v>2.2999999999999998</v>
      </c>
      <c r="C29" s="19">
        <v>0.49763750882663155</v>
      </c>
    </row>
    <row r="30" spans="1:3" x14ac:dyDescent="0.25">
      <c r="A30" s="7" t="s">
        <v>1735</v>
      </c>
      <c r="B30" s="18"/>
      <c r="C30" s="19"/>
    </row>
    <row r="31" spans="1:3" x14ac:dyDescent="0.25">
      <c r="A31" s="17" t="s">
        <v>1725</v>
      </c>
      <c r="B31" s="18">
        <v>2.3199999999999998</v>
      </c>
      <c r="C31" s="19">
        <v>5.0087146978319339</v>
      </c>
    </row>
    <row r="32" spans="1:3" x14ac:dyDescent="0.25">
      <c r="A32" s="7" t="s">
        <v>1790</v>
      </c>
      <c r="B32" s="18"/>
      <c r="C32" s="19"/>
    </row>
    <row r="33" spans="1:3" x14ac:dyDescent="0.25">
      <c r="A33" s="17" t="s">
        <v>1750</v>
      </c>
      <c r="B33" s="18">
        <v>4.5</v>
      </c>
      <c r="C33" s="19">
        <v>9.5933992784569906</v>
      </c>
    </row>
    <row r="34" spans="1:3" x14ac:dyDescent="0.25">
      <c r="A34" s="17" t="s">
        <v>1766</v>
      </c>
      <c r="B34" s="18">
        <v>2.06</v>
      </c>
      <c r="C34" s="19">
        <v>19.013158862408332</v>
      </c>
    </row>
    <row r="35" spans="1:3" x14ac:dyDescent="0.25">
      <c r="A35" s="7" t="s">
        <v>1733</v>
      </c>
      <c r="B35" s="18"/>
      <c r="C35" s="19"/>
    </row>
    <row r="36" spans="1:3" x14ac:dyDescent="0.25">
      <c r="A36" s="17" t="s">
        <v>1725</v>
      </c>
      <c r="B36" s="18">
        <v>1.43</v>
      </c>
      <c r="C36" s="19">
        <v>8.7762298172576472</v>
      </c>
    </row>
    <row r="37" spans="1:3" x14ac:dyDescent="0.25">
      <c r="A37" s="7" t="s">
        <v>1791</v>
      </c>
      <c r="B37" s="18"/>
      <c r="C37" s="19"/>
    </row>
    <row r="38" spans="1:3" x14ac:dyDescent="0.25">
      <c r="A38" s="17" t="s">
        <v>1768</v>
      </c>
      <c r="B38" s="18">
        <v>1.48</v>
      </c>
      <c r="C38" s="19">
        <v>17.462270395257477</v>
      </c>
    </row>
    <row r="39" spans="1:3" x14ac:dyDescent="0.25">
      <c r="A39" s="7" t="s">
        <v>1792</v>
      </c>
      <c r="B39" s="18"/>
      <c r="C39" s="19"/>
    </row>
    <row r="40" spans="1:3" x14ac:dyDescent="0.25">
      <c r="A40" s="17" t="s">
        <v>1757</v>
      </c>
      <c r="B40" s="18">
        <v>1.57</v>
      </c>
      <c r="C40" s="19">
        <v>126.86771516078343</v>
      </c>
    </row>
    <row r="41" spans="1:3" x14ac:dyDescent="0.25">
      <c r="A41" s="17" t="s">
        <v>1754</v>
      </c>
      <c r="B41" s="18">
        <v>1.4</v>
      </c>
      <c r="C41" s="19">
        <v>127.33165501058274</v>
      </c>
    </row>
    <row r="42" spans="1:3" x14ac:dyDescent="0.25">
      <c r="A42" s="17" t="s">
        <v>1756</v>
      </c>
      <c r="B42" s="18">
        <v>1.51</v>
      </c>
      <c r="C42" s="19">
        <v>2.2671069778491266</v>
      </c>
    </row>
    <row r="43" spans="1:3" x14ac:dyDescent="0.25">
      <c r="A43" s="17" t="s">
        <v>1750</v>
      </c>
      <c r="B43" s="18">
        <v>3.8</v>
      </c>
      <c r="C43" s="19">
        <v>0.71963676890509665</v>
      </c>
    </row>
    <row r="44" spans="1:3" x14ac:dyDescent="0.25">
      <c r="A44" s="7" t="s">
        <v>1793</v>
      </c>
      <c r="B44" s="18"/>
      <c r="C44" s="19"/>
    </row>
    <row r="45" spans="1:3" x14ac:dyDescent="0.25">
      <c r="A45" s="17" t="s">
        <v>1756</v>
      </c>
      <c r="B45" s="18">
        <v>0.79</v>
      </c>
      <c r="C45" s="19">
        <v>2.5457882382063901</v>
      </c>
    </row>
    <row r="46" spans="1:3" x14ac:dyDescent="0.25">
      <c r="A46" s="7" t="s">
        <v>1794</v>
      </c>
      <c r="B46" s="18"/>
      <c r="C46" s="19"/>
    </row>
    <row r="47" spans="1:3" x14ac:dyDescent="0.25">
      <c r="A47" s="17" t="s">
        <v>1750</v>
      </c>
      <c r="B47" s="18">
        <v>3.53</v>
      </c>
      <c r="C47" s="19">
        <v>25.563640957586287</v>
      </c>
    </row>
    <row r="48" spans="1:3" x14ac:dyDescent="0.25">
      <c r="A48" s="17" t="s">
        <v>1760</v>
      </c>
      <c r="B48" s="18">
        <v>1.54</v>
      </c>
      <c r="C48" s="19">
        <v>66.316719257456441</v>
      </c>
    </row>
    <row r="49" spans="1:3" x14ac:dyDescent="0.25">
      <c r="A49" s="7" t="s">
        <v>1795</v>
      </c>
      <c r="B49" s="18"/>
      <c r="C49" s="19"/>
    </row>
    <row r="50" spans="1:3" x14ac:dyDescent="0.25">
      <c r="A50" s="17" t="s">
        <v>1761</v>
      </c>
      <c r="B50" s="18">
        <v>2.23</v>
      </c>
      <c r="C50" s="19">
        <v>4.9883391804589534</v>
      </c>
    </row>
    <row r="51" spans="1:3" x14ac:dyDescent="0.25">
      <c r="A51" s="17" t="s">
        <v>1750</v>
      </c>
      <c r="B51" s="18">
        <v>3.87</v>
      </c>
      <c r="C51" s="19">
        <v>60.389032296804743</v>
      </c>
    </row>
    <row r="52" spans="1:3" x14ac:dyDescent="0.25">
      <c r="A52" s="7" t="s">
        <v>1796</v>
      </c>
      <c r="B52" s="18"/>
      <c r="C52" s="19"/>
    </row>
    <row r="53" spans="1:3" x14ac:dyDescent="0.25">
      <c r="A53" s="17" t="s">
        <v>1752</v>
      </c>
      <c r="B53" s="18">
        <v>2.75</v>
      </c>
      <c r="C53" s="19">
        <v>773.29868008401036</v>
      </c>
    </row>
    <row r="54" spans="1:3" x14ac:dyDescent="0.25">
      <c r="A54" s="7" t="s">
        <v>1797</v>
      </c>
      <c r="B54" s="18"/>
      <c r="C54" s="19"/>
    </row>
    <row r="55" spans="1:3" x14ac:dyDescent="0.25">
      <c r="A55" s="17" t="s">
        <v>1756</v>
      </c>
      <c r="B55" s="18">
        <v>1.3</v>
      </c>
      <c r="C55" s="19">
        <v>1.2998933501349601</v>
      </c>
    </row>
    <row r="56" spans="1:3" x14ac:dyDescent="0.25">
      <c r="A56" s="17" t="s">
        <v>1750</v>
      </c>
      <c r="B56" s="18">
        <v>3.35</v>
      </c>
      <c r="C56" s="19">
        <v>18.646193302775327</v>
      </c>
    </row>
    <row r="57" spans="1:3" x14ac:dyDescent="0.25">
      <c r="A57" s="7" t="s">
        <v>1798</v>
      </c>
      <c r="B57" s="18"/>
      <c r="C57" s="19"/>
    </row>
    <row r="58" spans="1:3" x14ac:dyDescent="0.25">
      <c r="A58" s="17" t="s">
        <v>1756</v>
      </c>
      <c r="B58" s="18">
        <v>1.37</v>
      </c>
      <c r="C58" s="19">
        <v>677.78889011267393</v>
      </c>
    </row>
    <row r="59" spans="1:3" x14ac:dyDescent="0.25">
      <c r="A59" s="7" t="s">
        <v>1799</v>
      </c>
      <c r="B59" s="18"/>
      <c r="C59" s="19"/>
    </row>
    <row r="60" spans="1:3" x14ac:dyDescent="0.25">
      <c r="A60" s="17" t="s">
        <v>1756</v>
      </c>
      <c r="B60" s="18">
        <v>1.62</v>
      </c>
      <c r="C60" s="19">
        <v>20.569563218969837</v>
      </c>
    </row>
    <row r="61" spans="1:3" x14ac:dyDescent="0.25">
      <c r="A61" s="7" t="s">
        <v>1800</v>
      </c>
      <c r="B61" s="18"/>
      <c r="C61" s="19"/>
    </row>
    <row r="62" spans="1:3" x14ac:dyDescent="0.25">
      <c r="A62" s="17" t="s">
        <v>1750</v>
      </c>
      <c r="B62" s="18">
        <v>0.96</v>
      </c>
      <c r="C62" s="19">
        <v>6.076775746555092</v>
      </c>
    </row>
    <row r="63" spans="1:3" x14ac:dyDescent="0.25">
      <c r="A63" s="7" t="s">
        <v>1801</v>
      </c>
      <c r="B63" s="18"/>
      <c r="C63" s="19"/>
    </row>
    <row r="64" spans="1:3" x14ac:dyDescent="0.25">
      <c r="A64" s="17" t="s">
        <v>183</v>
      </c>
      <c r="B64" s="18">
        <v>2.2799999999999998</v>
      </c>
      <c r="C64" s="19">
        <v>8.7663847158607773</v>
      </c>
    </row>
    <row r="65" spans="1:3" x14ac:dyDescent="0.25">
      <c r="A65" s="17" t="s">
        <v>1752</v>
      </c>
      <c r="B65" s="18">
        <v>1.87</v>
      </c>
      <c r="C65" s="19">
        <v>58.994422978530814</v>
      </c>
    </row>
    <row r="66" spans="1:3" x14ac:dyDescent="0.25">
      <c r="A66" s="17" t="s">
        <v>1750</v>
      </c>
      <c r="B66" s="18">
        <v>2.33</v>
      </c>
      <c r="C66" s="19">
        <v>55.700808144410871</v>
      </c>
    </row>
    <row r="67" spans="1:3" x14ac:dyDescent="0.25">
      <c r="A67" s="17" t="s">
        <v>1760</v>
      </c>
      <c r="B67" s="18">
        <v>1.67</v>
      </c>
      <c r="C67" s="19">
        <v>135.2829931283774</v>
      </c>
    </row>
    <row r="68" spans="1:3" x14ac:dyDescent="0.25">
      <c r="A68" s="7" t="s">
        <v>1802</v>
      </c>
      <c r="B68" s="18"/>
      <c r="C68" s="19"/>
    </row>
    <row r="69" spans="1:3" x14ac:dyDescent="0.25">
      <c r="A69" s="17" t="s">
        <v>1757</v>
      </c>
      <c r="B69" s="18">
        <v>2.79</v>
      </c>
      <c r="C69" s="19">
        <v>3.7229654161683379</v>
      </c>
    </row>
    <row r="70" spans="1:3" x14ac:dyDescent="0.25">
      <c r="A70" s="7" t="s">
        <v>1734</v>
      </c>
      <c r="B70" s="18"/>
      <c r="C70" s="19"/>
    </row>
    <row r="71" spans="1:3" x14ac:dyDescent="0.25">
      <c r="A71" s="17" t="s">
        <v>1762</v>
      </c>
      <c r="B71" s="18">
        <v>0.28999999999999998</v>
      </c>
      <c r="C71" s="19">
        <v>1.7846672721155896</v>
      </c>
    </row>
    <row r="72" spans="1:3" x14ac:dyDescent="0.25">
      <c r="A72" s="17" t="s">
        <v>1757</v>
      </c>
      <c r="B72" s="18">
        <v>0.8</v>
      </c>
      <c r="C72" s="19">
        <v>1.2292494601703077</v>
      </c>
    </row>
    <row r="73" spans="1:3" x14ac:dyDescent="0.25">
      <c r="A73" s="17" t="s">
        <v>1758</v>
      </c>
      <c r="B73" s="18">
        <v>0.3</v>
      </c>
      <c r="C73" s="19">
        <v>0.4143956196531744</v>
      </c>
    </row>
    <row r="74" spans="1:3" x14ac:dyDescent="0.25">
      <c r="A74" s="17" t="s">
        <v>1751</v>
      </c>
      <c r="B74" s="18">
        <v>1.38</v>
      </c>
      <c r="C74" s="19">
        <v>7.897135877727842</v>
      </c>
    </row>
    <row r="75" spans="1:3" x14ac:dyDescent="0.25">
      <c r="A75" s="17" t="s">
        <v>1755</v>
      </c>
      <c r="B75" s="18">
        <v>0.94</v>
      </c>
      <c r="C75" s="19">
        <v>20.111249372446366</v>
      </c>
    </row>
    <row r="76" spans="1:3" x14ac:dyDescent="0.25">
      <c r="A76" s="17" t="s">
        <v>1725</v>
      </c>
      <c r="B76" s="18">
        <v>1.21</v>
      </c>
      <c r="C76" s="19">
        <v>9.0817824224989305</v>
      </c>
    </row>
    <row r="77" spans="1:3" x14ac:dyDescent="0.25">
      <c r="A77" s="17" t="s">
        <v>1750</v>
      </c>
      <c r="B77" s="18">
        <v>1.19</v>
      </c>
      <c r="C77" s="19">
        <v>20.329260568631394</v>
      </c>
    </row>
    <row r="78" spans="1:3" x14ac:dyDescent="0.25">
      <c r="A78" s="7" t="s">
        <v>1803</v>
      </c>
      <c r="B78" s="18"/>
      <c r="C78" s="19"/>
    </row>
    <row r="79" spans="1:3" x14ac:dyDescent="0.25">
      <c r="A79" s="17" t="s">
        <v>1757</v>
      </c>
      <c r="B79" s="18">
        <v>1.99</v>
      </c>
      <c r="C79" s="19">
        <v>8.9063652002948981</v>
      </c>
    </row>
    <row r="80" spans="1:3" x14ac:dyDescent="0.25">
      <c r="A80" s="17" t="s">
        <v>1755</v>
      </c>
      <c r="B80" s="18">
        <v>2.19</v>
      </c>
      <c r="C80" s="19">
        <v>224.10380715584799</v>
      </c>
    </row>
    <row r="81" spans="1:3" x14ac:dyDescent="0.25">
      <c r="A81" s="17" t="s">
        <v>1754</v>
      </c>
      <c r="B81" s="18">
        <v>1.21</v>
      </c>
      <c r="C81" s="19">
        <v>2.3319125304341854</v>
      </c>
    </row>
    <row r="82" spans="1:3" x14ac:dyDescent="0.25">
      <c r="A82" s="17" t="s">
        <v>1752</v>
      </c>
      <c r="B82" s="18">
        <v>2.46</v>
      </c>
      <c r="C82" s="19">
        <v>5.0859146921671607</v>
      </c>
    </row>
    <row r="83" spans="1:3" x14ac:dyDescent="0.25">
      <c r="A83" s="17" t="s">
        <v>1750</v>
      </c>
      <c r="B83" s="18">
        <v>2.35</v>
      </c>
      <c r="C83" s="19">
        <v>227.66073039225921</v>
      </c>
    </row>
    <row r="84" spans="1:3" x14ac:dyDescent="0.25">
      <c r="A84" s="17" t="s">
        <v>1760</v>
      </c>
      <c r="B84" s="18">
        <v>1.4</v>
      </c>
      <c r="C84" s="19">
        <v>22.488458652797352</v>
      </c>
    </row>
    <row r="85" spans="1:3" x14ac:dyDescent="0.25">
      <c r="A85" s="17" t="s">
        <v>1770</v>
      </c>
      <c r="B85" s="18">
        <v>1.72</v>
      </c>
      <c r="C85" s="19">
        <v>17.014709923131203</v>
      </c>
    </row>
    <row r="86" spans="1:3" x14ac:dyDescent="0.25">
      <c r="A86" s="7" t="s">
        <v>1804</v>
      </c>
      <c r="B86" s="18"/>
      <c r="C86" s="19"/>
    </row>
    <row r="87" spans="1:3" x14ac:dyDescent="0.25">
      <c r="A87" s="17" t="s">
        <v>1750</v>
      </c>
      <c r="B87" s="18">
        <v>1.24</v>
      </c>
      <c r="C87" s="19">
        <v>1.5851476301494367</v>
      </c>
    </row>
    <row r="88" spans="1:3" x14ac:dyDescent="0.25">
      <c r="A88" s="7" t="s">
        <v>1805</v>
      </c>
      <c r="B88" s="18"/>
      <c r="C88" s="19"/>
    </row>
    <row r="89" spans="1:3" x14ac:dyDescent="0.25">
      <c r="A89" s="17" t="s">
        <v>1750</v>
      </c>
      <c r="B89" s="18">
        <v>4</v>
      </c>
      <c r="C89" s="19">
        <v>1.1208698047239192</v>
      </c>
    </row>
    <row r="90" spans="1:3" x14ac:dyDescent="0.25">
      <c r="A90" s="7" t="s">
        <v>1806</v>
      </c>
      <c r="B90" s="18"/>
      <c r="C90" s="19"/>
    </row>
    <row r="91" spans="1:3" x14ac:dyDescent="0.25">
      <c r="A91" s="17" t="s">
        <v>1750</v>
      </c>
      <c r="B91" s="18">
        <v>2.39</v>
      </c>
      <c r="C91" s="19">
        <v>20.858320807350999</v>
      </c>
    </row>
    <row r="92" spans="1:3" x14ac:dyDescent="0.25">
      <c r="A92" s="7" t="s">
        <v>1807</v>
      </c>
      <c r="B92" s="18"/>
      <c r="C92" s="19"/>
    </row>
    <row r="93" spans="1:3" x14ac:dyDescent="0.25">
      <c r="A93" s="17" t="s">
        <v>1755</v>
      </c>
      <c r="B93" s="18">
        <v>1.37</v>
      </c>
      <c r="C93" s="19">
        <v>857.7168801253581</v>
      </c>
    </row>
    <row r="94" spans="1:3" x14ac:dyDescent="0.25">
      <c r="A94" s="17" t="s">
        <v>1750</v>
      </c>
      <c r="B94" s="18">
        <v>0.84</v>
      </c>
      <c r="C94" s="19">
        <v>17.799826819200462</v>
      </c>
    </row>
    <row r="95" spans="1:3" x14ac:dyDescent="0.25">
      <c r="A95" s="7" t="s">
        <v>1808</v>
      </c>
      <c r="B95" s="18"/>
      <c r="C95" s="19"/>
    </row>
    <row r="96" spans="1:3" x14ac:dyDescent="0.25">
      <c r="A96" s="17" t="s">
        <v>1757</v>
      </c>
      <c r="B96" s="18">
        <v>3.52</v>
      </c>
      <c r="C96" s="19">
        <v>20.750820252707179</v>
      </c>
    </row>
    <row r="97" spans="1:3" x14ac:dyDescent="0.25">
      <c r="A97" s="7" t="s">
        <v>1809</v>
      </c>
      <c r="B97" s="18"/>
      <c r="C97" s="19"/>
    </row>
    <row r="98" spans="1:3" x14ac:dyDescent="0.25">
      <c r="A98" s="17" t="s">
        <v>1756</v>
      </c>
      <c r="B98" s="18">
        <v>1.63</v>
      </c>
      <c r="C98" s="19">
        <v>7.4807417234889435</v>
      </c>
    </row>
    <row r="99" spans="1:3" x14ac:dyDescent="0.25">
      <c r="A99" s="17" t="s">
        <v>1750</v>
      </c>
      <c r="B99" s="18">
        <v>1.3</v>
      </c>
      <c r="C99" s="19">
        <v>7.3764695026732605</v>
      </c>
    </row>
    <row r="100" spans="1:3" x14ac:dyDescent="0.25">
      <c r="A100" s="7" t="s">
        <v>1810</v>
      </c>
      <c r="B100" s="18"/>
      <c r="C100" s="19"/>
    </row>
    <row r="101" spans="1:3" x14ac:dyDescent="0.25">
      <c r="A101" s="17" t="s">
        <v>1750</v>
      </c>
      <c r="B101" s="18">
        <v>2.94</v>
      </c>
      <c r="C101" s="19">
        <v>6.609750192442549</v>
      </c>
    </row>
    <row r="102" spans="1:3" x14ac:dyDescent="0.25">
      <c r="A102" s="7" t="s">
        <v>1811</v>
      </c>
      <c r="B102" s="18"/>
      <c r="C102" s="19"/>
    </row>
    <row r="103" spans="1:3" x14ac:dyDescent="0.25">
      <c r="A103" s="17" t="s">
        <v>1750</v>
      </c>
      <c r="B103" s="18">
        <v>1.7</v>
      </c>
      <c r="C103" s="19">
        <v>11.481107163550965</v>
      </c>
    </row>
    <row r="104" spans="1:3" x14ac:dyDescent="0.25">
      <c r="A104" s="7" t="s">
        <v>1812</v>
      </c>
      <c r="B104" s="18"/>
      <c r="C104" s="19"/>
    </row>
    <row r="105" spans="1:3" x14ac:dyDescent="0.25">
      <c r="A105" s="17" t="s">
        <v>1750</v>
      </c>
      <c r="B105" s="18">
        <v>4.6399999999999997</v>
      </c>
      <c r="C105" s="19">
        <v>29.648161956062609</v>
      </c>
    </row>
    <row r="106" spans="1:3" x14ac:dyDescent="0.25">
      <c r="A106" s="7" t="s">
        <v>1813</v>
      </c>
      <c r="B106" s="18"/>
      <c r="C106" s="19"/>
    </row>
    <row r="107" spans="1:3" x14ac:dyDescent="0.25">
      <c r="A107" s="17" t="s">
        <v>1756</v>
      </c>
      <c r="B107" s="18">
        <v>1.19</v>
      </c>
      <c r="C107" s="19">
        <v>1.3548536769339103</v>
      </c>
    </row>
    <row r="108" spans="1:3" x14ac:dyDescent="0.25">
      <c r="A108" s="17" t="s">
        <v>1750</v>
      </c>
      <c r="B108" s="18">
        <v>1.6</v>
      </c>
      <c r="C108" s="19">
        <v>1.4277596610701218</v>
      </c>
    </row>
    <row r="109" spans="1:3" x14ac:dyDescent="0.25">
      <c r="A109" s="7" t="s">
        <v>1814</v>
      </c>
      <c r="B109" s="18"/>
      <c r="C109" s="19"/>
    </row>
    <row r="110" spans="1:3" x14ac:dyDescent="0.25">
      <c r="A110" s="17" t="s">
        <v>1756</v>
      </c>
      <c r="B110" s="18">
        <v>1.87</v>
      </c>
      <c r="C110" s="19">
        <v>15.524091269547162</v>
      </c>
    </row>
    <row r="111" spans="1:3" x14ac:dyDescent="0.25">
      <c r="A111" s="17" t="s">
        <v>1761</v>
      </c>
      <c r="B111" s="18">
        <v>1.31</v>
      </c>
      <c r="C111" s="19">
        <v>20.84688991917583</v>
      </c>
    </row>
    <row r="112" spans="1:3" x14ac:dyDescent="0.25">
      <c r="A112" s="17" t="s">
        <v>1750</v>
      </c>
      <c r="B112" s="18">
        <v>0.3</v>
      </c>
      <c r="C112" s="19">
        <v>0.95638742879590644</v>
      </c>
    </row>
    <row r="113" spans="1:3" x14ac:dyDescent="0.25">
      <c r="A113" s="7" t="s">
        <v>1815</v>
      </c>
      <c r="B113" s="18"/>
      <c r="C113" s="19"/>
    </row>
    <row r="114" spans="1:3" x14ac:dyDescent="0.25">
      <c r="A114" s="17" t="s">
        <v>1756</v>
      </c>
      <c r="B114" s="18">
        <v>1.43</v>
      </c>
      <c r="C114" s="19">
        <v>4.937657935237298</v>
      </c>
    </row>
    <row r="115" spans="1:3" x14ac:dyDescent="0.25">
      <c r="A115" s="17" t="s">
        <v>1750</v>
      </c>
      <c r="B115" s="18">
        <v>1.95</v>
      </c>
      <c r="C115" s="19">
        <v>2.7739435056623862</v>
      </c>
    </row>
    <row r="116" spans="1:3" x14ac:dyDescent="0.25">
      <c r="A116" s="7" t="s">
        <v>1816</v>
      </c>
      <c r="B116" s="18"/>
      <c r="C116" s="19"/>
    </row>
    <row r="117" spans="1:3" x14ac:dyDescent="0.25">
      <c r="A117" s="17" t="s">
        <v>1762</v>
      </c>
      <c r="B117" s="18">
        <v>0.3</v>
      </c>
      <c r="C117" s="19">
        <v>0.77133082213083615</v>
      </c>
    </row>
    <row r="118" spans="1:3" x14ac:dyDescent="0.25">
      <c r="A118" s="17" t="s">
        <v>1751</v>
      </c>
      <c r="B118" s="18">
        <v>1.24</v>
      </c>
      <c r="C118" s="19">
        <v>3.2144926031451839</v>
      </c>
    </row>
    <row r="119" spans="1:3" x14ac:dyDescent="0.25">
      <c r="A119" s="17" t="s">
        <v>1754</v>
      </c>
      <c r="B119" s="18">
        <v>3</v>
      </c>
      <c r="C119" s="19">
        <v>2.0705237932214988</v>
      </c>
    </row>
    <row r="120" spans="1:3" x14ac:dyDescent="0.25">
      <c r="A120" s="17" t="s">
        <v>1750</v>
      </c>
      <c r="B120" s="18">
        <v>1.02</v>
      </c>
      <c r="C120" s="19">
        <v>4.9520397145884942</v>
      </c>
    </row>
    <row r="121" spans="1:3" x14ac:dyDescent="0.25">
      <c r="A121" s="7" t="s">
        <v>1732</v>
      </c>
      <c r="B121" s="18"/>
      <c r="C121" s="19"/>
    </row>
    <row r="122" spans="1:3" x14ac:dyDescent="0.25">
      <c r="A122" s="17" t="s">
        <v>1759</v>
      </c>
      <c r="B122" s="18">
        <v>2.2999999999999998</v>
      </c>
      <c r="C122" s="19">
        <v>0.654532853912971</v>
      </c>
    </row>
    <row r="123" spans="1:3" x14ac:dyDescent="0.25">
      <c r="A123" s="17" t="s">
        <v>1725</v>
      </c>
      <c r="B123" s="18">
        <v>1.19</v>
      </c>
      <c r="C123" s="19">
        <v>22.298996824454505</v>
      </c>
    </row>
    <row r="124" spans="1:3" x14ac:dyDescent="0.25">
      <c r="A124" s="7" t="s">
        <v>1639</v>
      </c>
      <c r="B124" s="18">
        <v>154.29999999999998</v>
      </c>
      <c r="C124" s="19">
        <v>4980.9774100771292</v>
      </c>
    </row>
    <row r="125" spans="1:3" x14ac:dyDescent="0.25">
      <c r="C125"/>
    </row>
    <row r="126" spans="1:3" x14ac:dyDescent="0.25">
      <c r="C126"/>
    </row>
    <row r="127" spans="1:3" x14ac:dyDescent="0.25">
      <c r="C127"/>
    </row>
    <row r="128" spans="1: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sheetData>
  <conditionalFormatting sqref="A4:A100">
    <cfRule type="expression" dxfId="4" priority="1">
      <formula>$A4="Rolex"</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0" tint="-0.499984740745262"/>
  </sheetPr>
  <dimension ref="B6:X134"/>
  <sheetViews>
    <sheetView workbookViewId="0"/>
  </sheetViews>
  <sheetFormatPr defaultRowHeight="15" x14ac:dyDescent="0.25"/>
  <cols>
    <col min="2" max="2" width="15.5703125" bestFit="1" customWidth="1"/>
    <col min="3" max="3" width="22.42578125" bestFit="1" customWidth="1"/>
    <col min="4" max="4" width="24.28515625" bestFit="1" customWidth="1"/>
    <col min="15" max="15" width="15.85546875" bestFit="1" customWidth="1"/>
    <col min="16" max="16" width="22.7109375" bestFit="1" customWidth="1"/>
    <col min="18" max="18" width="24.5703125" customWidth="1"/>
    <col min="19" max="19" width="24.28515625" customWidth="1"/>
  </cols>
  <sheetData>
    <row r="6" spans="18:22" x14ac:dyDescent="0.25">
      <c r="S6">
        <v>2018</v>
      </c>
      <c r="T6">
        <v>2019</v>
      </c>
      <c r="U6" t="s">
        <v>1817</v>
      </c>
    </row>
    <row r="7" spans="18:22" x14ac:dyDescent="0.25">
      <c r="R7" s="7" t="str">
        <f>B29</f>
        <v>US Open</v>
      </c>
      <c r="S7" s="1" t="e">
        <f>(S30/(#REF!*86400))*3600</f>
        <v>#N/A</v>
      </c>
      <c r="T7" s="1" t="e">
        <f>(C29/(#REF!*86400))*3600</f>
        <v>#REF!</v>
      </c>
      <c r="U7" s="21" t="e">
        <f t="shared" ref="U7:U18" si="0">T7/S7-1</f>
        <v>#REF!</v>
      </c>
      <c r="V7" s="9" t="e">
        <f>T7/$T$18</f>
        <v>#REF!</v>
      </c>
    </row>
    <row r="8" spans="18:22" x14ac:dyDescent="0.25">
      <c r="R8" s="7" t="str">
        <f t="shared" ref="R8:R17" si="1">B30</f>
        <v>Emirates</v>
      </c>
      <c r="S8" s="1" t="e">
        <f>(S31/(#REF!*86400))*3600</f>
        <v>#N/A</v>
      </c>
      <c r="T8" s="1" t="e">
        <f>(C30/(#REF!*86400))*3600</f>
        <v>#REF!</v>
      </c>
      <c r="U8" s="21" t="e">
        <f t="shared" si="0"/>
        <v>#REF!</v>
      </c>
    </row>
    <row r="9" spans="18:22" x14ac:dyDescent="0.25">
      <c r="R9" s="7" t="str">
        <f t="shared" si="1"/>
        <v>Mercedes Benz</v>
      </c>
      <c r="S9" s="1" t="e">
        <f>(S32/(#REF!*86400))*3600</f>
        <v>#REF!</v>
      </c>
      <c r="T9" s="1" t="e">
        <f>(C31/(#REF!*86400))*3600</f>
        <v>#REF!</v>
      </c>
      <c r="U9" s="21" t="e">
        <f t="shared" si="0"/>
        <v>#REF!</v>
      </c>
    </row>
    <row r="10" spans="18:22" x14ac:dyDescent="0.25">
      <c r="R10" s="7" t="str">
        <f t="shared" si="1"/>
        <v>American Express</v>
      </c>
      <c r="S10" s="1" t="e">
        <f>(S33/(#REF!*86400))*3600</f>
        <v>#N/A</v>
      </c>
      <c r="T10" s="1" t="e">
        <f>(C32/(#REF!*86400))*3600</f>
        <v>#REF!</v>
      </c>
      <c r="U10" s="21" t="e">
        <f t="shared" si="0"/>
        <v>#REF!</v>
      </c>
    </row>
    <row r="11" spans="18:22" x14ac:dyDescent="0.25">
      <c r="R11" s="7" t="str">
        <f t="shared" si="1"/>
        <v>JP Morgan</v>
      </c>
      <c r="S11" s="1" t="e">
        <f>(S34/(#REF!*86400))*3600</f>
        <v>#N/A</v>
      </c>
      <c r="T11" s="1" t="e">
        <f>(C33/(#REF!*86400))*3600</f>
        <v>#REF!</v>
      </c>
      <c r="U11" s="21" t="e">
        <f t="shared" si="0"/>
        <v>#REF!</v>
      </c>
    </row>
    <row r="12" spans="18:22" x14ac:dyDescent="0.25">
      <c r="R12" s="7" t="str">
        <f t="shared" si="1"/>
        <v>IBM</v>
      </c>
      <c r="S12" s="1" t="e">
        <f>(S35/(#REF!*86400))*3600</f>
        <v>#N/A</v>
      </c>
      <c r="T12" s="1" t="e">
        <f>(C34/(#REF!*86400))*3600</f>
        <v>#REF!</v>
      </c>
      <c r="U12" s="21" t="e">
        <f t="shared" si="0"/>
        <v>#REF!</v>
      </c>
    </row>
    <row r="13" spans="18:22" x14ac:dyDescent="0.25">
      <c r="R13" s="7" t="str">
        <f t="shared" si="1"/>
        <v>Ralph Lauren</v>
      </c>
      <c r="S13" s="1" t="e">
        <f>(S36/(#REF!*86400))*3600</f>
        <v>#N/A</v>
      </c>
      <c r="T13" s="1" t="e">
        <f>(C35/(#REF!*86400))*3600</f>
        <v>#REF!</v>
      </c>
      <c r="U13" s="21" t="e">
        <f t="shared" si="0"/>
        <v>#REF!</v>
      </c>
    </row>
    <row r="14" spans="18:22" x14ac:dyDescent="0.25">
      <c r="R14" s="7" t="str">
        <f t="shared" si="1"/>
        <v>Chase</v>
      </c>
      <c r="S14" s="1" t="e">
        <f>(S37/(#REF!*86400))*3600</f>
        <v>#N/A</v>
      </c>
      <c r="T14" s="1" t="e">
        <f>(C36/(#REF!*86400))*3600</f>
        <v>#REF!</v>
      </c>
      <c r="U14" s="21" t="e">
        <f t="shared" si="0"/>
        <v>#REF!</v>
      </c>
    </row>
    <row r="15" spans="18:22" x14ac:dyDescent="0.25">
      <c r="R15" s="7" t="str">
        <f t="shared" si="1"/>
        <v>Chubb</v>
      </c>
      <c r="S15" s="1"/>
      <c r="T15" s="1" t="e">
        <f>(C37/(#REF!*86400))*3600</f>
        <v>#REF!</v>
      </c>
      <c r="U15" s="21" t="e">
        <f t="shared" si="0"/>
        <v>#REF!</v>
      </c>
      <c r="V15" s="1"/>
    </row>
    <row r="16" spans="18:22" x14ac:dyDescent="0.25">
      <c r="R16" s="7" t="str">
        <f t="shared" si="1"/>
        <v>IHG</v>
      </c>
      <c r="S16" s="1"/>
      <c r="T16" s="1" t="e">
        <f>(C38/(#REF!*86400))*3600</f>
        <v>#REF!</v>
      </c>
      <c r="U16" s="21" t="e">
        <f t="shared" si="0"/>
        <v>#REF!</v>
      </c>
    </row>
    <row r="17" spans="2:21" x14ac:dyDescent="0.25">
      <c r="R17" s="7">
        <f t="shared" si="1"/>
        <v>0</v>
      </c>
      <c r="S17" s="1" t="e">
        <f>(S40/(#REF!*86400))*3600</f>
        <v>#REF!</v>
      </c>
      <c r="T17" s="1" t="e">
        <f>(C39/(#REF!*86400))*3600</f>
        <v>#REF!</v>
      </c>
      <c r="U17" s="21" t="e">
        <f t="shared" si="0"/>
        <v>#REF!</v>
      </c>
    </row>
    <row r="18" spans="2:21" x14ac:dyDescent="0.25">
      <c r="R18" s="48"/>
      <c r="S18" s="1" t="e">
        <f>SUM(S7:S17)</f>
        <v>#N/A</v>
      </c>
      <c r="T18" s="1" t="e">
        <f>SUM(T7:T17)</f>
        <v>#REF!</v>
      </c>
      <c r="U18" s="21" t="e">
        <f t="shared" si="0"/>
        <v>#REF!</v>
      </c>
    </row>
    <row r="19" spans="2:21" x14ac:dyDescent="0.25">
      <c r="R19" s="7"/>
      <c r="S19" s="19"/>
    </row>
    <row r="21" spans="2:21" x14ac:dyDescent="0.25">
      <c r="R21" s="7"/>
      <c r="S21" s="1"/>
      <c r="U21" s="9"/>
    </row>
    <row r="22" spans="2:21" x14ac:dyDescent="0.25">
      <c r="R22" s="17"/>
      <c r="S22" s="1"/>
      <c r="T22" s="9"/>
      <c r="U22" s="9"/>
    </row>
    <row r="23" spans="2:21" x14ac:dyDescent="0.25">
      <c r="R23" s="17"/>
      <c r="S23" s="1"/>
      <c r="U23" s="9"/>
    </row>
    <row r="24" spans="2:21" x14ac:dyDescent="0.25">
      <c r="R24" s="17"/>
      <c r="S24" s="1"/>
    </row>
    <row r="25" spans="2:21" x14ac:dyDescent="0.25">
      <c r="B25" s="6" t="s">
        <v>1777</v>
      </c>
      <c r="C25" t="s">
        <v>1818</v>
      </c>
      <c r="R25" s="17"/>
      <c r="S25" s="1"/>
    </row>
    <row r="26" spans="2:21" x14ac:dyDescent="0.25">
      <c r="B26" s="6" t="s">
        <v>1747</v>
      </c>
      <c r="C26" t="s">
        <v>1748</v>
      </c>
      <c r="R26" s="17"/>
      <c r="S26" s="1"/>
    </row>
    <row r="27" spans="2:21" x14ac:dyDescent="0.25">
      <c r="O27" s="6" t="s">
        <v>1747</v>
      </c>
      <c r="P27" t="s">
        <v>1748</v>
      </c>
      <c r="R27" s="17"/>
      <c r="S27" s="1"/>
    </row>
    <row r="28" spans="2:21" x14ac:dyDescent="0.25">
      <c r="B28" s="6" t="s">
        <v>1630</v>
      </c>
      <c r="C28" t="s">
        <v>1819</v>
      </c>
      <c r="R28" s="17"/>
      <c r="S28" s="1"/>
    </row>
    <row r="29" spans="2:21" x14ac:dyDescent="0.25">
      <c r="B29" s="7" t="s">
        <v>1750</v>
      </c>
      <c r="C29" s="19">
        <v>22178226.931640327</v>
      </c>
      <c r="O29" s="6" t="s">
        <v>1630</v>
      </c>
      <c r="P29" t="s">
        <v>1819</v>
      </c>
      <c r="R29" s="7"/>
      <c r="S29" s="1"/>
    </row>
    <row r="30" spans="2:21" x14ac:dyDescent="0.25">
      <c r="B30" s="7" t="s">
        <v>1751</v>
      </c>
      <c r="C30" s="19">
        <v>19146244.038623445</v>
      </c>
      <c r="O30" s="7" t="s">
        <v>1750</v>
      </c>
      <c r="P30" s="19">
        <v>28067613.353638936</v>
      </c>
      <c r="R30" t="s">
        <v>1725</v>
      </c>
      <c r="S30" t="e">
        <f>VLOOKUP(R30,$O$30:$P$39,2,FALSE)</f>
        <v>#N/A</v>
      </c>
    </row>
    <row r="31" spans="2:21" x14ac:dyDescent="0.25">
      <c r="B31" s="7" t="s">
        <v>1752</v>
      </c>
      <c r="C31" s="19">
        <v>17988005.156641632</v>
      </c>
      <c r="O31" s="7" t="s">
        <v>1752</v>
      </c>
      <c r="P31" s="19">
        <v>22374527.342120469</v>
      </c>
      <c r="R31" t="s">
        <v>1820</v>
      </c>
      <c r="S31" t="e">
        <f t="shared" ref="S31:S39" si="2">VLOOKUP(R31,$O$30:$P$39,2,FALSE)</f>
        <v>#N/A</v>
      </c>
    </row>
    <row r="32" spans="2:21" x14ac:dyDescent="0.25">
      <c r="B32" s="7" t="s">
        <v>1753</v>
      </c>
      <c r="C32" s="19">
        <v>17291875.330879133</v>
      </c>
      <c r="O32" s="7" t="s">
        <v>1751</v>
      </c>
      <c r="P32" s="19">
        <v>22370670.667484678</v>
      </c>
      <c r="R32" t="s">
        <v>1751</v>
      </c>
      <c r="S32">
        <f t="shared" si="2"/>
        <v>22370670.667484678</v>
      </c>
    </row>
    <row r="33" spans="2:20" x14ac:dyDescent="0.25">
      <c r="B33" s="7" t="s">
        <v>1754</v>
      </c>
      <c r="C33" s="19">
        <v>16160444.541201487</v>
      </c>
      <c r="O33" s="7" t="s">
        <v>1754</v>
      </c>
      <c r="P33" s="19">
        <v>18131374.501976471</v>
      </c>
      <c r="R33" t="s">
        <v>1821</v>
      </c>
      <c r="S33" t="e">
        <f t="shared" si="2"/>
        <v>#N/A</v>
      </c>
    </row>
    <row r="34" spans="2:20" x14ac:dyDescent="0.25">
      <c r="B34" s="7" t="s">
        <v>1755</v>
      </c>
      <c r="C34" s="19">
        <v>15209162.39272083</v>
      </c>
      <c r="O34" s="7" t="s">
        <v>1755</v>
      </c>
      <c r="P34" s="19">
        <v>16679609.187048743</v>
      </c>
      <c r="R34" t="s">
        <v>1822</v>
      </c>
      <c r="S34" t="e">
        <f t="shared" si="2"/>
        <v>#N/A</v>
      </c>
    </row>
    <row r="35" spans="2:20" x14ac:dyDescent="0.25">
      <c r="B35" s="7" t="s">
        <v>1756</v>
      </c>
      <c r="C35" s="19">
        <v>13039730.910730058</v>
      </c>
      <c r="O35" s="7" t="s">
        <v>1753</v>
      </c>
      <c r="P35" s="19">
        <v>15783515.486618888</v>
      </c>
      <c r="R35" t="s">
        <v>1823</v>
      </c>
      <c r="S35" t="e">
        <f t="shared" si="2"/>
        <v>#N/A</v>
      </c>
    </row>
    <row r="36" spans="2:20" x14ac:dyDescent="0.25">
      <c r="B36" s="7" t="s">
        <v>1757</v>
      </c>
      <c r="C36" s="19">
        <v>11116067.889425462</v>
      </c>
      <c r="O36" s="7" t="s">
        <v>1756</v>
      </c>
      <c r="P36" s="19">
        <v>15626067.125798743</v>
      </c>
      <c r="R36" t="s">
        <v>1772</v>
      </c>
      <c r="S36" t="e">
        <f t="shared" si="2"/>
        <v>#N/A</v>
      </c>
    </row>
    <row r="37" spans="2:20" x14ac:dyDescent="0.25">
      <c r="B37" s="7" t="s">
        <v>1758</v>
      </c>
      <c r="C37" s="19">
        <v>9908127.7198460177</v>
      </c>
      <c r="O37" s="7" t="s">
        <v>1757</v>
      </c>
      <c r="P37" s="19">
        <v>12131074.240850015</v>
      </c>
      <c r="R37" s="7" t="s">
        <v>1824</v>
      </c>
      <c r="S37" t="e">
        <f t="shared" si="2"/>
        <v>#N/A</v>
      </c>
    </row>
    <row r="38" spans="2:20" x14ac:dyDescent="0.25">
      <c r="B38" s="7" t="s">
        <v>1759</v>
      </c>
      <c r="C38" s="19">
        <v>7064037.1013519382</v>
      </c>
      <c r="O38" s="7" t="s">
        <v>1760</v>
      </c>
      <c r="P38" s="19">
        <v>10288716.915080495</v>
      </c>
      <c r="R38" t="s">
        <v>1825</v>
      </c>
      <c r="S38" t="e">
        <f t="shared" si="2"/>
        <v>#N/A</v>
      </c>
    </row>
    <row r="39" spans="2:20" x14ac:dyDescent="0.25">
      <c r="O39" s="7" t="s">
        <v>1759</v>
      </c>
      <c r="P39" s="19">
        <v>6462663.2610029317</v>
      </c>
      <c r="R39" s="7" t="s">
        <v>1826</v>
      </c>
      <c r="S39" t="e">
        <f t="shared" si="2"/>
        <v>#N/A</v>
      </c>
    </row>
    <row r="40" spans="2:20" x14ac:dyDescent="0.25">
      <c r="R40" s="7"/>
      <c r="S40" s="1"/>
      <c r="T40" s="9"/>
    </row>
    <row r="41" spans="2:20" x14ac:dyDescent="0.25">
      <c r="R41" s="7"/>
      <c r="S41" s="1"/>
    </row>
    <row r="42" spans="2:20" x14ac:dyDescent="0.25">
      <c r="R42" s="7"/>
      <c r="S42" s="1"/>
    </row>
    <row r="43" spans="2:20" x14ac:dyDescent="0.25">
      <c r="R43" s="7"/>
      <c r="S43" s="1"/>
    </row>
    <row r="44" spans="2:20" x14ac:dyDescent="0.25">
      <c r="R44" s="7"/>
      <c r="S44" s="1"/>
    </row>
    <row r="45" spans="2:20" x14ac:dyDescent="0.25">
      <c r="R45" s="7"/>
      <c r="S45" s="1"/>
    </row>
    <row r="46" spans="2:20" x14ac:dyDescent="0.25">
      <c r="R46" s="7"/>
      <c r="S46" s="1"/>
    </row>
    <row r="47" spans="2:20" x14ac:dyDescent="0.25">
      <c r="R47" s="7"/>
      <c r="S47" s="1"/>
    </row>
    <row r="48" spans="2:20" x14ac:dyDescent="0.25">
      <c r="R48" s="7"/>
      <c r="S48" s="1"/>
    </row>
    <row r="49" spans="18:19" x14ac:dyDescent="0.25">
      <c r="R49" s="7"/>
      <c r="S49" s="1"/>
    </row>
    <row r="50" spans="18:19" x14ac:dyDescent="0.25">
      <c r="R50" s="7"/>
      <c r="S50" s="1"/>
    </row>
    <row r="51" spans="18:19" x14ac:dyDescent="0.25">
      <c r="R51" s="7"/>
      <c r="S51" s="1"/>
    </row>
    <row r="52" spans="18:19" x14ac:dyDescent="0.25">
      <c r="R52" s="7"/>
      <c r="S52" s="1"/>
    </row>
    <row r="53" spans="18:19" x14ac:dyDescent="0.25">
      <c r="R53" s="7"/>
      <c r="S53" s="1"/>
    </row>
    <row r="54" spans="18:19" x14ac:dyDescent="0.25">
      <c r="R54" s="7"/>
      <c r="S54" s="1"/>
    </row>
    <row r="55" spans="18:19" x14ac:dyDescent="0.25">
      <c r="R55" s="7"/>
      <c r="S55" s="1"/>
    </row>
    <row r="56" spans="18:19" x14ac:dyDescent="0.25">
      <c r="R56" s="7"/>
      <c r="S56" s="1"/>
    </row>
    <row r="57" spans="18:19" x14ac:dyDescent="0.25">
      <c r="R57" s="7"/>
      <c r="S57" s="1"/>
    </row>
    <row r="58" spans="18:19" x14ac:dyDescent="0.25">
      <c r="R58" s="7"/>
      <c r="S58" s="1"/>
    </row>
    <row r="59" spans="18:19" x14ac:dyDescent="0.25">
      <c r="R59" s="7"/>
      <c r="S59" s="1"/>
    </row>
    <row r="60" spans="18:19" x14ac:dyDescent="0.25">
      <c r="R60" s="7"/>
      <c r="S60" s="1"/>
    </row>
    <row r="61" spans="18:19" x14ac:dyDescent="0.25">
      <c r="R61" s="7"/>
      <c r="S61" s="1"/>
    </row>
    <row r="62" spans="18:19" x14ac:dyDescent="0.25">
      <c r="R62" s="7"/>
      <c r="S62" s="1"/>
    </row>
    <row r="63" spans="18:19" x14ac:dyDescent="0.25">
      <c r="R63" s="7"/>
      <c r="S63" s="1"/>
    </row>
    <row r="64" spans="18:19" x14ac:dyDescent="0.25">
      <c r="R64" s="7"/>
      <c r="S64" s="1"/>
    </row>
    <row r="65" spans="18:24" x14ac:dyDescent="0.25">
      <c r="R65" s="7"/>
      <c r="S65" s="1"/>
    </row>
    <row r="69" spans="18:24" x14ac:dyDescent="0.25">
      <c r="R69" t="s">
        <v>1747</v>
      </c>
      <c r="S69" t="s">
        <v>1748</v>
      </c>
    </row>
    <row r="70" spans="18:24" x14ac:dyDescent="0.25">
      <c r="R70" s="7"/>
      <c r="S70" s="19"/>
    </row>
    <row r="71" spans="18:24" x14ac:dyDescent="0.25">
      <c r="R71" t="s">
        <v>1630</v>
      </c>
      <c r="S71" t="s">
        <v>1779</v>
      </c>
    </row>
    <row r="72" spans="18:24" x14ac:dyDescent="0.25">
      <c r="R72" s="7" t="s">
        <v>1725</v>
      </c>
      <c r="S72" s="1">
        <v>785.73247240853732</v>
      </c>
    </row>
    <row r="73" spans="18:24" x14ac:dyDescent="0.25">
      <c r="R73" s="17" t="s">
        <v>1827</v>
      </c>
      <c r="S73" s="1">
        <v>352.88427411268384</v>
      </c>
      <c r="T73" s="9">
        <f>S73/S72</f>
        <v>0.44911504424778764</v>
      </c>
      <c r="W73" s="60"/>
      <c r="X73" s="61"/>
    </row>
    <row r="74" spans="18:24" x14ac:dyDescent="0.25">
      <c r="R74" s="17" t="s">
        <v>1828</v>
      </c>
      <c r="S74" s="1">
        <v>105.04577617851177</v>
      </c>
      <c r="W74" s="62"/>
      <c r="X74" s="63"/>
    </row>
    <row r="75" spans="18:24" x14ac:dyDescent="0.25">
      <c r="R75" s="17" t="s">
        <v>1829</v>
      </c>
      <c r="S75" s="1">
        <v>91.387341923622557</v>
      </c>
      <c r="W75" s="62"/>
      <c r="X75" s="63"/>
    </row>
    <row r="76" spans="18:24" x14ac:dyDescent="0.25">
      <c r="R76" s="17" t="s">
        <v>1830</v>
      </c>
      <c r="S76" s="1">
        <v>68.043836106175462</v>
      </c>
      <c r="W76" s="62"/>
      <c r="X76" s="63"/>
    </row>
    <row r="77" spans="18:24" x14ac:dyDescent="0.25">
      <c r="R77" s="17" t="s">
        <v>1831</v>
      </c>
      <c r="S77" s="1">
        <v>48.177022644518402</v>
      </c>
      <c r="W77" s="62"/>
      <c r="X77" s="63"/>
    </row>
    <row r="78" spans="18:24" x14ac:dyDescent="0.25">
      <c r="R78" s="17" t="s">
        <v>1800</v>
      </c>
      <c r="S78" s="1">
        <v>36.256934567524169</v>
      </c>
      <c r="W78" s="62"/>
      <c r="X78" s="63"/>
    </row>
    <row r="79" spans="18:24" x14ac:dyDescent="0.25">
      <c r="R79" s="17" t="s">
        <v>1832</v>
      </c>
      <c r="S79" s="1">
        <v>27.068533341507763</v>
      </c>
      <c r="W79" s="62"/>
      <c r="X79" s="63"/>
    </row>
    <row r="80" spans="18:24" x14ac:dyDescent="0.25">
      <c r="R80" s="17" t="s">
        <v>1833</v>
      </c>
      <c r="S80" s="1">
        <v>25.33018716361277</v>
      </c>
      <c r="W80" s="62"/>
      <c r="X80" s="63"/>
    </row>
    <row r="81" spans="18:24" x14ac:dyDescent="0.25">
      <c r="R81" s="17" t="s">
        <v>1834</v>
      </c>
      <c r="S81" s="1">
        <v>23.343505817447063</v>
      </c>
      <c r="W81" s="62"/>
      <c r="X81" s="63"/>
    </row>
    <row r="82" spans="18:24" x14ac:dyDescent="0.25">
      <c r="R82" s="17" t="s">
        <v>1835</v>
      </c>
      <c r="S82" s="1">
        <v>8.1950605529335441</v>
      </c>
    </row>
    <row r="83" spans="18:24" x14ac:dyDescent="0.25">
      <c r="R83" s="7" t="s">
        <v>1751</v>
      </c>
      <c r="S83" s="1">
        <v>254.44062013126739</v>
      </c>
    </row>
    <row r="84" spans="18:24" x14ac:dyDescent="0.25">
      <c r="R84" s="17" t="s">
        <v>1827</v>
      </c>
      <c r="S84" s="1">
        <v>180.12969135461216</v>
      </c>
      <c r="T84" s="21">
        <f>S84/S83</f>
        <v>0.70794392523364469</v>
      </c>
    </row>
    <row r="85" spans="18:24" x14ac:dyDescent="0.25">
      <c r="R85" s="17" t="s">
        <v>1829</v>
      </c>
      <c r="S85" s="1">
        <v>44.586557265993115</v>
      </c>
    </row>
    <row r="86" spans="18:24" x14ac:dyDescent="0.25">
      <c r="R86" s="17" t="s">
        <v>1836</v>
      </c>
      <c r="S86" s="1">
        <v>14.267698325117797</v>
      </c>
    </row>
    <row r="87" spans="18:24" x14ac:dyDescent="0.25">
      <c r="R87" s="17" t="s">
        <v>1800</v>
      </c>
      <c r="S87" s="1">
        <v>6.8366054474522793</v>
      </c>
    </row>
    <row r="88" spans="18:24" x14ac:dyDescent="0.25">
      <c r="R88" s="17" t="s">
        <v>1830</v>
      </c>
      <c r="S88" s="1">
        <v>6.5393617323456565</v>
      </c>
    </row>
    <row r="89" spans="18:24" x14ac:dyDescent="0.25">
      <c r="R89" s="17" t="s">
        <v>1835</v>
      </c>
      <c r="S89" s="1">
        <v>2.0807060057463453</v>
      </c>
    </row>
    <row r="90" spans="18:24" x14ac:dyDescent="0.25">
      <c r="R90" s="7" t="s">
        <v>1820</v>
      </c>
      <c r="S90" s="1">
        <v>187.26408091863993</v>
      </c>
    </row>
    <row r="91" spans="18:24" x14ac:dyDescent="0.25">
      <c r="R91" s="17" t="s">
        <v>1827</v>
      </c>
      <c r="S91" s="1">
        <v>78.892363925244112</v>
      </c>
    </row>
    <row r="92" spans="18:24" x14ac:dyDescent="0.25">
      <c r="R92" s="17" t="s">
        <v>1829</v>
      </c>
      <c r="S92" s="1">
        <v>58.677950392797221</v>
      </c>
    </row>
    <row r="93" spans="18:24" x14ac:dyDescent="0.25">
      <c r="R93" s="17" t="s">
        <v>1831</v>
      </c>
      <c r="S93" s="1">
        <v>17.968367584397232</v>
      </c>
    </row>
    <row r="94" spans="18:24" x14ac:dyDescent="0.25">
      <c r="R94" s="17" t="s">
        <v>1836</v>
      </c>
      <c r="S94" s="1">
        <v>16.283833123359994</v>
      </c>
    </row>
    <row r="95" spans="18:24" x14ac:dyDescent="0.25">
      <c r="R95" s="17" t="s">
        <v>1835</v>
      </c>
      <c r="S95" s="1">
        <v>7.5804050746675831</v>
      </c>
    </row>
    <row r="96" spans="18:24" x14ac:dyDescent="0.25">
      <c r="R96" s="17" t="s">
        <v>1800</v>
      </c>
      <c r="S96" s="1">
        <v>6.4573821006427572</v>
      </c>
    </row>
    <row r="97" spans="18:19" x14ac:dyDescent="0.25">
      <c r="R97" s="17" t="s">
        <v>1830</v>
      </c>
      <c r="S97" s="1">
        <v>1.4037787175310341</v>
      </c>
    </row>
    <row r="98" spans="18:19" x14ac:dyDescent="0.25">
      <c r="R98" s="7" t="s">
        <v>1772</v>
      </c>
      <c r="S98" s="1">
        <v>178.46243241777623</v>
      </c>
    </row>
    <row r="99" spans="18:19" x14ac:dyDescent="0.25">
      <c r="R99" s="17" t="s">
        <v>1827</v>
      </c>
      <c r="S99" s="1">
        <v>86.247801685186673</v>
      </c>
    </row>
    <row r="100" spans="18:19" x14ac:dyDescent="0.25">
      <c r="R100" s="17" t="s">
        <v>1829</v>
      </c>
      <c r="S100" s="1">
        <v>61.024387984801898</v>
      </c>
    </row>
    <row r="101" spans="18:19" x14ac:dyDescent="0.25">
      <c r="R101" s="17" t="s">
        <v>1836</v>
      </c>
      <c r="S101" s="1">
        <v>14.103414112043103</v>
      </c>
    </row>
    <row r="102" spans="18:19" x14ac:dyDescent="0.25">
      <c r="R102" s="17" t="s">
        <v>1835</v>
      </c>
      <c r="S102" s="1">
        <v>10.577560584032328</v>
      </c>
    </row>
    <row r="103" spans="18:19" x14ac:dyDescent="0.25">
      <c r="R103" s="17" t="s">
        <v>1800</v>
      </c>
      <c r="S103" s="1">
        <v>6.5092680517122021</v>
      </c>
    </row>
    <row r="104" spans="18:19" x14ac:dyDescent="0.25">
      <c r="R104" s="7" t="s">
        <v>1822</v>
      </c>
      <c r="S104" s="1">
        <v>136.77864042645461</v>
      </c>
    </row>
    <row r="105" spans="18:19" x14ac:dyDescent="0.25">
      <c r="R105" s="17" t="s">
        <v>1835</v>
      </c>
      <c r="S105" s="1">
        <v>45.040239170731525</v>
      </c>
    </row>
    <row r="106" spans="18:19" x14ac:dyDescent="0.25">
      <c r="R106" s="17" t="s">
        <v>1827</v>
      </c>
      <c r="S106" s="1">
        <v>39.237508970821317</v>
      </c>
    </row>
    <row r="107" spans="18:19" x14ac:dyDescent="0.25">
      <c r="R107" s="17" t="s">
        <v>1829</v>
      </c>
      <c r="S107" s="1">
        <v>16.57922914260056</v>
      </c>
    </row>
    <row r="108" spans="18:19" x14ac:dyDescent="0.25">
      <c r="R108" s="17" t="s">
        <v>1836</v>
      </c>
      <c r="S108" s="1">
        <v>15.750267685470531</v>
      </c>
    </row>
    <row r="109" spans="18:19" x14ac:dyDescent="0.25">
      <c r="R109" s="17" t="s">
        <v>1831</v>
      </c>
      <c r="S109" s="1">
        <v>13.816024285500468</v>
      </c>
    </row>
    <row r="110" spans="18:19" x14ac:dyDescent="0.25">
      <c r="R110" s="17" t="s">
        <v>1800</v>
      </c>
      <c r="S110" s="1">
        <v>6.3553711713302148</v>
      </c>
    </row>
    <row r="111" spans="18:19" x14ac:dyDescent="0.25">
      <c r="R111" s="7" t="s">
        <v>1824</v>
      </c>
      <c r="S111" s="1">
        <v>88.339659281489986</v>
      </c>
    </row>
    <row r="112" spans="18:19" x14ac:dyDescent="0.25">
      <c r="R112" s="17" t="s">
        <v>1800</v>
      </c>
      <c r="S112" s="1">
        <v>31.141318739518049</v>
      </c>
    </row>
    <row r="113" spans="18:19" x14ac:dyDescent="0.25">
      <c r="R113" s="17" t="s">
        <v>1835</v>
      </c>
      <c r="S113" s="1">
        <v>19.383882072557153</v>
      </c>
    </row>
    <row r="114" spans="18:19" x14ac:dyDescent="0.25">
      <c r="R114" s="17" t="s">
        <v>1836</v>
      </c>
      <c r="S114" s="1">
        <v>15.888427928325541</v>
      </c>
    </row>
    <row r="115" spans="18:19" x14ac:dyDescent="0.25">
      <c r="R115" s="17" t="s">
        <v>1833</v>
      </c>
      <c r="S115" s="1">
        <v>12.075205225527409</v>
      </c>
    </row>
    <row r="116" spans="18:19" x14ac:dyDescent="0.25">
      <c r="R116" s="17" t="s">
        <v>1827</v>
      </c>
      <c r="S116" s="1">
        <v>6.3553711713302139</v>
      </c>
    </row>
    <row r="117" spans="18:19" x14ac:dyDescent="0.25">
      <c r="R117" s="17" t="s">
        <v>1829</v>
      </c>
      <c r="S117" s="1">
        <v>3.4954541442316183</v>
      </c>
    </row>
    <row r="118" spans="18:19" x14ac:dyDescent="0.25">
      <c r="R118" s="7" t="s">
        <v>1837</v>
      </c>
      <c r="S118" s="1">
        <v>62.918174596169116</v>
      </c>
    </row>
    <row r="119" spans="18:19" x14ac:dyDescent="0.25">
      <c r="R119" s="17" t="s">
        <v>1827</v>
      </c>
      <c r="S119" s="1">
        <v>62.918174596169116</v>
      </c>
    </row>
    <row r="120" spans="18:19" x14ac:dyDescent="0.25">
      <c r="R120" s="7" t="s">
        <v>1823</v>
      </c>
      <c r="S120" s="1">
        <v>57.19834054197193</v>
      </c>
    </row>
    <row r="121" spans="18:19" x14ac:dyDescent="0.25">
      <c r="R121" s="17" t="s">
        <v>1827</v>
      </c>
      <c r="S121" s="1">
        <v>36.543384235148736</v>
      </c>
    </row>
    <row r="122" spans="18:19" x14ac:dyDescent="0.25">
      <c r="R122" s="17" t="s">
        <v>1831</v>
      </c>
      <c r="S122" s="1">
        <v>19.066113513990643</v>
      </c>
    </row>
    <row r="123" spans="18:19" x14ac:dyDescent="0.25">
      <c r="R123" s="17" t="s">
        <v>1829</v>
      </c>
      <c r="S123" s="1">
        <v>1.5888427928325535</v>
      </c>
    </row>
    <row r="124" spans="18:19" x14ac:dyDescent="0.25">
      <c r="R124" s="7" t="s">
        <v>1826</v>
      </c>
      <c r="S124" s="1">
        <v>33.047930090917113</v>
      </c>
    </row>
    <row r="125" spans="18:19" x14ac:dyDescent="0.25">
      <c r="R125" s="17" t="s">
        <v>1785</v>
      </c>
      <c r="S125" s="1">
        <v>15.926713296827526</v>
      </c>
    </row>
    <row r="126" spans="18:19" x14ac:dyDescent="0.25">
      <c r="R126" s="17" t="s">
        <v>1800</v>
      </c>
      <c r="S126" s="1">
        <v>12.542286721251676</v>
      </c>
    </row>
    <row r="127" spans="18:19" x14ac:dyDescent="0.25">
      <c r="R127" s="17" t="s">
        <v>1836</v>
      </c>
      <c r="S127" s="1">
        <v>4.5789300728379132</v>
      </c>
    </row>
    <row r="128" spans="18:19" x14ac:dyDescent="0.25">
      <c r="R128" s="7" t="s">
        <v>1825</v>
      </c>
      <c r="S128" s="1">
        <v>10.486362432694856</v>
      </c>
    </row>
    <row r="129" spans="18:19" x14ac:dyDescent="0.25">
      <c r="R129" s="17" t="s">
        <v>1800</v>
      </c>
      <c r="S129" s="1">
        <v>7.3086768470297478</v>
      </c>
    </row>
    <row r="130" spans="18:19" x14ac:dyDescent="0.25">
      <c r="R130" s="17" t="s">
        <v>1835</v>
      </c>
      <c r="S130" s="1">
        <v>1.9066113513990641</v>
      </c>
    </row>
    <row r="131" spans="18:19" x14ac:dyDescent="0.25">
      <c r="R131" s="17" t="s">
        <v>1836</v>
      </c>
      <c r="S131" s="1">
        <v>1.2710742342660428</v>
      </c>
    </row>
    <row r="132" spans="18:19" x14ac:dyDescent="0.25">
      <c r="R132" s="7" t="s">
        <v>1838</v>
      </c>
      <c r="S132" s="1">
        <v>3.1776855856651069</v>
      </c>
    </row>
    <row r="133" spans="18:19" x14ac:dyDescent="0.25">
      <c r="R133" s="17" t="s">
        <v>1835</v>
      </c>
      <c r="S133" s="1">
        <v>3.1776855856651069</v>
      </c>
    </row>
    <row r="134" spans="18:19" x14ac:dyDescent="0.25">
      <c r="R134" s="7" t="s">
        <v>1639</v>
      </c>
      <c r="S134" s="1">
        <v>1797.8463988315837</v>
      </c>
    </row>
  </sheetData>
  <conditionalFormatting sqref="B29:B35">
    <cfRule type="expression" dxfId="3" priority="3">
      <formula>$A29="Rolex"</formula>
    </cfRule>
  </conditionalFormatting>
  <conditionalFormatting sqref="O30:O36">
    <cfRule type="expression" dxfId="2" priority="1">
      <formula>$A30="Rolex"</formula>
    </cfRule>
  </conditionalFormatting>
  <pageMargins left="0.7" right="0.7" top="0.75" bottom="0.75" header="0.3" footer="0.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0" tint="-0.499984740745262"/>
  </sheetPr>
  <dimension ref="B6:X397"/>
  <sheetViews>
    <sheetView workbookViewId="0"/>
  </sheetViews>
  <sheetFormatPr defaultRowHeight="15" x14ac:dyDescent="0.25"/>
  <cols>
    <col min="2" max="2" width="19.28515625" bestFit="1" customWidth="1"/>
    <col min="3" max="3" width="22.42578125" bestFit="1" customWidth="1"/>
    <col min="4" max="4" width="10.28515625" customWidth="1"/>
    <col min="14" max="14" width="19.42578125" bestFit="1" customWidth="1"/>
    <col min="15" max="15" width="22.7109375" bestFit="1" customWidth="1"/>
    <col min="16" max="16" width="13.140625" customWidth="1"/>
    <col min="17" max="17" width="23" customWidth="1"/>
    <col min="18" max="18" width="24.5703125" customWidth="1"/>
    <col min="19" max="19" width="24.28515625" customWidth="1"/>
    <col min="20" max="20" width="9.5703125" bestFit="1" customWidth="1"/>
  </cols>
  <sheetData>
    <row r="6" spans="18:22" x14ac:dyDescent="0.25">
      <c r="S6">
        <v>2018</v>
      </c>
      <c r="T6">
        <v>2019</v>
      </c>
      <c r="U6" t="s">
        <v>1817</v>
      </c>
    </row>
    <row r="7" spans="18:22" x14ac:dyDescent="0.25">
      <c r="R7" s="7" t="str">
        <f>B30</f>
        <v>Emirates</v>
      </c>
      <c r="S7" s="1" t="e">
        <f>(R30/(#REF!*86400))*3600</f>
        <v>#N/A</v>
      </c>
      <c r="T7" s="1" t="e">
        <f>(C30/(#REF!*86400))*3600</f>
        <v>#REF!</v>
      </c>
      <c r="U7" s="21" t="e">
        <f>T7/S7-1</f>
        <v>#REF!</v>
      </c>
      <c r="V7" s="9" t="e">
        <f>T7/$T$18</f>
        <v>#REF!</v>
      </c>
    </row>
    <row r="8" spans="18:22" x14ac:dyDescent="0.25">
      <c r="R8" s="7" t="str">
        <f t="shared" ref="R8:R17" si="0">B31</f>
        <v>IBM</v>
      </c>
      <c r="S8" s="1" t="e">
        <f>(R31/(#REF!*86400))*3600</f>
        <v>#N/A</v>
      </c>
      <c r="T8" s="1" t="e">
        <f>(C31/(#REF!*86400))*3600</f>
        <v>#REF!</v>
      </c>
      <c r="U8" s="21" t="e">
        <f>T8/S8-1</f>
        <v>#REF!</v>
      </c>
    </row>
    <row r="9" spans="18:22" x14ac:dyDescent="0.25">
      <c r="R9" s="7" t="str">
        <f t="shared" si="0"/>
        <v>Mercedes Benz</v>
      </c>
      <c r="S9" s="1" t="e">
        <f>(R32/(#REF!*86400))*3600</f>
        <v>#N/A</v>
      </c>
      <c r="T9" s="1" t="e">
        <f>(C32/(#REF!*86400))*3600</f>
        <v>#REF!</v>
      </c>
      <c r="U9" s="21" t="e">
        <f>T9/S9-1</f>
        <v>#REF!</v>
      </c>
    </row>
    <row r="10" spans="18:22" x14ac:dyDescent="0.25">
      <c r="R10" s="7" t="str">
        <f t="shared" si="0"/>
        <v>American Express</v>
      </c>
      <c r="S10" s="1" t="e">
        <f>(R33/(#REF!*86400))*3600</f>
        <v>#N/A</v>
      </c>
      <c r="T10" s="1" t="e">
        <f>(C33/(#REF!*86400))*3600</f>
        <v>#REF!</v>
      </c>
      <c r="U10" s="21" t="e">
        <f t="shared" ref="U10:U18" si="1">T10/S10-1</f>
        <v>#REF!</v>
      </c>
    </row>
    <row r="11" spans="18:22" x14ac:dyDescent="0.25">
      <c r="R11" s="7" t="str">
        <f t="shared" si="0"/>
        <v>JP Morgan</v>
      </c>
      <c r="S11" s="1" t="e">
        <f>(R34/(#REF!*86400))*3600</f>
        <v>#N/A</v>
      </c>
      <c r="T11" s="1" t="e">
        <f>(C34/(#REF!*86400))*3600</f>
        <v>#REF!</v>
      </c>
      <c r="U11" s="21" t="e">
        <f t="shared" si="1"/>
        <v>#REF!</v>
      </c>
    </row>
    <row r="12" spans="18:22" x14ac:dyDescent="0.25">
      <c r="R12" s="7" t="str">
        <f t="shared" si="0"/>
        <v>Ralph Lauren</v>
      </c>
      <c r="S12" s="1" t="e">
        <f>(R35/(#REF!*86400))*3600</f>
        <v>#N/A</v>
      </c>
      <c r="T12" s="1" t="e">
        <f>(C35/(#REF!*86400))*3600</f>
        <v>#REF!</v>
      </c>
      <c r="U12" s="21" t="e">
        <f t="shared" si="1"/>
        <v>#REF!</v>
      </c>
    </row>
    <row r="13" spans="18:22" x14ac:dyDescent="0.25">
      <c r="R13" s="7" t="str">
        <f t="shared" si="0"/>
        <v>Chase</v>
      </c>
      <c r="S13" s="1">
        <v>0</v>
      </c>
      <c r="T13" s="1" t="e">
        <f>(C36/(#REF!*86400))*3600</f>
        <v>#REF!</v>
      </c>
      <c r="U13" s="21" t="e">
        <f t="shared" si="1"/>
        <v>#REF!</v>
      </c>
    </row>
    <row r="14" spans="18:22" x14ac:dyDescent="0.25">
      <c r="R14" s="7" t="str">
        <f t="shared" si="0"/>
        <v>Chubb</v>
      </c>
      <c r="S14" s="1">
        <v>0</v>
      </c>
      <c r="T14" s="1" t="e">
        <f>(C37/(#REF!*86400))*3600</f>
        <v>#REF!</v>
      </c>
      <c r="U14" s="21" t="e">
        <f t="shared" si="1"/>
        <v>#REF!</v>
      </c>
    </row>
    <row r="15" spans="18:22" x14ac:dyDescent="0.25">
      <c r="R15" s="7" t="str">
        <f t="shared" si="0"/>
        <v>IHG</v>
      </c>
      <c r="S15" s="1" t="e">
        <f>(R38/(#REF!*86400))*3600</f>
        <v>#REF!</v>
      </c>
      <c r="T15" s="1" t="e">
        <f>(C38/(#REF!*86400))*3600</f>
        <v>#REF!</v>
      </c>
      <c r="U15" s="21" t="e">
        <f t="shared" si="1"/>
        <v>#REF!</v>
      </c>
      <c r="V15" s="1"/>
    </row>
    <row r="16" spans="18:22" x14ac:dyDescent="0.25">
      <c r="R16" s="7" t="str">
        <f t="shared" si="0"/>
        <v>Spectrum</v>
      </c>
      <c r="S16" s="1" t="e">
        <f>(R39/(#REF!*86400))*3600</f>
        <v>#REF!</v>
      </c>
      <c r="T16" s="1" t="e">
        <f>(C39/(#REF!*86400))*3600</f>
        <v>#REF!</v>
      </c>
      <c r="U16" s="21" t="e">
        <f t="shared" si="1"/>
        <v>#REF!</v>
      </c>
    </row>
    <row r="17" spans="2:21" x14ac:dyDescent="0.25">
      <c r="R17" s="7" t="str">
        <f t="shared" si="0"/>
        <v>Bermuda</v>
      </c>
      <c r="S17" s="1" t="e">
        <f>(R40/(#REF!*86400))*3600</f>
        <v>#REF!</v>
      </c>
      <c r="T17" s="1" t="e">
        <f>(C40/(#REF!*86400))*3600</f>
        <v>#REF!</v>
      </c>
      <c r="U17" s="21" t="e">
        <f t="shared" si="1"/>
        <v>#REF!</v>
      </c>
    </row>
    <row r="18" spans="2:21" x14ac:dyDescent="0.25">
      <c r="R18" s="48"/>
      <c r="S18" s="22" t="e">
        <f>SUM(S6:S17)</f>
        <v>#N/A</v>
      </c>
      <c r="T18" s="1" t="e">
        <f>SUM(T7:T17)</f>
        <v>#REF!</v>
      </c>
      <c r="U18" s="21" t="e">
        <f t="shared" si="1"/>
        <v>#REF!</v>
      </c>
    </row>
    <row r="19" spans="2:21" x14ac:dyDescent="0.25">
      <c r="R19" s="7"/>
      <c r="S19" s="7"/>
      <c r="T19" s="19"/>
    </row>
    <row r="21" spans="2:21" x14ac:dyDescent="0.25">
      <c r="R21" s="7"/>
      <c r="S21" s="1"/>
      <c r="U21" s="9"/>
    </row>
    <row r="22" spans="2:21" x14ac:dyDescent="0.25">
      <c r="R22" s="17"/>
      <c r="S22" s="1"/>
      <c r="T22" s="9"/>
      <c r="U22" s="9"/>
    </row>
    <row r="23" spans="2:21" x14ac:dyDescent="0.25">
      <c r="R23" s="17"/>
      <c r="S23" s="1"/>
      <c r="T23" s="9"/>
      <c r="U23" s="9"/>
    </row>
    <row r="24" spans="2:21" x14ac:dyDescent="0.25">
      <c r="R24" s="17"/>
      <c r="S24" s="1"/>
      <c r="U24" s="9"/>
    </row>
    <row r="25" spans="2:21" x14ac:dyDescent="0.25">
      <c r="B25" s="237" t="s">
        <v>1839</v>
      </c>
      <c r="C25" s="237"/>
      <c r="R25" s="17"/>
      <c r="S25" s="1"/>
    </row>
    <row r="26" spans="2:21" x14ac:dyDescent="0.25">
      <c r="B26" s="6" t="s">
        <v>1777</v>
      </c>
      <c r="C26" t="s">
        <v>1818</v>
      </c>
      <c r="R26" s="17"/>
      <c r="S26" s="1"/>
    </row>
    <row r="27" spans="2:21" x14ac:dyDescent="0.25">
      <c r="B27" s="6" t="s">
        <v>1840</v>
      </c>
      <c r="C27" t="s">
        <v>1628</v>
      </c>
      <c r="N27" s="6" t="s">
        <v>1840</v>
      </c>
      <c r="O27" t="s">
        <v>1669</v>
      </c>
      <c r="R27" s="17"/>
      <c r="S27" s="1"/>
    </row>
    <row r="28" spans="2:21" x14ac:dyDescent="0.25">
      <c r="R28" s="17"/>
      <c r="S28" s="1"/>
    </row>
    <row r="29" spans="2:21" x14ac:dyDescent="0.25">
      <c r="B29" s="6" t="s">
        <v>1630</v>
      </c>
      <c r="C29" t="s">
        <v>1819</v>
      </c>
      <c r="N29" s="6" t="s">
        <v>1630</v>
      </c>
      <c r="O29" t="s">
        <v>1819</v>
      </c>
      <c r="R29" s="17"/>
      <c r="S29" s="1"/>
    </row>
    <row r="30" spans="2:21" x14ac:dyDescent="0.25">
      <c r="B30" s="7" t="s">
        <v>1751</v>
      </c>
      <c r="C30" s="19">
        <v>19410191.545409389</v>
      </c>
      <c r="N30" s="7" t="s">
        <v>1725</v>
      </c>
      <c r="O30" s="19">
        <v>4929267.0377318049</v>
      </c>
      <c r="Q30" t="s">
        <v>1725</v>
      </c>
      <c r="R30" s="22" t="e">
        <f t="shared" ref="R30:R37" si="2">VLOOKUP(R7,$N$30:$O$37,2,FALSE)</f>
        <v>#N/A</v>
      </c>
      <c r="S30" s="1"/>
    </row>
    <row r="31" spans="2:21" x14ac:dyDescent="0.25">
      <c r="B31" s="7" t="s">
        <v>1755</v>
      </c>
      <c r="C31" s="19">
        <v>18376413.301905934</v>
      </c>
      <c r="Q31" t="s">
        <v>1841</v>
      </c>
      <c r="R31" s="22" t="e">
        <f t="shared" si="2"/>
        <v>#N/A</v>
      </c>
    </row>
    <row r="32" spans="2:21" x14ac:dyDescent="0.25">
      <c r="B32" s="7" t="s">
        <v>1752</v>
      </c>
      <c r="C32" s="19">
        <v>18096148.195221193</v>
      </c>
      <c r="Q32" t="s">
        <v>1842</v>
      </c>
      <c r="R32" s="22" t="e">
        <f t="shared" si="2"/>
        <v>#N/A</v>
      </c>
    </row>
    <row r="33" spans="2:20" x14ac:dyDescent="0.25">
      <c r="B33" s="7" t="s">
        <v>1753</v>
      </c>
      <c r="C33" s="19">
        <v>17457193.267984379</v>
      </c>
      <c r="Q33" t="s">
        <v>1843</v>
      </c>
      <c r="R33" s="22" t="e">
        <f t="shared" si="2"/>
        <v>#N/A</v>
      </c>
    </row>
    <row r="34" spans="2:20" x14ac:dyDescent="0.25">
      <c r="B34" s="7" t="s">
        <v>1754</v>
      </c>
      <c r="C34" s="19">
        <v>16244916.142197708</v>
      </c>
      <c r="Q34" t="s">
        <v>1844</v>
      </c>
      <c r="R34" s="22" t="e">
        <f t="shared" si="2"/>
        <v>#N/A</v>
      </c>
    </row>
    <row r="35" spans="2:20" x14ac:dyDescent="0.25">
      <c r="B35" s="7" t="s">
        <v>1756</v>
      </c>
      <c r="C35" s="19">
        <v>13117040.797241211</v>
      </c>
      <c r="Q35" t="s">
        <v>1845</v>
      </c>
      <c r="R35" s="22" t="e">
        <f t="shared" si="2"/>
        <v>#N/A</v>
      </c>
    </row>
    <row r="36" spans="2:20" x14ac:dyDescent="0.25">
      <c r="B36" s="7" t="s">
        <v>1757</v>
      </c>
      <c r="C36" s="19">
        <v>11419316.030618429</v>
      </c>
      <c r="R36" s="22" t="e">
        <f t="shared" si="2"/>
        <v>#N/A</v>
      </c>
    </row>
    <row r="37" spans="2:20" x14ac:dyDescent="0.25">
      <c r="B37" s="7" t="s">
        <v>1758</v>
      </c>
      <c r="C37" s="19">
        <v>9908127.7198460177</v>
      </c>
      <c r="R37" s="22" t="e">
        <f t="shared" si="2"/>
        <v>#N/A</v>
      </c>
    </row>
    <row r="38" spans="2:20" x14ac:dyDescent="0.25">
      <c r="B38" s="7" t="s">
        <v>1759</v>
      </c>
      <c r="C38" s="19">
        <v>7064037.1013519382</v>
      </c>
      <c r="R38" s="7"/>
      <c r="S38" s="19"/>
    </row>
    <row r="39" spans="2:20" x14ac:dyDescent="0.25">
      <c r="B39" s="7" t="s">
        <v>1761</v>
      </c>
      <c r="C39" s="19">
        <v>5782018.7179461839</v>
      </c>
    </row>
    <row r="40" spans="2:20" x14ac:dyDescent="0.25">
      <c r="B40" s="7" t="s">
        <v>1762</v>
      </c>
      <c r="C40" s="19">
        <v>5226483.7352482677</v>
      </c>
      <c r="R40" s="7"/>
      <c r="S40" s="1"/>
    </row>
    <row r="41" spans="2:20" x14ac:dyDescent="0.25">
      <c r="B41" s="7" t="s">
        <v>1763</v>
      </c>
      <c r="C41" s="19">
        <v>4903985.9177035298</v>
      </c>
      <c r="R41" s="7"/>
      <c r="S41" s="1"/>
      <c r="T41" s="9"/>
    </row>
    <row r="42" spans="2:20" x14ac:dyDescent="0.25">
      <c r="B42" s="7" t="s">
        <v>183</v>
      </c>
      <c r="C42" s="19">
        <v>2469411.1102568577</v>
      </c>
      <c r="R42" s="7"/>
      <c r="S42" s="1"/>
    </row>
    <row r="43" spans="2:20" x14ac:dyDescent="0.25">
      <c r="B43" s="7" t="s">
        <v>1766</v>
      </c>
      <c r="C43" s="19">
        <v>878460.38295442751</v>
      </c>
      <c r="R43" s="7"/>
      <c r="S43" s="1"/>
    </row>
    <row r="44" spans="2:20" x14ac:dyDescent="0.25">
      <c r="B44" s="7" t="s">
        <v>1768</v>
      </c>
      <c r="C44" s="19">
        <v>643774.18967466417</v>
      </c>
      <c r="R44" s="7"/>
      <c r="S44" s="1"/>
    </row>
    <row r="45" spans="2:20" x14ac:dyDescent="0.25">
      <c r="B45" s="7" t="s">
        <v>1770</v>
      </c>
      <c r="C45" s="19">
        <v>634804.58744996297</v>
      </c>
      <c r="R45" s="7"/>
      <c r="S45" s="1"/>
    </row>
    <row r="46" spans="2:20" x14ac:dyDescent="0.25">
      <c r="B46" s="7" t="s">
        <v>1771</v>
      </c>
      <c r="C46" s="19">
        <v>150822.12549098083</v>
      </c>
      <c r="R46" s="7"/>
      <c r="S46" s="1"/>
    </row>
    <row r="47" spans="2:20" x14ac:dyDescent="0.25">
      <c r="R47" s="7"/>
      <c r="S47" s="1"/>
    </row>
    <row r="48" spans="2:20" x14ac:dyDescent="0.25">
      <c r="Q48" s="19"/>
      <c r="R48" s="7"/>
      <c r="S48" s="1"/>
    </row>
    <row r="49" spans="17:19" x14ac:dyDescent="0.25">
      <c r="Q49" s="19"/>
      <c r="R49" s="7"/>
      <c r="S49" s="1"/>
    </row>
    <row r="50" spans="17:19" x14ac:dyDescent="0.25">
      <c r="Q50" s="19"/>
      <c r="R50" s="7"/>
      <c r="S50" s="1"/>
    </row>
    <row r="51" spans="17:19" x14ac:dyDescent="0.25">
      <c r="Q51" s="19"/>
      <c r="R51" s="7"/>
      <c r="S51" s="1"/>
    </row>
    <row r="52" spans="17:19" x14ac:dyDescent="0.25">
      <c r="Q52" s="19"/>
      <c r="R52" s="7"/>
      <c r="S52" s="1"/>
    </row>
    <row r="53" spans="17:19" x14ac:dyDescent="0.25">
      <c r="Q53" s="19"/>
      <c r="R53" s="7"/>
      <c r="S53" s="1"/>
    </row>
    <row r="54" spans="17:19" x14ac:dyDescent="0.25">
      <c r="Q54" s="19"/>
      <c r="R54" s="7"/>
      <c r="S54" s="1"/>
    </row>
    <row r="55" spans="17:19" x14ac:dyDescent="0.25">
      <c r="Q55" s="19"/>
      <c r="R55" s="7"/>
      <c r="S55" s="1"/>
    </row>
    <row r="56" spans="17:19" x14ac:dyDescent="0.25">
      <c r="Q56" s="19"/>
      <c r="R56" s="7"/>
      <c r="S56" s="1"/>
    </row>
    <row r="57" spans="17:19" x14ac:dyDescent="0.25">
      <c r="Q57" s="19"/>
      <c r="R57" s="7"/>
      <c r="S57" s="1"/>
    </row>
    <row r="58" spans="17:19" x14ac:dyDescent="0.25">
      <c r="Q58" s="19"/>
      <c r="R58" s="7"/>
      <c r="S58" s="1"/>
    </row>
    <row r="59" spans="17:19" x14ac:dyDescent="0.25">
      <c r="Q59" s="19"/>
      <c r="R59" s="7"/>
      <c r="S59" s="1"/>
    </row>
    <row r="60" spans="17:19" x14ac:dyDescent="0.25">
      <c r="Q60" s="19"/>
      <c r="R60" s="7"/>
      <c r="S60" s="1"/>
    </row>
    <row r="61" spans="17:19" x14ac:dyDescent="0.25">
      <c r="Q61" s="19"/>
      <c r="R61" s="7"/>
      <c r="S61" s="1"/>
    </row>
    <row r="62" spans="17:19" x14ac:dyDescent="0.25">
      <c r="Q62" s="19"/>
      <c r="R62" s="7"/>
      <c r="S62" s="1"/>
    </row>
    <row r="63" spans="17:19" x14ac:dyDescent="0.25">
      <c r="Q63" s="19"/>
      <c r="R63" s="7"/>
      <c r="S63" s="1"/>
    </row>
    <row r="64" spans="17:19" x14ac:dyDescent="0.25">
      <c r="Q64" s="19"/>
      <c r="R64" s="7"/>
      <c r="S64" s="1"/>
    </row>
    <row r="65" spans="17:24" x14ac:dyDescent="0.25">
      <c r="Q65" s="19"/>
      <c r="R65" s="7"/>
      <c r="S65" s="1"/>
    </row>
    <row r="66" spans="17:24" x14ac:dyDescent="0.25">
      <c r="Q66" s="19"/>
      <c r="R66" s="7"/>
      <c r="S66" s="1"/>
    </row>
    <row r="67" spans="17:24" x14ac:dyDescent="0.25">
      <c r="Q67" s="19"/>
    </row>
    <row r="68" spans="17:24" x14ac:dyDescent="0.25">
      <c r="Q68" s="19"/>
    </row>
    <row r="69" spans="17:24" x14ac:dyDescent="0.25">
      <c r="Q69" s="19"/>
    </row>
    <row r="70" spans="17:24" x14ac:dyDescent="0.25">
      <c r="Q70" s="19"/>
    </row>
    <row r="71" spans="17:24" x14ac:dyDescent="0.25">
      <c r="Q71" s="19"/>
      <c r="R71" s="7"/>
      <c r="S71" s="19"/>
    </row>
    <row r="72" spans="17:24" x14ac:dyDescent="0.25">
      <c r="Q72" s="19"/>
    </row>
    <row r="73" spans="17:24" x14ac:dyDescent="0.25">
      <c r="Q73" s="19"/>
      <c r="R73" s="7"/>
      <c r="S73" s="1"/>
    </row>
    <row r="74" spans="17:24" x14ac:dyDescent="0.25">
      <c r="Q74" s="19"/>
      <c r="R74" s="17"/>
      <c r="S74" s="1"/>
      <c r="T74" s="9"/>
      <c r="W74" s="60"/>
      <c r="X74" s="61"/>
    </row>
    <row r="75" spans="17:24" x14ac:dyDescent="0.25">
      <c r="Q75" s="19"/>
      <c r="R75" s="17"/>
      <c r="S75" s="1"/>
      <c r="W75" s="62"/>
      <c r="X75" s="63"/>
    </row>
    <row r="76" spans="17:24" x14ac:dyDescent="0.25">
      <c r="Q76" s="19"/>
      <c r="R76" s="17"/>
      <c r="S76" s="1"/>
      <c r="W76" s="62"/>
      <c r="X76" s="63"/>
    </row>
    <row r="77" spans="17:24" x14ac:dyDescent="0.25">
      <c r="Q77" s="19"/>
      <c r="R77" s="17"/>
      <c r="S77" s="1"/>
      <c r="W77" s="62"/>
      <c r="X77" s="63"/>
    </row>
    <row r="78" spans="17:24" x14ac:dyDescent="0.25">
      <c r="Q78" s="19"/>
      <c r="R78" s="17"/>
      <c r="S78" s="1"/>
      <c r="W78" s="62"/>
      <c r="X78" s="63"/>
    </row>
    <row r="79" spans="17:24" x14ac:dyDescent="0.25">
      <c r="Q79" s="19"/>
      <c r="R79" s="17"/>
      <c r="S79" s="1"/>
      <c r="W79" s="62"/>
      <c r="X79" s="63"/>
    </row>
    <row r="80" spans="17:24" x14ac:dyDescent="0.25">
      <c r="Q80" s="19"/>
      <c r="R80" s="17"/>
      <c r="S80" s="1"/>
      <c r="W80" s="62"/>
      <c r="X80" s="63"/>
    </row>
    <row r="81" spans="17:24" x14ac:dyDescent="0.25">
      <c r="Q81" s="19"/>
      <c r="R81" s="17"/>
      <c r="S81" s="1"/>
      <c r="W81" s="62"/>
      <c r="X81" s="63"/>
    </row>
    <row r="82" spans="17:24" x14ac:dyDescent="0.25">
      <c r="Q82" s="19"/>
      <c r="R82" s="17"/>
      <c r="S82" s="1"/>
      <c r="W82" s="62"/>
      <c r="X82" s="63"/>
    </row>
    <row r="83" spans="17:24" x14ac:dyDescent="0.25">
      <c r="Q83" s="19"/>
      <c r="R83" s="17"/>
      <c r="S83" s="1"/>
    </row>
    <row r="84" spans="17:24" x14ac:dyDescent="0.25">
      <c r="Q84" s="19"/>
      <c r="R84" s="7"/>
      <c r="S84" s="1"/>
    </row>
    <row r="85" spans="17:24" x14ac:dyDescent="0.25">
      <c r="Q85" s="19"/>
      <c r="R85" s="17"/>
      <c r="S85" s="1"/>
      <c r="T85" s="21"/>
    </row>
    <row r="86" spans="17:24" x14ac:dyDescent="0.25">
      <c r="Q86" s="19"/>
      <c r="R86" s="17"/>
      <c r="S86" s="1"/>
    </row>
    <row r="87" spans="17:24" x14ac:dyDescent="0.25">
      <c r="Q87" s="19"/>
      <c r="R87" s="17"/>
      <c r="S87" s="1"/>
    </row>
    <row r="88" spans="17:24" x14ac:dyDescent="0.25">
      <c r="Q88" s="19"/>
      <c r="R88" s="17"/>
      <c r="S88" s="1"/>
    </row>
    <row r="89" spans="17:24" x14ac:dyDescent="0.25">
      <c r="Q89" s="19"/>
      <c r="R89" s="17"/>
      <c r="S89" s="1"/>
    </row>
    <row r="90" spans="17:24" x14ac:dyDescent="0.25">
      <c r="Q90" s="19"/>
      <c r="R90" s="17"/>
      <c r="S90" s="1"/>
    </row>
    <row r="91" spans="17:24" x14ac:dyDescent="0.25">
      <c r="Q91" s="19"/>
      <c r="R91" s="7"/>
      <c r="S91" s="1"/>
    </row>
    <row r="92" spans="17:24" x14ac:dyDescent="0.25">
      <c r="Q92" s="19"/>
      <c r="R92" s="17"/>
      <c r="S92" s="1"/>
    </row>
    <row r="93" spans="17:24" x14ac:dyDescent="0.25">
      <c r="Q93" s="19"/>
      <c r="R93" s="17"/>
      <c r="S93" s="1"/>
    </row>
    <row r="94" spans="17:24" x14ac:dyDescent="0.25">
      <c r="Q94" s="19"/>
      <c r="R94" s="17"/>
      <c r="S94" s="1"/>
    </row>
    <row r="95" spans="17:24" x14ac:dyDescent="0.25">
      <c r="Q95" s="19"/>
      <c r="R95" s="17"/>
      <c r="S95" s="1"/>
    </row>
    <row r="96" spans="17:24" x14ac:dyDescent="0.25">
      <c r="Q96" s="19"/>
      <c r="R96" s="17"/>
      <c r="S96" s="1"/>
    </row>
    <row r="97" spans="17:19" x14ac:dyDescent="0.25">
      <c r="Q97" s="19"/>
      <c r="R97" s="17"/>
      <c r="S97" s="1"/>
    </row>
    <row r="98" spans="17:19" x14ac:dyDescent="0.25">
      <c r="Q98" s="19"/>
      <c r="R98" s="17"/>
      <c r="S98" s="1"/>
    </row>
    <row r="99" spans="17:19" x14ac:dyDescent="0.25">
      <c r="Q99" s="19"/>
      <c r="R99" s="7"/>
      <c r="S99" s="1"/>
    </row>
    <row r="100" spans="17:19" x14ac:dyDescent="0.25">
      <c r="Q100" s="19"/>
      <c r="R100" s="17"/>
      <c r="S100" s="1"/>
    </row>
    <row r="101" spans="17:19" x14ac:dyDescent="0.25">
      <c r="Q101" s="19"/>
      <c r="R101" s="17"/>
      <c r="S101" s="1"/>
    </row>
    <row r="102" spans="17:19" x14ac:dyDescent="0.25">
      <c r="Q102" s="19"/>
      <c r="R102" s="17"/>
      <c r="S102" s="1"/>
    </row>
    <row r="103" spans="17:19" x14ac:dyDescent="0.25">
      <c r="Q103" s="19"/>
      <c r="R103" s="17"/>
      <c r="S103" s="1"/>
    </row>
    <row r="104" spans="17:19" x14ac:dyDescent="0.25">
      <c r="Q104" s="19"/>
      <c r="R104" s="17"/>
      <c r="S104" s="1"/>
    </row>
    <row r="105" spans="17:19" x14ac:dyDescent="0.25">
      <c r="Q105" s="19"/>
      <c r="R105" s="7"/>
      <c r="S105" s="1"/>
    </row>
    <row r="106" spans="17:19" x14ac:dyDescent="0.25">
      <c r="Q106" s="19"/>
      <c r="R106" s="17"/>
      <c r="S106" s="1"/>
    </row>
    <row r="107" spans="17:19" x14ac:dyDescent="0.25">
      <c r="Q107" s="19"/>
      <c r="R107" s="17"/>
      <c r="S107" s="1"/>
    </row>
    <row r="108" spans="17:19" x14ac:dyDescent="0.25">
      <c r="Q108" s="19"/>
      <c r="R108" s="17"/>
      <c r="S108" s="1"/>
    </row>
    <row r="109" spans="17:19" x14ac:dyDescent="0.25">
      <c r="Q109" s="19"/>
      <c r="R109" s="17"/>
      <c r="S109" s="1"/>
    </row>
    <row r="110" spans="17:19" x14ac:dyDescent="0.25">
      <c r="Q110" s="19"/>
      <c r="R110" s="17"/>
      <c r="S110" s="1"/>
    </row>
    <row r="111" spans="17:19" x14ac:dyDescent="0.25">
      <c r="Q111" s="19"/>
      <c r="R111" s="17"/>
      <c r="S111" s="1"/>
    </row>
    <row r="112" spans="17:19" x14ac:dyDescent="0.25">
      <c r="Q112" s="19"/>
      <c r="R112" s="7"/>
      <c r="S112" s="1"/>
    </row>
    <row r="113" spans="17:19" x14ac:dyDescent="0.25">
      <c r="Q113" s="19"/>
      <c r="R113" s="17"/>
      <c r="S113" s="1"/>
    </row>
    <row r="114" spans="17:19" x14ac:dyDescent="0.25">
      <c r="Q114" s="19"/>
      <c r="R114" s="17"/>
      <c r="S114" s="1"/>
    </row>
    <row r="115" spans="17:19" x14ac:dyDescent="0.25">
      <c r="Q115" s="19"/>
      <c r="R115" s="17"/>
      <c r="S115" s="1"/>
    </row>
    <row r="116" spans="17:19" x14ac:dyDescent="0.25">
      <c r="Q116" s="19"/>
      <c r="R116" s="17"/>
      <c r="S116" s="1"/>
    </row>
    <row r="117" spans="17:19" x14ac:dyDescent="0.25">
      <c r="Q117" s="19"/>
      <c r="R117" s="17"/>
      <c r="S117" s="1"/>
    </row>
    <row r="118" spans="17:19" x14ac:dyDescent="0.25">
      <c r="Q118" s="19"/>
      <c r="R118" s="17"/>
      <c r="S118" s="1"/>
    </row>
    <row r="119" spans="17:19" x14ac:dyDescent="0.25">
      <c r="Q119" s="19"/>
      <c r="R119" s="7"/>
      <c r="S119" s="1"/>
    </row>
    <row r="120" spans="17:19" x14ac:dyDescent="0.25">
      <c r="Q120" s="19"/>
      <c r="R120" s="17"/>
      <c r="S120" s="1"/>
    </row>
    <row r="121" spans="17:19" x14ac:dyDescent="0.25">
      <c r="Q121" s="19"/>
      <c r="R121" s="7"/>
      <c r="S121" s="1"/>
    </row>
    <row r="122" spans="17:19" x14ac:dyDescent="0.25">
      <c r="Q122" s="19"/>
      <c r="R122" s="17"/>
      <c r="S122" s="1"/>
    </row>
    <row r="123" spans="17:19" x14ac:dyDescent="0.25">
      <c r="Q123" s="19"/>
      <c r="R123" s="17"/>
      <c r="S123" s="1"/>
    </row>
    <row r="124" spans="17:19" x14ac:dyDescent="0.25">
      <c r="Q124" s="19"/>
      <c r="R124" s="17"/>
      <c r="S124" s="1"/>
    </row>
    <row r="125" spans="17:19" x14ac:dyDescent="0.25">
      <c r="Q125" s="19"/>
      <c r="R125" s="7"/>
      <c r="S125" s="1"/>
    </row>
    <row r="126" spans="17:19" x14ac:dyDescent="0.25">
      <c r="Q126" s="19"/>
      <c r="R126" s="17"/>
      <c r="S126" s="1"/>
    </row>
    <row r="127" spans="17:19" x14ac:dyDescent="0.25">
      <c r="Q127" s="19"/>
      <c r="R127" s="17"/>
      <c r="S127" s="1"/>
    </row>
    <row r="128" spans="17:19" x14ac:dyDescent="0.25">
      <c r="Q128" s="19"/>
      <c r="R128" s="17"/>
      <c r="S128" s="1"/>
    </row>
    <row r="129" spans="17:19" x14ac:dyDescent="0.25">
      <c r="Q129" s="19"/>
      <c r="R129" s="7"/>
      <c r="S129" s="1"/>
    </row>
    <row r="130" spans="17:19" x14ac:dyDescent="0.25">
      <c r="Q130" s="19"/>
      <c r="R130" s="17"/>
      <c r="S130" s="1"/>
    </row>
    <row r="131" spans="17:19" x14ac:dyDescent="0.25">
      <c r="Q131" s="19"/>
      <c r="R131" s="17"/>
      <c r="S131" s="1"/>
    </row>
    <row r="132" spans="17:19" x14ac:dyDescent="0.25">
      <c r="Q132" s="19"/>
      <c r="R132" s="17"/>
      <c r="S132" s="1"/>
    </row>
    <row r="133" spans="17:19" x14ac:dyDescent="0.25">
      <c r="Q133" s="19"/>
      <c r="R133" s="7"/>
      <c r="S133" s="1"/>
    </row>
    <row r="134" spans="17:19" x14ac:dyDescent="0.25">
      <c r="Q134" s="19"/>
      <c r="R134" s="17"/>
      <c r="S134" s="1"/>
    </row>
    <row r="135" spans="17:19" x14ac:dyDescent="0.25">
      <c r="Q135" s="19"/>
      <c r="R135" s="7"/>
      <c r="S135" s="1"/>
    </row>
    <row r="136" spans="17:19" x14ac:dyDescent="0.25">
      <c r="Q136" s="19"/>
    </row>
    <row r="137" spans="17:19" x14ac:dyDescent="0.25">
      <c r="Q137" s="19"/>
    </row>
    <row r="138" spans="17:19" x14ac:dyDescent="0.25">
      <c r="Q138" s="19"/>
    </row>
    <row r="139" spans="17:19" x14ac:dyDescent="0.25">
      <c r="Q139" s="19"/>
    </row>
    <row r="140" spans="17:19" x14ac:dyDescent="0.25">
      <c r="Q140" s="19"/>
    </row>
    <row r="141" spans="17:19" x14ac:dyDescent="0.25">
      <c r="Q141" s="19"/>
    </row>
    <row r="142" spans="17:19" x14ac:dyDescent="0.25">
      <c r="Q142" s="19"/>
    </row>
    <row r="143" spans="17:19" x14ac:dyDescent="0.25">
      <c r="Q143" s="19"/>
    </row>
    <row r="144" spans="17:19" x14ac:dyDescent="0.25">
      <c r="Q144" s="19"/>
    </row>
    <row r="145" spans="17:17" x14ac:dyDescent="0.25">
      <c r="Q145" s="19"/>
    </row>
    <row r="146" spans="17:17" x14ac:dyDescent="0.25">
      <c r="Q146" s="19"/>
    </row>
    <row r="147" spans="17:17" x14ac:dyDescent="0.25">
      <c r="Q147" s="19"/>
    </row>
    <row r="148" spans="17:17" x14ac:dyDescent="0.25">
      <c r="Q148" s="19"/>
    </row>
    <row r="149" spans="17:17" x14ac:dyDescent="0.25">
      <c r="Q149" s="19"/>
    </row>
    <row r="150" spans="17:17" x14ac:dyDescent="0.25">
      <c r="Q150" s="19"/>
    </row>
    <row r="151" spans="17:17" x14ac:dyDescent="0.25">
      <c r="Q151" s="19"/>
    </row>
    <row r="152" spans="17:17" x14ac:dyDescent="0.25">
      <c r="Q152" s="19"/>
    </row>
    <row r="153" spans="17:17" x14ac:dyDescent="0.25">
      <c r="Q153" s="19"/>
    </row>
    <row r="154" spans="17:17" x14ac:dyDescent="0.25">
      <c r="Q154" s="19"/>
    </row>
    <row r="155" spans="17:17" x14ac:dyDescent="0.25">
      <c r="Q155" s="19"/>
    </row>
    <row r="156" spans="17:17" x14ac:dyDescent="0.25">
      <c r="Q156" s="19"/>
    </row>
    <row r="157" spans="17:17" x14ac:dyDescent="0.25">
      <c r="Q157" s="19"/>
    </row>
    <row r="158" spans="17:17" x14ac:dyDescent="0.25">
      <c r="Q158" s="19"/>
    </row>
    <row r="159" spans="17:17" x14ac:dyDescent="0.25">
      <c r="Q159" s="19"/>
    </row>
    <row r="160" spans="17:17" x14ac:dyDescent="0.25">
      <c r="Q160" s="19"/>
    </row>
    <row r="161" spans="17:17" x14ac:dyDescent="0.25">
      <c r="Q161" s="19"/>
    </row>
    <row r="162" spans="17:17" x14ac:dyDescent="0.25">
      <c r="Q162" s="19"/>
    </row>
    <row r="163" spans="17:17" x14ac:dyDescent="0.25">
      <c r="Q163" s="19"/>
    </row>
    <row r="164" spans="17:17" x14ac:dyDescent="0.25">
      <c r="Q164" s="19"/>
    </row>
    <row r="165" spans="17:17" x14ac:dyDescent="0.25">
      <c r="Q165" s="19"/>
    </row>
    <row r="166" spans="17:17" x14ac:dyDescent="0.25">
      <c r="Q166" s="19"/>
    </row>
    <row r="167" spans="17:17" x14ac:dyDescent="0.25">
      <c r="Q167" s="19"/>
    </row>
    <row r="168" spans="17:17" x14ac:dyDescent="0.25">
      <c r="Q168" s="19"/>
    </row>
    <row r="169" spans="17:17" x14ac:dyDescent="0.25">
      <c r="Q169" s="19"/>
    </row>
    <row r="170" spans="17:17" x14ac:dyDescent="0.25">
      <c r="Q170" s="19"/>
    </row>
    <row r="171" spans="17:17" x14ac:dyDescent="0.25">
      <c r="Q171" s="19"/>
    </row>
    <row r="172" spans="17:17" x14ac:dyDescent="0.25">
      <c r="Q172" s="19"/>
    </row>
    <row r="173" spans="17:17" x14ac:dyDescent="0.25">
      <c r="Q173" s="19"/>
    </row>
    <row r="174" spans="17:17" x14ac:dyDescent="0.25">
      <c r="Q174" s="19"/>
    </row>
    <row r="175" spans="17:17" x14ac:dyDescent="0.25">
      <c r="Q175" s="19"/>
    </row>
    <row r="176" spans="17:17" x14ac:dyDescent="0.25">
      <c r="Q176" s="19"/>
    </row>
    <row r="177" spans="17:17" x14ac:dyDescent="0.25">
      <c r="Q177" s="19"/>
    </row>
    <row r="178" spans="17:17" x14ac:dyDescent="0.25">
      <c r="Q178" s="19"/>
    </row>
    <row r="179" spans="17:17" x14ac:dyDescent="0.25">
      <c r="Q179" s="19"/>
    </row>
    <row r="180" spans="17:17" x14ac:dyDescent="0.25">
      <c r="Q180" s="19"/>
    </row>
    <row r="181" spans="17:17" x14ac:dyDescent="0.25">
      <c r="Q181" s="19"/>
    </row>
    <row r="182" spans="17:17" x14ac:dyDescent="0.25">
      <c r="Q182" s="19"/>
    </row>
    <row r="183" spans="17:17" x14ac:dyDescent="0.25">
      <c r="Q183" s="19"/>
    </row>
    <row r="184" spans="17:17" x14ac:dyDescent="0.25">
      <c r="Q184" s="19"/>
    </row>
    <row r="185" spans="17:17" x14ac:dyDescent="0.25">
      <c r="Q185" s="19"/>
    </row>
    <row r="186" spans="17:17" x14ac:dyDescent="0.25">
      <c r="Q186" s="19"/>
    </row>
    <row r="187" spans="17:17" x14ac:dyDescent="0.25">
      <c r="Q187" s="19"/>
    </row>
    <row r="188" spans="17:17" x14ac:dyDescent="0.25">
      <c r="Q188" s="19"/>
    </row>
    <row r="189" spans="17:17" x14ac:dyDescent="0.25">
      <c r="Q189" s="19"/>
    </row>
    <row r="190" spans="17:17" x14ac:dyDescent="0.25">
      <c r="Q190" s="19"/>
    </row>
    <row r="191" spans="17:17" x14ac:dyDescent="0.25">
      <c r="Q191" s="19"/>
    </row>
    <row r="192" spans="17:17" x14ac:dyDescent="0.25">
      <c r="Q192" s="19"/>
    </row>
    <row r="193" spans="17:17" x14ac:dyDescent="0.25">
      <c r="Q193" s="19"/>
    </row>
    <row r="194" spans="17:17" x14ac:dyDescent="0.25">
      <c r="Q194" s="19"/>
    </row>
    <row r="195" spans="17:17" x14ac:dyDescent="0.25">
      <c r="Q195" s="19"/>
    </row>
    <row r="196" spans="17:17" x14ac:dyDescent="0.25">
      <c r="Q196" s="19"/>
    </row>
    <row r="197" spans="17:17" x14ac:dyDescent="0.25">
      <c r="Q197" s="19"/>
    </row>
    <row r="198" spans="17:17" x14ac:dyDescent="0.25">
      <c r="Q198" s="19"/>
    </row>
    <row r="199" spans="17:17" x14ac:dyDescent="0.25">
      <c r="Q199" s="19"/>
    </row>
    <row r="200" spans="17:17" x14ac:dyDescent="0.25">
      <c r="Q200" s="19"/>
    </row>
    <row r="201" spans="17:17" x14ac:dyDescent="0.25">
      <c r="Q201" s="19"/>
    </row>
    <row r="202" spans="17:17" x14ac:dyDescent="0.25">
      <c r="Q202" s="19"/>
    </row>
    <row r="203" spans="17:17" x14ac:dyDescent="0.25">
      <c r="Q203" s="19"/>
    </row>
    <row r="204" spans="17:17" x14ac:dyDescent="0.25">
      <c r="Q204" s="19"/>
    </row>
    <row r="205" spans="17:17" x14ac:dyDescent="0.25">
      <c r="Q205" s="19"/>
    </row>
    <row r="206" spans="17:17" x14ac:dyDescent="0.25">
      <c r="Q206" s="19"/>
    </row>
    <row r="207" spans="17:17" x14ac:dyDescent="0.25">
      <c r="Q207" s="19"/>
    </row>
    <row r="208" spans="17:17" x14ac:dyDescent="0.25">
      <c r="Q208" s="19"/>
    </row>
    <row r="209" spans="17:17" x14ac:dyDescent="0.25">
      <c r="Q209" s="19"/>
    </row>
    <row r="210" spans="17:17" x14ac:dyDescent="0.25">
      <c r="Q210" s="19"/>
    </row>
    <row r="211" spans="17:17" x14ac:dyDescent="0.25">
      <c r="Q211" s="19"/>
    </row>
    <row r="212" spans="17:17" x14ac:dyDescent="0.25">
      <c r="Q212" s="19"/>
    </row>
    <row r="213" spans="17:17" x14ac:dyDescent="0.25">
      <c r="Q213" s="19"/>
    </row>
    <row r="214" spans="17:17" x14ac:dyDescent="0.25">
      <c r="Q214" s="19"/>
    </row>
    <row r="215" spans="17:17" x14ac:dyDescent="0.25">
      <c r="Q215" s="19"/>
    </row>
    <row r="216" spans="17:17" x14ac:dyDescent="0.25">
      <c r="Q216" s="19"/>
    </row>
    <row r="217" spans="17:17" x14ac:dyDescent="0.25">
      <c r="Q217" s="19"/>
    </row>
    <row r="218" spans="17:17" x14ac:dyDescent="0.25">
      <c r="Q218" s="19"/>
    </row>
    <row r="219" spans="17:17" x14ac:dyDescent="0.25">
      <c r="Q219" s="19"/>
    </row>
    <row r="220" spans="17:17" x14ac:dyDescent="0.25">
      <c r="Q220" s="19"/>
    </row>
    <row r="221" spans="17:17" x14ac:dyDescent="0.25">
      <c r="Q221" s="19"/>
    </row>
    <row r="222" spans="17:17" x14ac:dyDescent="0.25">
      <c r="Q222" s="19"/>
    </row>
    <row r="223" spans="17:17" x14ac:dyDescent="0.25">
      <c r="Q223" s="19"/>
    </row>
    <row r="224" spans="17:17" x14ac:dyDescent="0.25">
      <c r="Q224" s="19"/>
    </row>
    <row r="225" spans="17:17" x14ac:dyDescent="0.25">
      <c r="Q225" s="19"/>
    </row>
    <row r="226" spans="17:17" x14ac:dyDescent="0.25">
      <c r="Q226" s="19"/>
    </row>
    <row r="227" spans="17:17" x14ac:dyDescent="0.25">
      <c r="Q227" s="19"/>
    </row>
    <row r="228" spans="17:17" x14ac:dyDescent="0.25">
      <c r="Q228" s="19"/>
    </row>
    <row r="229" spans="17:17" x14ac:dyDescent="0.25">
      <c r="Q229" s="19"/>
    </row>
    <row r="230" spans="17:17" x14ac:dyDescent="0.25">
      <c r="Q230" s="19"/>
    </row>
    <row r="231" spans="17:17" x14ac:dyDescent="0.25">
      <c r="Q231" s="19"/>
    </row>
    <row r="232" spans="17:17" x14ac:dyDescent="0.25">
      <c r="Q232" s="19"/>
    </row>
    <row r="233" spans="17:17" x14ac:dyDescent="0.25">
      <c r="Q233" s="19"/>
    </row>
    <row r="234" spans="17:17" x14ac:dyDescent="0.25">
      <c r="Q234" s="19"/>
    </row>
    <row r="235" spans="17:17" x14ac:dyDescent="0.25">
      <c r="Q235" s="19"/>
    </row>
    <row r="236" spans="17:17" x14ac:dyDescent="0.25">
      <c r="Q236" s="19"/>
    </row>
    <row r="237" spans="17:17" x14ac:dyDescent="0.25">
      <c r="Q237" s="19"/>
    </row>
    <row r="238" spans="17:17" x14ac:dyDescent="0.25">
      <c r="Q238" s="19"/>
    </row>
    <row r="239" spans="17:17" x14ac:dyDescent="0.25">
      <c r="Q239" s="19"/>
    </row>
    <row r="240" spans="17:17" x14ac:dyDescent="0.25">
      <c r="Q240" s="19"/>
    </row>
    <row r="241" spans="17:17" x14ac:dyDescent="0.25">
      <c r="Q241" s="19"/>
    </row>
    <row r="242" spans="17:17" x14ac:dyDescent="0.25">
      <c r="Q242" s="19"/>
    </row>
    <row r="243" spans="17:17" x14ac:dyDescent="0.25">
      <c r="Q243" s="19"/>
    </row>
    <row r="244" spans="17:17" x14ac:dyDescent="0.25">
      <c r="Q244" s="19"/>
    </row>
    <row r="245" spans="17:17" x14ac:dyDescent="0.25">
      <c r="Q245" s="19"/>
    </row>
    <row r="246" spans="17:17" x14ac:dyDescent="0.25">
      <c r="Q246" s="19"/>
    </row>
    <row r="247" spans="17:17" x14ac:dyDescent="0.25">
      <c r="Q247" s="19"/>
    </row>
    <row r="248" spans="17:17" x14ac:dyDescent="0.25">
      <c r="Q248" s="19"/>
    </row>
    <row r="249" spans="17:17" x14ac:dyDescent="0.25">
      <c r="Q249" s="19"/>
    </row>
    <row r="250" spans="17:17" x14ac:dyDescent="0.25">
      <c r="Q250" s="19"/>
    </row>
    <row r="251" spans="17:17" x14ac:dyDescent="0.25">
      <c r="Q251" s="19"/>
    </row>
    <row r="252" spans="17:17" x14ac:dyDescent="0.25">
      <c r="Q252" s="19"/>
    </row>
    <row r="253" spans="17:17" x14ac:dyDescent="0.25">
      <c r="Q253" s="19"/>
    </row>
    <row r="254" spans="17:17" x14ac:dyDescent="0.25">
      <c r="Q254" s="19"/>
    </row>
    <row r="255" spans="17:17" x14ac:dyDescent="0.25">
      <c r="Q255" s="19"/>
    </row>
    <row r="256" spans="17:17" x14ac:dyDescent="0.25">
      <c r="Q256" s="19"/>
    </row>
    <row r="257" spans="17:17" x14ac:dyDescent="0.25">
      <c r="Q257" s="19"/>
    </row>
    <row r="258" spans="17:17" x14ac:dyDescent="0.25">
      <c r="Q258" s="19"/>
    </row>
    <row r="259" spans="17:17" x14ac:dyDescent="0.25">
      <c r="Q259" s="19"/>
    </row>
    <row r="260" spans="17:17" x14ac:dyDescent="0.25">
      <c r="Q260" s="19"/>
    </row>
    <row r="261" spans="17:17" x14ac:dyDescent="0.25">
      <c r="Q261" s="19"/>
    </row>
    <row r="262" spans="17:17" x14ac:dyDescent="0.25">
      <c r="Q262" s="19"/>
    </row>
    <row r="263" spans="17:17" x14ac:dyDescent="0.25">
      <c r="Q263" s="19"/>
    </row>
    <row r="264" spans="17:17" x14ac:dyDescent="0.25">
      <c r="Q264" s="19"/>
    </row>
    <row r="265" spans="17:17" x14ac:dyDescent="0.25">
      <c r="Q265" s="19"/>
    </row>
    <row r="266" spans="17:17" x14ac:dyDescent="0.25">
      <c r="Q266" s="19"/>
    </row>
    <row r="267" spans="17:17" x14ac:dyDescent="0.25">
      <c r="Q267" s="19"/>
    </row>
    <row r="268" spans="17:17" x14ac:dyDescent="0.25">
      <c r="Q268" s="19"/>
    </row>
    <row r="269" spans="17:17" x14ac:dyDescent="0.25">
      <c r="Q269" s="19"/>
    </row>
    <row r="270" spans="17:17" x14ac:dyDescent="0.25">
      <c r="Q270" s="19"/>
    </row>
    <row r="271" spans="17:17" x14ac:dyDescent="0.25">
      <c r="Q271" s="19"/>
    </row>
    <row r="272" spans="17:17" x14ac:dyDescent="0.25">
      <c r="Q272" s="19"/>
    </row>
    <row r="273" spans="17:17" x14ac:dyDescent="0.25">
      <c r="Q273" s="19"/>
    </row>
    <row r="274" spans="17:17" x14ac:dyDescent="0.25">
      <c r="Q274" s="19"/>
    </row>
    <row r="275" spans="17:17" x14ac:dyDescent="0.25">
      <c r="Q275" s="19"/>
    </row>
    <row r="276" spans="17:17" x14ac:dyDescent="0.25">
      <c r="Q276" s="19"/>
    </row>
    <row r="277" spans="17:17" x14ac:dyDescent="0.25">
      <c r="Q277" s="19"/>
    </row>
    <row r="278" spans="17:17" x14ac:dyDescent="0.25">
      <c r="Q278" s="19"/>
    </row>
    <row r="279" spans="17:17" x14ac:dyDescent="0.25">
      <c r="Q279" s="19"/>
    </row>
    <row r="280" spans="17:17" x14ac:dyDescent="0.25">
      <c r="Q280" s="19"/>
    </row>
    <row r="281" spans="17:17" x14ac:dyDescent="0.25">
      <c r="Q281" s="19"/>
    </row>
    <row r="282" spans="17:17" x14ac:dyDescent="0.25">
      <c r="Q282" s="19"/>
    </row>
    <row r="283" spans="17:17" x14ac:dyDescent="0.25">
      <c r="Q283" s="19"/>
    </row>
    <row r="284" spans="17:17" x14ac:dyDescent="0.25">
      <c r="Q284" s="19"/>
    </row>
    <row r="285" spans="17:17" x14ac:dyDescent="0.25">
      <c r="Q285" s="19"/>
    </row>
    <row r="286" spans="17:17" x14ac:dyDescent="0.25">
      <c r="Q286" s="19"/>
    </row>
    <row r="287" spans="17:17" x14ac:dyDescent="0.25">
      <c r="Q287" s="19"/>
    </row>
    <row r="288" spans="17:17" x14ac:dyDescent="0.25">
      <c r="Q288" s="19"/>
    </row>
    <row r="289" spans="17:17" x14ac:dyDescent="0.25">
      <c r="Q289" s="19"/>
    </row>
    <row r="290" spans="17:17" x14ac:dyDescent="0.25">
      <c r="Q290" s="19"/>
    </row>
    <row r="291" spans="17:17" x14ac:dyDescent="0.25">
      <c r="Q291" s="19"/>
    </row>
    <row r="292" spans="17:17" x14ac:dyDescent="0.25">
      <c r="Q292" s="19"/>
    </row>
    <row r="293" spans="17:17" x14ac:dyDescent="0.25">
      <c r="Q293" s="19"/>
    </row>
    <row r="294" spans="17:17" x14ac:dyDescent="0.25">
      <c r="Q294" s="19"/>
    </row>
    <row r="295" spans="17:17" x14ac:dyDescent="0.25">
      <c r="Q295" s="19"/>
    </row>
    <row r="296" spans="17:17" x14ac:dyDescent="0.25">
      <c r="Q296" s="19"/>
    </row>
    <row r="297" spans="17:17" x14ac:dyDescent="0.25">
      <c r="Q297" s="19"/>
    </row>
    <row r="298" spans="17:17" x14ac:dyDescent="0.25">
      <c r="Q298" s="19"/>
    </row>
    <row r="299" spans="17:17" x14ac:dyDescent="0.25">
      <c r="Q299" s="19"/>
    </row>
    <row r="300" spans="17:17" x14ac:dyDescent="0.25">
      <c r="Q300" s="19"/>
    </row>
    <row r="301" spans="17:17" x14ac:dyDescent="0.25">
      <c r="Q301" s="19"/>
    </row>
    <row r="302" spans="17:17" x14ac:dyDescent="0.25">
      <c r="Q302" s="19"/>
    </row>
    <row r="303" spans="17:17" x14ac:dyDescent="0.25">
      <c r="Q303" s="19"/>
    </row>
    <row r="304" spans="17:17" x14ac:dyDescent="0.25">
      <c r="Q304" s="19"/>
    </row>
    <row r="305" spans="17:17" x14ac:dyDescent="0.25">
      <c r="Q305" s="19"/>
    </row>
    <row r="306" spans="17:17" x14ac:dyDescent="0.25">
      <c r="Q306" s="19"/>
    </row>
    <row r="307" spans="17:17" x14ac:dyDescent="0.25">
      <c r="Q307" s="19"/>
    </row>
    <row r="308" spans="17:17" x14ac:dyDescent="0.25">
      <c r="Q308" s="19"/>
    </row>
    <row r="309" spans="17:17" x14ac:dyDescent="0.25">
      <c r="Q309" s="19"/>
    </row>
    <row r="310" spans="17:17" x14ac:dyDescent="0.25">
      <c r="Q310" s="19"/>
    </row>
    <row r="311" spans="17:17" x14ac:dyDescent="0.25">
      <c r="Q311" s="19"/>
    </row>
    <row r="312" spans="17:17" x14ac:dyDescent="0.25">
      <c r="Q312" s="19"/>
    </row>
    <row r="313" spans="17:17" x14ac:dyDescent="0.25">
      <c r="Q313" s="19"/>
    </row>
    <row r="314" spans="17:17" x14ac:dyDescent="0.25">
      <c r="Q314" s="19"/>
    </row>
    <row r="315" spans="17:17" x14ac:dyDescent="0.25">
      <c r="Q315" s="19"/>
    </row>
    <row r="316" spans="17:17" x14ac:dyDescent="0.25">
      <c r="Q316" s="19"/>
    </row>
    <row r="317" spans="17:17" x14ac:dyDescent="0.25">
      <c r="Q317" s="19"/>
    </row>
    <row r="318" spans="17:17" x14ac:dyDescent="0.25">
      <c r="Q318" s="19"/>
    </row>
    <row r="319" spans="17:17" x14ac:dyDescent="0.25">
      <c r="Q319" s="19"/>
    </row>
    <row r="320" spans="17:17" x14ac:dyDescent="0.25">
      <c r="Q320" s="19"/>
    </row>
    <row r="321" spans="17:17" x14ac:dyDescent="0.25">
      <c r="Q321" s="19"/>
    </row>
    <row r="322" spans="17:17" x14ac:dyDescent="0.25">
      <c r="Q322" s="19"/>
    </row>
    <row r="323" spans="17:17" x14ac:dyDescent="0.25">
      <c r="Q323" s="19"/>
    </row>
    <row r="324" spans="17:17" x14ac:dyDescent="0.25">
      <c r="Q324" s="19"/>
    </row>
    <row r="325" spans="17:17" x14ac:dyDescent="0.25">
      <c r="Q325" s="19"/>
    </row>
    <row r="326" spans="17:17" x14ac:dyDescent="0.25">
      <c r="Q326" s="19"/>
    </row>
    <row r="327" spans="17:17" x14ac:dyDescent="0.25">
      <c r="Q327" s="19"/>
    </row>
    <row r="328" spans="17:17" x14ac:dyDescent="0.25">
      <c r="Q328" s="19"/>
    </row>
    <row r="329" spans="17:17" x14ac:dyDescent="0.25">
      <c r="Q329" s="19"/>
    </row>
    <row r="330" spans="17:17" x14ac:dyDescent="0.25">
      <c r="Q330" s="19"/>
    </row>
    <row r="331" spans="17:17" x14ac:dyDescent="0.25">
      <c r="Q331" s="19"/>
    </row>
    <row r="332" spans="17:17" x14ac:dyDescent="0.25">
      <c r="Q332" s="19"/>
    </row>
    <row r="333" spans="17:17" x14ac:dyDescent="0.25">
      <c r="Q333" s="19"/>
    </row>
    <row r="334" spans="17:17" x14ac:dyDescent="0.25">
      <c r="Q334" s="19"/>
    </row>
    <row r="335" spans="17:17" x14ac:dyDescent="0.25">
      <c r="Q335" s="19"/>
    </row>
    <row r="336" spans="17:17" x14ac:dyDescent="0.25">
      <c r="Q336" s="19"/>
    </row>
    <row r="337" spans="17:17" x14ac:dyDescent="0.25">
      <c r="Q337" s="19"/>
    </row>
    <row r="338" spans="17:17" x14ac:dyDescent="0.25">
      <c r="Q338" s="19"/>
    </row>
    <row r="339" spans="17:17" x14ac:dyDescent="0.25">
      <c r="Q339" s="19"/>
    </row>
    <row r="340" spans="17:17" x14ac:dyDescent="0.25">
      <c r="Q340" s="19"/>
    </row>
    <row r="341" spans="17:17" x14ac:dyDescent="0.25">
      <c r="Q341" s="19"/>
    </row>
    <row r="342" spans="17:17" x14ac:dyDescent="0.25">
      <c r="Q342" s="19"/>
    </row>
    <row r="343" spans="17:17" x14ac:dyDescent="0.25">
      <c r="Q343" s="19"/>
    </row>
    <row r="344" spans="17:17" x14ac:dyDescent="0.25">
      <c r="Q344" s="19"/>
    </row>
    <row r="345" spans="17:17" x14ac:dyDescent="0.25">
      <c r="Q345" s="19"/>
    </row>
    <row r="346" spans="17:17" x14ac:dyDescent="0.25">
      <c r="Q346" s="19"/>
    </row>
    <row r="347" spans="17:17" x14ac:dyDescent="0.25">
      <c r="Q347" s="19"/>
    </row>
    <row r="348" spans="17:17" x14ac:dyDescent="0.25">
      <c r="Q348" s="19"/>
    </row>
    <row r="349" spans="17:17" x14ac:dyDescent="0.25">
      <c r="Q349" s="19"/>
    </row>
    <row r="350" spans="17:17" x14ac:dyDescent="0.25">
      <c r="Q350" s="19"/>
    </row>
    <row r="351" spans="17:17" x14ac:dyDescent="0.25">
      <c r="Q351" s="19"/>
    </row>
    <row r="352" spans="17:17" x14ac:dyDescent="0.25">
      <c r="Q352" s="19"/>
    </row>
    <row r="353" spans="17:17" x14ac:dyDescent="0.25">
      <c r="Q353" s="19"/>
    </row>
    <row r="354" spans="17:17" x14ac:dyDescent="0.25">
      <c r="Q354" s="19"/>
    </row>
    <row r="355" spans="17:17" x14ac:dyDescent="0.25">
      <c r="Q355" s="19"/>
    </row>
    <row r="356" spans="17:17" x14ac:dyDescent="0.25">
      <c r="Q356" s="19"/>
    </row>
    <row r="357" spans="17:17" x14ac:dyDescent="0.25">
      <c r="Q357" s="19"/>
    </row>
    <row r="358" spans="17:17" x14ac:dyDescent="0.25">
      <c r="Q358" s="19"/>
    </row>
    <row r="359" spans="17:17" x14ac:dyDescent="0.25">
      <c r="Q359" s="19"/>
    </row>
    <row r="360" spans="17:17" x14ac:dyDescent="0.25">
      <c r="Q360" s="19"/>
    </row>
    <row r="361" spans="17:17" x14ac:dyDescent="0.25">
      <c r="Q361" s="19"/>
    </row>
    <row r="362" spans="17:17" x14ac:dyDescent="0.25">
      <c r="Q362" s="19"/>
    </row>
    <row r="363" spans="17:17" x14ac:dyDescent="0.25">
      <c r="Q363" s="19"/>
    </row>
    <row r="364" spans="17:17" x14ac:dyDescent="0.25">
      <c r="Q364" s="19"/>
    </row>
    <row r="365" spans="17:17" x14ac:dyDescent="0.25">
      <c r="Q365" s="19"/>
    </row>
    <row r="366" spans="17:17" x14ac:dyDescent="0.25">
      <c r="Q366" s="19"/>
    </row>
    <row r="367" spans="17:17" x14ac:dyDescent="0.25">
      <c r="Q367" s="19"/>
    </row>
    <row r="368" spans="17:17" x14ac:dyDescent="0.25">
      <c r="Q368" s="19"/>
    </row>
    <row r="369" spans="17:17" x14ac:dyDescent="0.25">
      <c r="Q369" s="19"/>
    </row>
    <row r="370" spans="17:17" x14ac:dyDescent="0.25">
      <c r="Q370" s="19"/>
    </row>
    <row r="371" spans="17:17" x14ac:dyDescent="0.25">
      <c r="Q371" s="19"/>
    </row>
    <row r="372" spans="17:17" x14ac:dyDescent="0.25">
      <c r="Q372" s="19"/>
    </row>
    <row r="373" spans="17:17" x14ac:dyDescent="0.25">
      <c r="Q373" s="19"/>
    </row>
    <row r="374" spans="17:17" x14ac:dyDescent="0.25">
      <c r="Q374" s="19"/>
    </row>
    <row r="375" spans="17:17" x14ac:dyDescent="0.25">
      <c r="Q375" s="19"/>
    </row>
    <row r="376" spans="17:17" x14ac:dyDescent="0.25">
      <c r="Q376" s="19"/>
    </row>
    <row r="377" spans="17:17" x14ac:dyDescent="0.25">
      <c r="Q377" s="19"/>
    </row>
    <row r="378" spans="17:17" x14ac:dyDescent="0.25">
      <c r="Q378" s="19"/>
    </row>
    <row r="379" spans="17:17" x14ac:dyDescent="0.25">
      <c r="Q379" s="19"/>
    </row>
    <row r="380" spans="17:17" x14ac:dyDescent="0.25">
      <c r="Q380" s="19"/>
    </row>
    <row r="381" spans="17:17" x14ac:dyDescent="0.25">
      <c r="Q381" s="19"/>
    </row>
    <row r="382" spans="17:17" x14ac:dyDescent="0.25">
      <c r="Q382" s="19"/>
    </row>
    <row r="383" spans="17:17" x14ac:dyDescent="0.25">
      <c r="Q383" s="19"/>
    </row>
    <row r="384" spans="17:17" x14ac:dyDescent="0.25">
      <c r="Q384" s="19"/>
    </row>
    <row r="385" spans="17:17" x14ac:dyDescent="0.25">
      <c r="Q385" s="19"/>
    </row>
    <row r="386" spans="17:17" x14ac:dyDescent="0.25">
      <c r="Q386" s="19"/>
    </row>
    <row r="387" spans="17:17" x14ac:dyDescent="0.25">
      <c r="Q387" s="19"/>
    </row>
    <row r="388" spans="17:17" x14ac:dyDescent="0.25">
      <c r="Q388" s="19"/>
    </row>
    <row r="389" spans="17:17" x14ac:dyDescent="0.25">
      <c r="Q389" s="19"/>
    </row>
    <row r="390" spans="17:17" x14ac:dyDescent="0.25">
      <c r="Q390" s="19"/>
    </row>
    <row r="391" spans="17:17" x14ac:dyDescent="0.25">
      <c r="Q391" s="19"/>
    </row>
    <row r="392" spans="17:17" x14ac:dyDescent="0.25">
      <c r="Q392" s="19"/>
    </row>
    <row r="393" spans="17:17" x14ac:dyDescent="0.25">
      <c r="Q393" s="19"/>
    </row>
    <row r="394" spans="17:17" x14ac:dyDescent="0.25">
      <c r="Q394" s="19"/>
    </row>
    <row r="395" spans="17:17" x14ac:dyDescent="0.25">
      <c r="Q395" s="19"/>
    </row>
    <row r="396" spans="17:17" x14ac:dyDescent="0.25">
      <c r="Q396" s="19"/>
    </row>
    <row r="397" spans="17:17" x14ac:dyDescent="0.25">
      <c r="Q397" s="19"/>
    </row>
  </sheetData>
  <mergeCells count="1">
    <mergeCell ref="B25:C25"/>
  </mergeCells>
  <conditionalFormatting sqref="B30:B36">
    <cfRule type="expression" dxfId="1" priority="5">
      <formula>$A30="Rolex"</formula>
    </cfRule>
  </conditionalFormatting>
  <conditionalFormatting sqref="N30:N35">
    <cfRule type="expression" dxfId="0" priority="3">
      <formula>$A30="Rolex"</formula>
    </cfRule>
  </conditionalFormatting>
  <pageMargins left="0.7" right="0.7" top="0.75" bottom="0.75" header="0.3" footer="0.3"/>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0" tint="-0.499984740745262"/>
  </sheetPr>
  <dimension ref="A2:V31"/>
  <sheetViews>
    <sheetView workbookViewId="0"/>
  </sheetViews>
  <sheetFormatPr defaultRowHeight="15" x14ac:dyDescent="0.25"/>
  <cols>
    <col min="1" max="1" width="38" customWidth="1"/>
    <col min="2" max="2" width="22.5703125" customWidth="1"/>
    <col min="3" max="3" width="38" customWidth="1"/>
  </cols>
  <sheetData>
    <row r="2" spans="1:22" x14ac:dyDescent="0.25">
      <c r="A2" s="7"/>
    </row>
    <row r="3" spans="1:22" x14ac:dyDescent="0.25">
      <c r="A3" s="7"/>
    </row>
    <row r="4" spans="1:22" x14ac:dyDescent="0.25">
      <c r="A4" s="7"/>
    </row>
    <row r="5" spans="1:22" x14ac:dyDescent="0.25">
      <c r="O5" s="59"/>
      <c r="P5" s="59"/>
      <c r="Q5" s="59"/>
      <c r="R5" s="59"/>
      <c r="S5" s="59"/>
      <c r="T5" s="59"/>
      <c r="U5" s="59"/>
      <c r="V5" s="59"/>
    </row>
    <row r="6" spans="1:22" x14ac:dyDescent="0.25">
      <c r="A6" s="7" t="s">
        <v>1846</v>
      </c>
      <c r="B6">
        <v>63</v>
      </c>
      <c r="O6" s="59"/>
      <c r="P6" s="59"/>
      <c r="Q6" s="59"/>
      <c r="R6" s="59"/>
      <c r="S6" s="59"/>
      <c r="T6" s="59"/>
      <c r="U6" s="59"/>
      <c r="V6" s="59"/>
    </row>
    <row r="7" spans="1:22" x14ac:dyDescent="0.25">
      <c r="A7" s="7" t="s">
        <v>1847</v>
      </c>
      <c r="B7">
        <v>44</v>
      </c>
      <c r="O7" s="59"/>
      <c r="P7" s="59"/>
      <c r="Q7" s="59"/>
      <c r="R7" s="59"/>
      <c r="S7" s="59"/>
      <c r="T7" s="59"/>
      <c r="U7" s="59"/>
      <c r="V7" s="59"/>
    </row>
    <row r="8" spans="1:22" x14ac:dyDescent="0.25">
      <c r="A8" s="7" t="s">
        <v>1848</v>
      </c>
      <c r="B8">
        <v>7</v>
      </c>
      <c r="O8" s="59"/>
      <c r="P8" s="59"/>
      <c r="Q8" s="59"/>
      <c r="R8" s="59"/>
      <c r="S8" s="59"/>
      <c r="T8" s="59"/>
      <c r="U8" s="59"/>
      <c r="V8" s="59"/>
    </row>
    <row r="9" spans="1:22" x14ac:dyDescent="0.25">
      <c r="A9" s="7" t="s">
        <v>1849</v>
      </c>
      <c r="B9">
        <v>3</v>
      </c>
      <c r="O9" s="59"/>
      <c r="P9" s="59"/>
      <c r="Q9" s="59"/>
      <c r="R9" s="59"/>
      <c r="S9" s="59"/>
      <c r="T9" s="59"/>
      <c r="U9" s="59"/>
      <c r="V9" s="59"/>
    </row>
    <row r="10" spans="1:22" x14ac:dyDescent="0.25">
      <c r="A10" s="7"/>
      <c r="B10" s="9"/>
      <c r="O10" s="59"/>
      <c r="P10" s="59"/>
      <c r="Q10" s="59"/>
      <c r="R10" s="59"/>
      <c r="S10" s="59"/>
      <c r="T10" s="59"/>
      <c r="U10" s="59"/>
      <c r="V10" s="59"/>
    </row>
    <row r="11" spans="1:22" x14ac:dyDescent="0.25">
      <c r="A11" s="7"/>
      <c r="B11" s="9"/>
      <c r="O11" s="59"/>
      <c r="P11" s="59"/>
      <c r="Q11" s="59"/>
      <c r="R11" s="59"/>
      <c r="S11" s="59"/>
      <c r="T11" s="59"/>
      <c r="U11" s="59"/>
      <c r="V11" s="59"/>
    </row>
    <row r="12" spans="1:22" x14ac:dyDescent="0.25">
      <c r="O12" s="59"/>
      <c r="P12" s="59"/>
      <c r="Q12" s="59"/>
      <c r="R12" s="59"/>
      <c r="S12" s="59"/>
      <c r="T12" s="59"/>
      <c r="U12" s="59"/>
      <c r="V12" s="59"/>
    </row>
    <row r="13" spans="1:22" x14ac:dyDescent="0.25">
      <c r="O13" s="59"/>
      <c r="P13" s="59"/>
      <c r="Q13" s="59"/>
      <c r="R13" s="59"/>
      <c r="S13" s="59"/>
      <c r="T13" s="59"/>
      <c r="U13" s="59"/>
      <c r="V13" s="59"/>
    </row>
    <row r="14" spans="1:22" x14ac:dyDescent="0.25">
      <c r="O14" s="59"/>
      <c r="P14" s="59"/>
      <c r="Q14" s="59"/>
      <c r="R14" s="59"/>
      <c r="S14" s="59"/>
      <c r="T14" s="59"/>
      <c r="U14" s="59"/>
      <c r="V14" s="59"/>
    </row>
    <row r="15" spans="1:22" x14ac:dyDescent="0.25">
      <c r="O15" s="59"/>
      <c r="P15" s="59"/>
      <c r="Q15" s="59"/>
      <c r="R15" s="59"/>
      <c r="S15" s="59"/>
      <c r="T15" s="59"/>
      <c r="U15" s="59"/>
      <c r="V15" s="59"/>
    </row>
    <row r="17" spans="1:2" x14ac:dyDescent="0.25">
      <c r="A17" s="237" t="s">
        <v>1850</v>
      </c>
      <c r="B17" s="237"/>
    </row>
    <row r="19" spans="1:2" x14ac:dyDescent="0.25">
      <c r="A19" s="7"/>
      <c r="B19" s="1"/>
    </row>
    <row r="20" spans="1:2" x14ac:dyDescent="0.25">
      <c r="A20" s="7"/>
      <c r="B20" s="1"/>
    </row>
    <row r="21" spans="1:2" x14ac:dyDescent="0.25">
      <c r="A21" s="7"/>
      <c r="B21" s="1"/>
    </row>
    <row r="22" spans="1:2" x14ac:dyDescent="0.25">
      <c r="A22" s="7"/>
      <c r="B22" s="1"/>
    </row>
    <row r="23" spans="1:2" x14ac:dyDescent="0.25">
      <c r="A23" s="7"/>
      <c r="B23" s="1"/>
    </row>
    <row r="24" spans="1:2" x14ac:dyDescent="0.25">
      <c r="A24" s="7"/>
      <c r="B24" s="1"/>
    </row>
    <row r="25" spans="1:2" x14ac:dyDescent="0.25">
      <c r="A25" s="7"/>
      <c r="B25" s="1"/>
    </row>
    <row r="26" spans="1:2" x14ac:dyDescent="0.25">
      <c r="A26" s="7"/>
      <c r="B26" s="1"/>
    </row>
    <row r="27" spans="1:2" x14ac:dyDescent="0.25">
      <c r="A27" s="7"/>
      <c r="B27" s="1"/>
    </row>
    <row r="30" spans="1:2" x14ac:dyDescent="0.25">
      <c r="A30" s="7"/>
    </row>
    <row r="31" spans="1:2" x14ac:dyDescent="0.25">
      <c r="A31" s="7"/>
      <c r="B31" s="1"/>
    </row>
  </sheetData>
  <mergeCells count="1">
    <mergeCell ref="A17:B17"/>
  </mergeCells>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0" tint="-0.499984740745262"/>
  </sheetPr>
  <dimension ref="A2:P18"/>
  <sheetViews>
    <sheetView workbookViewId="0"/>
  </sheetViews>
  <sheetFormatPr defaultRowHeight="15" x14ac:dyDescent="0.25"/>
  <cols>
    <col min="1" max="1" width="81" bestFit="1" customWidth="1"/>
    <col min="2" max="2" width="15.42578125" customWidth="1"/>
    <col min="3" max="3" width="13.140625" customWidth="1"/>
    <col min="4" max="4" width="17.5703125" bestFit="1" customWidth="1"/>
    <col min="5" max="5" width="14.140625" bestFit="1" customWidth="1"/>
  </cols>
  <sheetData>
    <row r="2" spans="1:16" x14ac:dyDescent="0.25">
      <c r="A2" t="s">
        <v>1851</v>
      </c>
      <c r="B2" s="16">
        <v>0.99392956329817317</v>
      </c>
    </row>
    <row r="3" spans="1:16" x14ac:dyDescent="0.25">
      <c r="A3" t="s">
        <v>1852</v>
      </c>
      <c r="B3" s="16">
        <f>1-B2</f>
        <v>6.0704367018268313E-3</v>
      </c>
    </row>
    <row r="4" spans="1:16" x14ac:dyDescent="0.25">
      <c r="B4" s="21"/>
    </row>
    <row r="14" spans="1:16" x14ac:dyDescent="0.25">
      <c r="P14" s="18"/>
    </row>
    <row r="15" spans="1:16" x14ac:dyDescent="0.25">
      <c r="P15" s="18"/>
    </row>
    <row r="16" spans="1:16" x14ac:dyDescent="0.25">
      <c r="P16" s="18"/>
    </row>
    <row r="17" spans="16:16" x14ac:dyDescent="0.25">
      <c r="P17" s="18"/>
    </row>
    <row r="18" spans="16:16" x14ac:dyDescent="0.25">
      <c r="P18" s="18"/>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7030A0"/>
  </sheetPr>
  <dimension ref="A1:S628"/>
  <sheetViews>
    <sheetView zoomScale="55" zoomScaleNormal="55" workbookViewId="0">
      <selection activeCell="I26" sqref="I26"/>
    </sheetView>
  </sheetViews>
  <sheetFormatPr defaultRowHeight="15" x14ac:dyDescent="0.25"/>
  <cols>
    <col min="1" max="1" width="29.28515625" bestFit="1" customWidth="1"/>
    <col min="2" max="16" width="27.42578125" customWidth="1"/>
    <col min="17" max="17" width="30.5703125" bestFit="1" customWidth="1"/>
    <col min="18" max="19" width="27.42578125" customWidth="1"/>
    <col min="20" max="20" width="21.7109375" customWidth="1"/>
    <col min="21" max="21" width="41.5703125" customWidth="1"/>
    <col min="22" max="22" width="20.85546875" customWidth="1"/>
  </cols>
  <sheetData>
    <row r="1" spans="1:19" x14ac:dyDescent="0.25">
      <c r="A1" t="s">
        <v>1853</v>
      </c>
      <c r="B1" s="77" t="s">
        <v>1854</v>
      </c>
      <c r="C1" s="77" t="s">
        <v>136</v>
      </c>
      <c r="D1" s="77" t="s">
        <v>1855</v>
      </c>
      <c r="E1" s="77" t="s">
        <v>1856</v>
      </c>
      <c r="F1" s="77" t="s">
        <v>1652</v>
      </c>
      <c r="G1" s="77" t="s">
        <v>1857</v>
      </c>
      <c r="H1" s="77" t="s">
        <v>1858</v>
      </c>
      <c r="I1" s="77" t="s">
        <v>1859</v>
      </c>
      <c r="J1" s="77" t="s">
        <v>1860</v>
      </c>
      <c r="K1" t="s">
        <v>1861</v>
      </c>
      <c r="L1" t="s">
        <v>1627</v>
      </c>
      <c r="M1" t="s">
        <v>1650</v>
      </c>
      <c r="N1" t="s">
        <v>1670</v>
      </c>
      <c r="O1" s="1" t="s">
        <v>1862</v>
      </c>
      <c r="P1" t="s">
        <v>1863</v>
      </c>
      <c r="Q1" t="s">
        <v>1864</v>
      </c>
      <c r="R1" s="79" t="s">
        <v>1865</v>
      </c>
      <c r="S1" s="79" t="s">
        <v>1866</v>
      </c>
    </row>
    <row r="2" spans="1:19" x14ac:dyDescent="0.25">
      <c r="A2" s="72" t="e">
        <f>#REF!</f>
        <v>#REF!</v>
      </c>
      <c r="B2" s="178" t="s">
        <v>13</v>
      </c>
      <c r="C2" s="178" t="s">
        <v>183</v>
      </c>
      <c r="D2" s="178" t="s">
        <v>1643</v>
      </c>
      <c r="E2" s="179">
        <v>4.020833333333333</v>
      </c>
      <c r="F2" s="180">
        <v>636422</v>
      </c>
      <c r="G2" s="179">
        <v>0.2521375577150346</v>
      </c>
      <c r="H2" s="180">
        <v>270463.52740050328</v>
      </c>
      <c r="I2" s="180">
        <v>75389.756696462544</v>
      </c>
      <c r="J2" s="180" t="s">
        <v>1867</v>
      </c>
      <c r="K2" s="72" t="str">
        <f>VLOOKUP(Broadcast_BASE[[#This Row],[Broadcast Market]],Continent_Look_Up[],2,FALSE)</f>
        <v>Central &amp; South America</v>
      </c>
      <c r="L2" t="str">
        <f>IF(OR(Broadcast_BASE[[#This Row],[Broadcast Continent]]="Digital",Broadcast_BASE[[#This Row],[Programme Type]]="Digital"),"Y","N")</f>
        <v>N</v>
      </c>
      <c r="M2" s="4" t="str">
        <f>IF(ISNUMBER(SEARCH("Pan ",Broadcast_BASE[[#This Row],[Broadcast Market]]))=TRUE,"Y","N")</f>
        <v>N</v>
      </c>
      <c r="N2" t="str">
        <f>VLOOKUP(CONCATENATE(Broadcast_BASE[[#This Row],[Broadcast Market]],Broadcast_BASE[[#This Row],[Broadcaster]]),Table1[[CC]:[Pay TV vs. Free-to-Air]],3,FALSE)</f>
        <v>Pay TV</v>
      </c>
      <c r="O2" s="1">
        <f>VLOOKUP(CONCATENATE(Broadcast_BASE[[#This Row],[Broadcast Market]],Broadcast_BASE[[#This Row],[Broadcaster]]),Table1[[CC]:[Pay TV vs. Free-to-Air]],2,FALSE)</f>
        <v>10977116</v>
      </c>
      <c r="P2" s="57">
        <f>Broadcast_BASE[[#This Row],[Rolex EXP]]*86400</f>
        <v>21784.684986578988</v>
      </c>
      <c r="Q2" s="73" t="str">
        <f>IF(Broadcast_BASE[[#This Row],[Dashboard Rated?]]="No","N","Y")</f>
        <v>N</v>
      </c>
      <c r="R2" s="80"/>
      <c r="S2" s="80"/>
    </row>
    <row r="3" spans="1:19" x14ac:dyDescent="0.25">
      <c r="A3" s="72" t="e">
        <f>#REF!</f>
        <v>#REF!</v>
      </c>
      <c r="B3" s="178" t="s">
        <v>13</v>
      </c>
      <c r="C3" s="178" t="s">
        <v>183</v>
      </c>
      <c r="D3" s="178" t="s">
        <v>1644</v>
      </c>
      <c r="E3" s="179">
        <v>0.5</v>
      </c>
      <c r="F3" s="180">
        <v>46728</v>
      </c>
      <c r="G3" s="179">
        <v>2.8351594999103055E-2</v>
      </c>
      <c r="H3" s="180">
        <v>10466.605857678755</v>
      </c>
      <c r="I3" s="180">
        <v>3045.6407295204876</v>
      </c>
      <c r="J3" s="180" t="s">
        <v>1867</v>
      </c>
      <c r="K3" t="str">
        <f>VLOOKUP(Broadcast_BASE[[#This Row],[Broadcast Market]],Continent_Look_Up[],2,FALSE)</f>
        <v>Central &amp; South America</v>
      </c>
      <c r="L3" t="str">
        <f>IF(OR(Broadcast_BASE[[#This Row],[Broadcast Continent]]="Digital",Broadcast_BASE[[#This Row],[Programme Type]]="Digital"),"Y","N")</f>
        <v>N</v>
      </c>
      <c r="M3" s="4" t="str">
        <f>IF(ISNUMBER(SEARCH("Pan ",Broadcast_BASE[[#This Row],[Broadcast Market]]))=TRUE,"Y","N")</f>
        <v>N</v>
      </c>
      <c r="N3" t="str">
        <f>VLOOKUP(CONCATENATE(Broadcast_BASE[[#This Row],[Broadcast Market]],Broadcast_BASE[[#This Row],[Broadcaster]]),Table1[[CC]:[Pay TV vs. Free-to-Air]],3,FALSE)</f>
        <v>Pay TV</v>
      </c>
      <c r="O3" s="1">
        <f>VLOOKUP(CONCATENATE(Broadcast_BASE[[#This Row],[Broadcast Market]],Broadcast_BASE[[#This Row],[Broadcaster]]),Table1[[CC]:[Pay TV vs. Free-to-Air]],2,FALSE)</f>
        <v>10977116</v>
      </c>
      <c r="P3" s="57">
        <f>Broadcast_BASE[[#This Row],[Rolex EXP]]*86400</f>
        <v>2449.5778079225038</v>
      </c>
      <c r="Q3" s="73" t="str">
        <f>IF(Broadcast_BASE[[#This Row],[Dashboard Rated?]]="No","N","Y")</f>
        <v>N</v>
      </c>
      <c r="R3" s="80"/>
      <c r="S3" s="80"/>
    </row>
    <row r="4" spans="1:19" x14ac:dyDescent="0.25">
      <c r="A4" s="72" t="e">
        <f>#REF!</f>
        <v>#REF!</v>
      </c>
      <c r="B4" s="178" t="s">
        <v>13</v>
      </c>
      <c r="C4" s="178" t="s">
        <v>184</v>
      </c>
      <c r="D4" s="178" t="s">
        <v>1643</v>
      </c>
      <c r="E4" s="179">
        <v>0.83333333333333337</v>
      </c>
      <c r="F4" s="180">
        <v>116796</v>
      </c>
      <c r="G4" s="179">
        <v>5.1045741903111418E-2</v>
      </c>
      <c r="H4" s="180">
        <v>47101.926483733609</v>
      </c>
      <c r="I4" s="180">
        <v>13077.107773743381</v>
      </c>
      <c r="J4" s="180" t="s">
        <v>1867</v>
      </c>
      <c r="K4" t="str">
        <f>VLOOKUP(Broadcast_BASE[[#This Row],[Broadcast Market]],Continent_Look_Up[],2,FALSE)</f>
        <v>Central &amp; South America</v>
      </c>
      <c r="L4" t="str">
        <f>IF(OR(Broadcast_BASE[[#This Row],[Broadcast Continent]]="Digital",Broadcast_BASE[[#This Row],[Programme Type]]="Digital"),"Y","N")</f>
        <v>N</v>
      </c>
      <c r="M4" s="4" t="str">
        <f>IF(ISNUMBER(SEARCH("Pan ",Broadcast_BASE[[#This Row],[Broadcast Market]]))=TRUE,"Y","N")</f>
        <v>N</v>
      </c>
      <c r="N4" t="str">
        <f>VLOOKUP(CONCATENATE(Broadcast_BASE[[#This Row],[Broadcast Market]],Broadcast_BASE[[#This Row],[Broadcaster]]),Table1[[CC]:[Pay TV vs. Free-to-Air]],3,FALSE)</f>
        <v>Pay TV</v>
      </c>
      <c r="O4" s="1">
        <f>VLOOKUP(CONCATENATE(Broadcast_BASE[[#This Row],[Broadcast Market]],Broadcast_BASE[[#This Row],[Broadcaster]]),Table1[[CC]:[Pay TV vs. Free-to-Air]],2,FALSE)</f>
        <v>10977116</v>
      </c>
      <c r="P4" s="57">
        <f>Broadcast_BASE[[#This Row],[Rolex EXP]]*86400</f>
        <v>4410.3521004288268</v>
      </c>
      <c r="Q4" s="73" t="str">
        <f>IF(Broadcast_BASE[[#This Row],[Dashboard Rated?]]="No","N","Y")</f>
        <v>N</v>
      </c>
      <c r="R4" s="80"/>
      <c r="S4" s="80"/>
    </row>
    <row r="5" spans="1:19" x14ac:dyDescent="0.25">
      <c r="A5" s="72" t="e">
        <f>#REF!</f>
        <v>#REF!</v>
      </c>
      <c r="B5" s="178" t="s">
        <v>13</v>
      </c>
      <c r="C5" s="178" t="s">
        <v>184</v>
      </c>
      <c r="D5" s="178" t="s">
        <v>1644</v>
      </c>
      <c r="E5" s="179">
        <v>0.89583333333333337</v>
      </c>
      <c r="F5" s="180">
        <v>107248</v>
      </c>
      <c r="G5" s="179">
        <v>5.5063380569066733E-2</v>
      </c>
      <c r="H5" s="180">
        <v>22915.511667645165</v>
      </c>
      <c r="I5" s="180">
        <v>6552.9077649588562</v>
      </c>
      <c r="J5" s="180" t="s">
        <v>1867</v>
      </c>
      <c r="K5" t="str">
        <f>VLOOKUP(Broadcast_BASE[[#This Row],[Broadcast Market]],Continent_Look_Up[],2,FALSE)</f>
        <v>Central &amp; South America</v>
      </c>
      <c r="L5" t="str">
        <f>IF(OR(Broadcast_BASE[[#This Row],[Broadcast Continent]]="Digital",Broadcast_BASE[[#This Row],[Programme Type]]="Digital"),"Y","N")</f>
        <v>N</v>
      </c>
      <c r="M5" s="4" t="str">
        <f>IF(ISNUMBER(SEARCH("Pan ",Broadcast_BASE[[#This Row],[Broadcast Market]]))=TRUE,"Y","N")</f>
        <v>N</v>
      </c>
      <c r="N5" t="str">
        <f>VLOOKUP(CONCATENATE(Broadcast_BASE[[#This Row],[Broadcast Market]],Broadcast_BASE[[#This Row],[Broadcaster]]),Table1[[CC]:[Pay TV vs. Free-to-Air]],3,FALSE)</f>
        <v>Pay TV</v>
      </c>
      <c r="O5" s="1">
        <f>VLOOKUP(CONCATENATE(Broadcast_BASE[[#This Row],[Broadcast Market]],Broadcast_BASE[[#This Row],[Broadcaster]]),Table1[[CC]:[Pay TV vs. Free-to-Air]],2,FALSE)</f>
        <v>10977116</v>
      </c>
      <c r="P5" s="57">
        <f>Broadcast_BASE[[#This Row],[Rolex EXP]]*86400</f>
        <v>4757.4760811673659</v>
      </c>
      <c r="Q5" s="73" t="str">
        <f>IF(Broadcast_BASE[[#This Row],[Dashboard Rated?]]="No","N","Y")</f>
        <v>N</v>
      </c>
      <c r="R5" s="80"/>
      <c r="S5" s="80"/>
    </row>
    <row r="6" spans="1:19" x14ac:dyDescent="0.25">
      <c r="A6" s="72" t="e">
        <f>#REF!</f>
        <v>#REF!</v>
      </c>
      <c r="B6" s="178" t="s">
        <v>13</v>
      </c>
      <c r="C6" s="178" t="s">
        <v>185</v>
      </c>
      <c r="D6" s="178" t="s">
        <v>1642</v>
      </c>
      <c r="E6" s="179">
        <v>2.0833333333333332E-2</v>
      </c>
      <c r="F6" s="180">
        <v>8859</v>
      </c>
      <c r="G6" s="179">
        <v>1.1050021561017675E-3</v>
      </c>
      <c r="H6" s="180">
        <v>309.35632437858283</v>
      </c>
      <c r="I6" s="180">
        <v>92.814970759113521</v>
      </c>
      <c r="J6" s="180" t="s">
        <v>1867</v>
      </c>
      <c r="K6" t="str">
        <f>VLOOKUP(Broadcast_BASE[[#This Row],[Broadcast Market]],Continent_Look_Up[],2,FALSE)</f>
        <v>Central &amp; South America</v>
      </c>
      <c r="L6" t="str">
        <f>IF(OR(Broadcast_BASE[[#This Row],[Broadcast Continent]]="Digital",Broadcast_BASE[[#This Row],[Programme Type]]="Digital"),"Y","N")</f>
        <v>N</v>
      </c>
      <c r="M6" s="4" t="str">
        <f>IF(ISNUMBER(SEARCH("Pan ",Broadcast_BASE[[#This Row],[Broadcast Market]]))=TRUE,"Y","N")</f>
        <v>N</v>
      </c>
      <c r="N6" t="str">
        <f>VLOOKUP(CONCATENATE(Broadcast_BASE[[#This Row],[Broadcast Market]],Broadcast_BASE[[#This Row],[Broadcaster]]),Table1[[CC]:[Pay TV vs. Free-to-Air]],3,FALSE)</f>
        <v>Pay TV</v>
      </c>
      <c r="O6" s="1">
        <f>VLOOKUP(CONCATENATE(Broadcast_BASE[[#This Row],[Broadcast Market]],Broadcast_BASE[[#This Row],[Broadcaster]]),Table1[[CC]:[Pay TV vs. Free-to-Air]],2,FALSE)</f>
        <v>10977116</v>
      </c>
      <c r="P6" s="57">
        <f>Broadcast_BASE[[#This Row],[Rolex EXP]]*86400</f>
        <v>95.472186287192713</v>
      </c>
      <c r="Q6" s="73" t="str">
        <f>IF(Broadcast_BASE[[#This Row],[Dashboard Rated?]]="No","N","Y")</f>
        <v>N</v>
      </c>
      <c r="R6" s="80"/>
      <c r="S6" s="80"/>
    </row>
    <row r="7" spans="1:19" x14ac:dyDescent="0.25">
      <c r="A7" s="72" t="e">
        <f>#REF!</f>
        <v>#REF!</v>
      </c>
      <c r="B7" s="178" t="s">
        <v>13</v>
      </c>
      <c r="C7" s="178" t="s">
        <v>185</v>
      </c>
      <c r="D7" s="178" t="s">
        <v>1643</v>
      </c>
      <c r="E7" s="179">
        <v>2.4895833333333335</v>
      </c>
      <c r="F7" s="180">
        <v>412839</v>
      </c>
      <c r="G7" s="179">
        <v>0.1623918098142384</v>
      </c>
      <c r="H7" s="180">
        <v>159582.80661835728</v>
      </c>
      <c r="I7" s="180">
        <v>45320.293662080119</v>
      </c>
      <c r="J7" s="180" t="s">
        <v>1867</v>
      </c>
      <c r="K7" t="str">
        <f>VLOOKUP(Broadcast_BASE[[#This Row],[Broadcast Market]],Continent_Look_Up[],2,FALSE)</f>
        <v>Central &amp; South America</v>
      </c>
      <c r="L7" t="str">
        <f>IF(OR(Broadcast_BASE[[#This Row],[Broadcast Continent]]="Digital",Broadcast_BASE[[#This Row],[Programme Type]]="Digital"),"Y","N")</f>
        <v>N</v>
      </c>
      <c r="M7" s="4" t="str">
        <f>IF(ISNUMBER(SEARCH("Pan ",Broadcast_BASE[[#This Row],[Broadcast Market]]))=TRUE,"Y","N")</f>
        <v>N</v>
      </c>
      <c r="N7" t="str">
        <f>VLOOKUP(CONCATENATE(Broadcast_BASE[[#This Row],[Broadcast Market]],Broadcast_BASE[[#This Row],[Broadcaster]]),Table1[[CC]:[Pay TV vs. Free-to-Air]],3,FALSE)</f>
        <v>Pay TV</v>
      </c>
      <c r="O7" s="1">
        <f>VLOOKUP(CONCATENATE(Broadcast_BASE[[#This Row],[Broadcast Market]],Broadcast_BASE[[#This Row],[Broadcaster]]),Table1[[CC]:[Pay TV vs. Free-to-Air]],2,FALSE)</f>
        <v>10977116</v>
      </c>
      <c r="P7" s="57">
        <f>Broadcast_BASE[[#This Row],[Rolex EXP]]*86400</f>
        <v>14030.652367950197</v>
      </c>
      <c r="Q7" s="73" t="str">
        <f>IF(Broadcast_BASE[[#This Row],[Dashboard Rated?]]="No","N","Y")</f>
        <v>N</v>
      </c>
      <c r="R7" s="80"/>
      <c r="S7" s="80"/>
    </row>
    <row r="8" spans="1:19" x14ac:dyDescent="0.25">
      <c r="A8" s="72" t="e">
        <f>#REF!</f>
        <v>#REF!</v>
      </c>
      <c r="B8" s="178" t="s">
        <v>13</v>
      </c>
      <c r="C8" s="178" t="s">
        <v>185</v>
      </c>
      <c r="D8" s="178" t="s">
        <v>1644</v>
      </c>
      <c r="E8" s="179">
        <v>0.68055555555555547</v>
      </c>
      <c r="F8" s="180">
        <v>70092</v>
      </c>
      <c r="G8" s="179">
        <v>4.8966650719378835E-2</v>
      </c>
      <c r="H8" s="180">
        <v>18077.100539372626</v>
      </c>
      <c r="I8" s="180">
        <v>5179.1724674463458</v>
      </c>
      <c r="J8" s="180" t="s">
        <v>1867</v>
      </c>
      <c r="K8" t="str">
        <f>VLOOKUP(Broadcast_BASE[[#This Row],[Broadcast Market]],Continent_Look_Up[],2,FALSE)</f>
        <v>Central &amp; South America</v>
      </c>
      <c r="L8" t="str">
        <f>IF(OR(Broadcast_BASE[[#This Row],[Broadcast Continent]]="Digital",Broadcast_BASE[[#This Row],[Programme Type]]="Digital"),"Y","N")</f>
        <v>N</v>
      </c>
      <c r="M8" s="4" t="str">
        <f>IF(ISNUMBER(SEARCH("Pan ",Broadcast_BASE[[#This Row],[Broadcast Market]]))=TRUE,"Y","N")</f>
        <v>N</v>
      </c>
      <c r="N8" t="str">
        <f>VLOOKUP(CONCATENATE(Broadcast_BASE[[#This Row],[Broadcast Market]],Broadcast_BASE[[#This Row],[Broadcaster]]),Table1[[CC]:[Pay TV vs. Free-to-Air]],3,FALSE)</f>
        <v>Pay TV</v>
      </c>
      <c r="O8" s="1">
        <f>VLOOKUP(CONCATENATE(Broadcast_BASE[[#This Row],[Broadcast Market]],Broadcast_BASE[[#This Row],[Broadcaster]]),Table1[[CC]:[Pay TV vs. Free-to-Air]],2,FALSE)</f>
        <v>10977116</v>
      </c>
      <c r="P8" s="57">
        <f>Broadcast_BASE[[#This Row],[Rolex EXP]]*86400</f>
        <v>4230.7186221543316</v>
      </c>
      <c r="Q8" s="73" t="str">
        <f>IF(Broadcast_BASE[[#This Row],[Dashboard Rated?]]="No","N","Y")</f>
        <v>N</v>
      </c>
      <c r="R8" s="80"/>
      <c r="S8" s="80"/>
    </row>
    <row r="9" spans="1:19" x14ac:dyDescent="0.25">
      <c r="A9" s="72" t="e">
        <f>#REF!</f>
        <v>#REF!</v>
      </c>
      <c r="B9" s="178" t="s">
        <v>13</v>
      </c>
      <c r="C9" s="178" t="s">
        <v>186</v>
      </c>
      <c r="D9" s="178" t="s">
        <v>1643</v>
      </c>
      <c r="E9" s="179">
        <v>1.8125</v>
      </c>
      <c r="F9" s="180">
        <v>325242</v>
      </c>
      <c r="G9" s="179">
        <v>0.11625486264763797</v>
      </c>
      <c r="H9" s="180">
        <v>118000.95568351093</v>
      </c>
      <c r="I9" s="180">
        <v>33141.028056741969</v>
      </c>
      <c r="J9" s="180" t="s">
        <v>1867</v>
      </c>
      <c r="K9" t="str">
        <f>VLOOKUP(Broadcast_BASE[[#This Row],[Broadcast Market]],Continent_Look_Up[],2,FALSE)</f>
        <v>Central &amp; South America</v>
      </c>
      <c r="L9" t="str">
        <f>IF(OR(Broadcast_BASE[[#This Row],[Broadcast Continent]]="Digital",Broadcast_BASE[[#This Row],[Programme Type]]="Digital"),"Y","N")</f>
        <v>N</v>
      </c>
      <c r="M9" s="4" t="str">
        <f>IF(ISNUMBER(SEARCH("Pan ",Broadcast_BASE[[#This Row],[Broadcast Market]]))=TRUE,"Y","N")</f>
        <v>N</v>
      </c>
      <c r="N9" t="str">
        <f>VLOOKUP(CONCATENATE(Broadcast_BASE[[#This Row],[Broadcast Market]],Broadcast_BASE[[#This Row],[Broadcaster]]),Table1[[CC]:[Pay TV vs. Free-to-Air]],3,FALSE)</f>
        <v>Pay TV</v>
      </c>
      <c r="O9" s="1">
        <f>VLOOKUP(CONCATENATE(Broadcast_BASE[[#This Row],[Broadcast Market]],Broadcast_BASE[[#This Row],[Broadcaster]]),Table1[[CC]:[Pay TV vs. Free-to-Air]],2,FALSE)</f>
        <v>10977116</v>
      </c>
      <c r="P9" s="57">
        <f>Broadcast_BASE[[#This Row],[Rolex EXP]]*86400</f>
        <v>10044.42013275592</v>
      </c>
      <c r="Q9" s="73" t="str">
        <f>IF(Broadcast_BASE[[#This Row],[Dashboard Rated?]]="No","N","Y")</f>
        <v>N</v>
      </c>
      <c r="R9" s="81"/>
      <c r="S9" s="81"/>
    </row>
    <row r="10" spans="1:19" x14ac:dyDescent="0.25">
      <c r="A10" s="72" t="e">
        <f>#REF!</f>
        <v>#REF!</v>
      </c>
      <c r="B10" s="178" t="s">
        <v>13</v>
      </c>
      <c r="C10" s="178" t="s">
        <v>186</v>
      </c>
      <c r="D10" s="178" t="s">
        <v>1644</v>
      </c>
      <c r="E10" s="179">
        <v>0.35416666666666669</v>
      </c>
      <c r="F10" s="180">
        <v>46728</v>
      </c>
      <c r="G10" s="179">
        <v>2.3085538803348991E-2</v>
      </c>
      <c r="H10" s="180">
        <v>8522.5270632727024</v>
      </c>
      <c r="I10" s="180">
        <v>2424.0346764194755</v>
      </c>
      <c r="J10" s="180" t="s">
        <v>1867</v>
      </c>
      <c r="K10" t="str">
        <f>VLOOKUP(Broadcast_BASE[[#This Row],[Broadcast Market]],Continent_Look_Up[],2,FALSE)</f>
        <v>Central &amp; South America</v>
      </c>
      <c r="L10" t="str">
        <f>IF(OR(Broadcast_BASE[[#This Row],[Broadcast Continent]]="Digital",Broadcast_BASE[[#This Row],[Programme Type]]="Digital"),"Y","N")</f>
        <v>N</v>
      </c>
      <c r="M10" s="4" t="str">
        <f>IF(ISNUMBER(SEARCH("Pan ",Broadcast_BASE[[#This Row],[Broadcast Market]]))=TRUE,"Y","N")</f>
        <v>N</v>
      </c>
      <c r="N10" t="str">
        <f>VLOOKUP(CONCATENATE(Broadcast_BASE[[#This Row],[Broadcast Market]],Broadcast_BASE[[#This Row],[Broadcaster]]),Table1[[CC]:[Pay TV vs. Free-to-Air]],3,FALSE)</f>
        <v>Pay TV</v>
      </c>
      <c r="O10" s="1">
        <f>VLOOKUP(CONCATENATE(Broadcast_BASE[[#This Row],[Broadcast Market]],Broadcast_BASE[[#This Row],[Broadcaster]]),Table1[[CC]:[Pay TV vs. Free-to-Air]],2,FALSE)</f>
        <v>10977116</v>
      </c>
      <c r="P10" s="51">
        <f>Broadcast_BASE[[#This Row],[Rolex EXP]]*86400</f>
        <v>1994.5905526093527</v>
      </c>
      <c r="Q10" s="73" t="str">
        <f>IF(Broadcast_BASE[[#This Row],[Dashboard Rated?]]="No","N","Y")</f>
        <v>N</v>
      </c>
      <c r="R10" s="81"/>
      <c r="S10" s="81"/>
    </row>
    <row r="11" spans="1:19" x14ac:dyDescent="0.25">
      <c r="A11" s="72" t="e">
        <f>#REF!</f>
        <v>#REF!</v>
      </c>
      <c r="B11" s="178" t="s">
        <v>17</v>
      </c>
      <c r="C11" s="178" t="s">
        <v>183</v>
      </c>
      <c r="D11" s="178" t="s">
        <v>1642</v>
      </c>
      <c r="E11" s="179">
        <v>0.10413194444444444</v>
      </c>
      <c r="F11" s="180">
        <v>27963.431857799049</v>
      </c>
      <c r="G11" s="179">
        <v>7.8966015824072696E-3</v>
      </c>
      <c r="H11" s="180">
        <v>4533.5576900148026</v>
      </c>
      <c r="I11" s="180">
        <v>1316.0278876764125</v>
      </c>
      <c r="J11" s="180" t="s">
        <v>1868</v>
      </c>
      <c r="K11" t="str">
        <f>VLOOKUP(Broadcast_BASE[[#This Row],[Broadcast Market]],Continent_Look_Up[],2,FALSE)</f>
        <v>Asia Pacific</v>
      </c>
      <c r="L11" t="str">
        <f>IF(OR(Broadcast_BASE[[#This Row],[Broadcast Continent]]="Digital",Broadcast_BASE[[#This Row],[Programme Type]]="Digital"),"Y","N")</f>
        <v>N</v>
      </c>
      <c r="M11" s="4" t="str">
        <f>IF(ISNUMBER(SEARCH("Pan ",Broadcast_BASE[[#This Row],[Broadcast Market]]))=TRUE,"Y","N")</f>
        <v>N</v>
      </c>
      <c r="N11" t="str">
        <f>VLOOKUP(CONCATENATE(Broadcast_BASE[[#This Row],[Broadcast Market]],Broadcast_BASE[[#This Row],[Broadcaster]]),Table1[[CC]:[Pay TV vs. Free-to-Air]],3,FALSE)</f>
        <v>Pay TV</v>
      </c>
      <c r="O11" s="1">
        <f>VLOOKUP(CONCATENATE(Broadcast_BASE[[#This Row],[Broadcast Market]],Broadcast_BASE[[#This Row],[Broadcaster]]),Table1[[CC]:[Pay TV vs. Free-to-Air]],2,FALSE)</f>
        <v>1753245</v>
      </c>
      <c r="P11" s="57">
        <f>Broadcast_BASE[[#This Row],[Rolex EXP]]*86400</f>
        <v>682.2663767199881</v>
      </c>
      <c r="Q11" s="73" t="str">
        <f>IF(Broadcast_BASE[[#This Row],[Dashboard Rated?]]="No","N","Y")</f>
        <v>Y</v>
      </c>
      <c r="R11" s="81"/>
      <c r="S11" s="81"/>
    </row>
    <row r="12" spans="1:19" x14ac:dyDescent="0.25">
      <c r="A12" s="72" t="e">
        <f>#REF!</f>
        <v>#REF!</v>
      </c>
      <c r="B12" s="178" t="s">
        <v>17</v>
      </c>
      <c r="C12" s="178" t="s">
        <v>183</v>
      </c>
      <c r="D12" s="178" t="s">
        <v>1643</v>
      </c>
      <c r="E12" s="179">
        <v>3.9679513888888889</v>
      </c>
      <c r="F12" s="180">
        <v>288634.64176198898</v>
      </c>
      <c r="G12" s="179">
        <v>0.25498135885443396</v>
      </c>
      <c r="H12" s="180">
        <v>166476.86927188444</v>
      </c>
      <c r="I12" s="180">
        <v>46556.361871120193</v>
      </c>
      <c r="J12" s="180" t="s">
        <v>1868</v>
      </c>
      <c r="K12" t="str">
        <f>VLOOKUP(Broadcast_BASE[[#This Row],[Broadcast Market]],Continent_Look_Up[],2,FALSE)</f>
        <v>Asia Pacific</v>
      </c>
      <c r="L12" t="str">
        <f>IF(OR(Broadcast_BASE[[#This Row],[Broadcast Continent]]="Digital",Broadcast_BASE[[#This Row],[Programme Type]]="Digital"),"Y","N")</f>
        <v>N</v>
      </c>
      <c r="M12" s="4" t="str">
        <f>IF(ISNUMBER(SEARCH("Pan ",Broadcast_BASE[[#This Row],[Broadcast Market]]))=TRUE,"Y","N")</f>
        <v>N</v>
      </c>
      <c r="N12" t="str">
        <f>VLOOKUP(CONCATENATE(Broadcast_BASE[[#This Row],[Broadcast Market]],Broadcast_BASE[[#This Row],[Broadcaster]]),Table1[[CC]:[Pay TV vs. Free-to-Air]],3,FALSE)</f>
        <v>Pay TV</v>
      </c>
      <c r="O12" s="1">
        <f>VLOOKUP(CONCATENATE(Broadcast_BASE[[#This Row],[Broadcast Market]],Broadcast_BASE[[#This Row],[Broadcaster]]),Table1[[CC]:[Pay TV vs. Free-to-Air]],2,FALSE)</f>
        <v>1753245</v>
      </c>
      <c r="P12" s="51">
        <f>Broadcast_BASE[[#This Row],[Rolex EXP]]*86400</f>
        <v>22030.389405023096</v>
      </c>
      <c r="Q12" s="73" t="str">
        <f>IF(Broadcast_BASE[[#This Row],[Dashboard Rated?]]="No","N","Y")</f>
        <v>Y</v>
      </c>
      <c r="R12" s="81"/>
      <c r="S12" s="81"/>
    </row>
    <row r="13" spans="1:19" x14ac:dyDescent="0.25">
      <c r="A13" s="72" t="e">
        <f>#REF!</f>
        <v>#REF!</v>
      </c>
      <c r="B13" s="178" t="s">
        <v>17</v>
      </c>
      <c r="C13" s="178" t="s">
        <v>183</v>
      </c>
      <c r="D13" s="178" t="s">
        <v>1644</v>
      </c>
      <c r="E13" s="179">
        <v>3.788148148148148</v>
      </c>
      <c r="F13" s="180">
        <v>168756.05969997335</v>
      </c>
      <c r="G13" s="179">
        <v>0.25710537979214293</v>
      </c>
      <c r="H13" s="180">
        <v>70430.093044863068</v>
      </c>
      <c r="I13" s="180">
        <v>19753.560448387019</v>
      </c>
      <c r="J13" s="180" t="s">
        <v>1868</v>
      </c>
      <c r="K13" t="str">
        <f>VLOOKUP(Broadcast_BASE[[#This Row],[Broadcast Market]],Continent_Look_Up[],2,FALSE)</f>
        <v>Asia Pacific</v>
      </c>
      <c r="L13" t="str">
        <f>IF(OR(Broadcast_BASE[[#This Row],[Broadcast Continent]]="Digital",Broadcast_BASE[[#This Row],[Programme Type]]="Digital"),"Y","N")</f>
        <v>N</v>
      </c>
      <c r="M13" s="4" t="str">
        <f>IF(ISNUMBER(SEARCH("Pan ",Broadcast_BASE[[#This Row],[Broadcast Market]]))=TRUE,"Y","N")</f>
        <v>N</v>
      </c>
      <c r="N13" t="str">
        <f>VLOOKUP(CONCATENATE(Broadcast_BASE[[#This Row],[Broadcast Market]],Broadcast_BASE[[#This Row],[Broadcaster]]),Table1[[CC]:[Pay TV vs. Free-to-Air]],3,FALSE)</f>
        <v>Pay TV</v>
      </c>
      <c r="O13" s="1">
        <f>VLOOKUP(CONCATENATE(Broadcast_BASE[[#This Row],[Broadcast Market]],Broadcast_BASE[[#This Row],[Broadcaster]]),Table1[[CC]:[Pay TV vs. Free-to-Air]],2,FALSE)</f>
        <v>1753245</v>
      </c>
      <c r="P13" s="57">
        <f>Broadcast_BASE[[#This Row],[Rolex EXP]]*86400</f>
        <v>22213.904814041151</v>
      </c>
      <c r="Q13" s="73" t="str">
        <f>IF(Broadcast_BASE[[#This Row],[Dashboard Rated?]]="No","N","Y")</f>
        <v>Y</v>
      </c>
      <c r="R13" s="81"/>
      <c r="S13" s="81"/>
    </row>
    <row r="14" spans="1:19" x14ac:dyDescent="0.25">
      <c r="A14" s="72" t="e">
        <f>#REF!</f>
        <v>#REF!</v>
      </c>
      <c r="B14" s="178" t="s">
        <v>17</v>
      </c>
      <c r="C14" s="178" t="s">
        <v>185</v>
      </c>
      <c r="D14" s="178" t="s">
        <v>1644</v>
      </c>
      <c r="E14" s="179">
        <v>0.33333333333333331</v>
      </c>
      <c r="F14" s="180">
        <v>7509</v>
      </c>
      <c r="G14" s="179">
        <v>1.7659022544354131E-2</v>
      </c>
      <c r="H14" s="180">
        <v>2612.0428011948898</v>
      </c>
      <c r="I14" s="180">
        <v>734.22295096746052</v>
      </c>
      <c r="J14" s="180" t="s">
        <v>1867</v>
      </c>
      <c r="K14" t="str">
        <f>VLOOKUP(Broadcast_BASE[[#This Row],[Broadcast Market]],Continent_Look_Up[],2,FALSE)</f>
        <v>Asia Pacific</v>
      </c>
      <c r="L14" t="str">
        <f>IF(OR(Broadcast_BASE[[#This Row],[Broadcast Continent]]="Digital",Broadcast_BASE[[#This Row],[Programme Type]]="Digital"),"Y","N")</f>
        <v>N</v>
      </c>
      <c r="M14" s="4" t="str">
        <f>IF(ISNUMBER(SEARCH("Pan ",Broadcast_BASE[[#This Row],[Broadcast Market]]))=TRUE,"Y","N")</f>
        <v>N</v>
      </c>
      <c r="N14" t="str">
        <f>VLOOKUP(CONCATENATE(Broadcast_BASE[[#This Row],[Broadcast Market]],Broadcast_BASE[[#This Row],[Broadcaster]]),Table1[[CC]:[Pay TV vs. Free-to-Air]],3,FALSE)</f>
        <v>Pay TV</v>
      </c>
      <c r="O14" s="1">
        <f>VLOOKUP(CONCATENATE(Broadcast_BASE[[#This Row],[Broadcast Market]],Broadcast_BASE[[#This Row],[Broadcaster]]),Table1[[CC]:[Pay TV vs. Free-to-Air]],2,FALSE)</f>
        <v>1753245</v>
      </c>
      <c r="P14" s="57">
        <f>Broadcast_BASE[[#This Row],[Rolex EXP]]*86400</f>
        <v>1525.7395478321969</v>
      </c>
      <c r="Q14" s="73" t="str">
        <f>IF(Broadcast_BASE[[#This Row],[Dashboard Rated?]]="No","N","Y")</f>
        <v>N</v>
      </c>
      <c r="R14" s="81"/>
      <c r="S14" s="81"/>
    </row>
    <row r="15" spans="1:19" x14ac:dyDescent="0.25">
      <c r="A15" s="72" t="e">
        <f>#REF!</f>
        <v>#REF!</v>
      </c>
      <c r="B15" s="178" t="s">
        <v>17</v>
      </c>
      <c r="C15" s="178" t="s">
        <v>251</v>
      </c>
      <c r="D15" s="178" t="s">
        <v>1642</v>
      </c>
      <c r="E15" s="179">
        <v>4.4421296296296299E-2</v>
      </c>
      <c r="F15" s="180">
        <v>109577.63414044509</v>
      </c>
      <c r="G15" s="179">
        <v>2.6442935155782245E-3</v>
      </c>
      <c r="H15" s="180">
        <v>8839.0747241285626</v>
      </c>
      <c r="I15" s="180">
        <v>2452.9521078632197</v>
      </c>
      <c r="J15" s="180" t="s">
        <v>1868</v>
      </c>
      <c r="K15" t="str">
        <f>VLOOKUP(Broadcast_BASE[[#This Row],[Broadcast Market]],Continent_Look_Up[],2,FALSE)</f>
        <v>Asia Pacific</v>
      </c>
      <c r="L15" t="str">
        <f>IF(OR(Broadcast_BASE[[#This Row],[Broadcast Continent]]="Digital",Broadcast_BASE[[#This Row],[Programme Type]]="Digital"),"Y","N")</f>
        <v>N</v>
      </c>
      <c r="M15" s="4" t="str">
        <f>IF(ISNUMBER(SEARCH("Pan ",Broadcast_BASE[[#This Row],[Broadcast Market]]))=TRUE,"Y","N")</f>
        <v>N</v>
      </c>
      <c r="N15" t="str">
        <f>VLOOKUP(CONCATENATE(Broadcast_BASE[[#This Row],[Broadcast Market]],Broadcast_BASE[[#This Row],[Broadcaster]]),Table1[[CC]:[Pay TV vs. Free-to-Air]],3,FALSE)</f>
        <v>Free-to-Air</v>
      </c>
      <c r="O15" s="1">
        <f>VLOOKUP(CONCATENATE(Broadcast_BASE[[#This Row],[Broadcast Market]],Broadcast_BASE[[#This Row],[Broadcaster]]),Table1[[CC]:[Pay TV vs. Free-to-Air]],2,FALSE)</f>
        <v>7430500</v>
      </c>
      <c r="P15" s="51">
        <f>Broadcast_BASE[[#This Row],[Rolex EXP]]*86400</f>
        <v>228.4669597459586</v>
      </c>
      <c r="Q15" s="73" t="str">
        <f>IF(Broadcast_BASE[[#This Row],[Dashboard Rated?]]="No","N","Y")</f>
        <v>Y</v>
      </c>
      <c r="R15" s="81"/>
      <c r="S15" s="81"/>
    </row>
    <row r="16" spans="1:19" x14ac:dyDescent="0.25">
      <c r="A16" s="72" t="e">
        <f>#REF!</f>
        <v>#REF!</v>
      </c>
      <c r="B16" s="178" t="s">
        <v>17</v>
      </c>
      <c r="C16" s="178" t="s">
        <v>251</v>
      </c>
      <c r="D16" s="178" t="s">
        <v>1643</v>
      </c>
      <c r="E16" s="179">
        <v>1.6811574074074074</v>
      </c>
      <c r="F16" s="180">
        <v>381733.36047739623</v>
      </c>
      <c r="G16" s="179">
        <v>0.12307074059135846</v>
      </c>
      <c r="H16" s="180">
        <v>288842.85636023933</v>
      </c>
      <c r="I16" s="180">
        <v>82458.301652016715</v>
      </c>
      <c r="J16" s="180" t="s">
        <v>1868</v>
      </c>
      <c r="K16" t="str">
        <f>VLOOKUP(Broadcast_BASE[[#This Row],[Broadcast Market]],Continent_Look_Up[],2,FALSE)</f>
        <v>Asia Pacific</v>
      </c>
      <c r="L16" t="str">
        <f>IF(OR(Broadcast_BASE[[#This Row],[Broadcast Continent]]="Digital",Broadcast_BASE[[#This Row],[Programme Type]]="Digital"),"Y","N")</f>
        <v>N</v>
      </c>
      <c r="M16" s="4" t="str">
        <f>IF(ISNUMBER(SEARCH("Pan ",Broadcast_BASE[[#This Row],[Broadcast Market]]))=TRUE,"Y","N")</f>
        <v>N</v>
      </c>
      <c r="N16" t="str">
        <f>VLOOKUP(CONCATENATE(Broadcast_BASE[[#This Row],[Broadcast Market]],Broadcast_BASE[[#This Row],[Broadcaster]]),Table1[[CC]:[Pay TV vs. Free-to-Air]],3,FALSE)</f>
        <v>Free-to-Air</v>
      </c>
      <c r="O16" s="1">
        <f>VLOOKUP(CONCATENATE(Broadcast_BASE[[#This Row],[Broadcast Market]],Broadcast_BASE[[#This Row],[Broadcaster]]),Table1[[CC]:[Pay TV vs. Free-to-Air]],2,FALSE)</f>
        <v>7430500</v>
      </c>
      <c r="P16" s="57">
        <f>Broadcast_BASE[[#This Row],[Rolex EXP]]*86400</f>
        <v>10633.311987093371</v>
      </c>
      <c r="Q16" s="73" t="str">
        <f>IF(Broadcast_BASE[[#This Row],[Dashboard Rated?]]="No","N","Y")</f>
        <v>Y</v>
      </c>
      <c r="R16" s="81"/>
      <c r="S16" s="81"/>
    </row>
    <row r="17" spans="1:19" x14ac:dyDescent="0.25">
      <c r="A17" s="72" t="e">
        <f>#REF!</f>
        <v>#REF!</v>
      </c>
      <c r="B17" s="178" t="s">
        <v>23</v>
      </c>
      <c r="C17" s="178" t="s">
        <v>268</v>
      </c>
      <c r="D17" s="178" t="s">
        <v>1642</v>
      </c>
      <c r="E17" s="179">
        <v>0.98788194444444433</v>
      </c>
      <c r="F17" s="180">
        <v>234549</v>
      </c>
      <c r="G17" s="179">
        <v>7.2513948579480861E-2</v>
      </c>
      <c r="H17" s="180">
        <v>7297.2774590998251</v>
      </c>
      <c r="I17" s="180">
        <v>2099.703181361012</v>
      </c>
      <c r="J17" s="180" t="s">
        <v>1868</v>
      </c>
      <c r="K17" t="str">
        <f>VLOOKUP(Broadcast_BASE[[#This Row],[Broadcast Market]],Continent_Look_Up[],2,FALSE)</f>
        <v>Europe</v>
      </c>
      <c r="L17" t="str">
        <f>IF(OR(Broadcast_BASE[[#This Row],[Broadcast Continent]]="Digital",Broadcast_BASE[[#This Row],[Programme Type]]="Digital"),"Y","N")</f>
        <v>N</v>
      </c>
      <c r="M17" s="4" t="str">
        <f>IF(ISNUMBER(SEARCH("Pan ",Broadcast_BASE[[#This Row],[Broadcast Market]]))=TRUE,"Y","N")</f>
        <v>N</v>
      </c>
      <c r="N17" t="str">
        <f>VLOOKUP(CONCATENATE(Broadcast_BASE[[#This Row],[Broadcast Market]],Broadcast_BASE[[#This Row],[Broadcaster]]),Table1[[CC]:[Pay TV vs. Free-to-Air]],3,FALSE)</f>
        <v>Pay TV</v>
      </c>
      <c r="O17" s="1">
        <f>VLOOKUP(CONCATENATE(Broadcast_BASE[[#This Row],[Broadcast Market]],Broadcast_BASE[[#This Row],[Broadcaster]]),Table1[[CC]:[Pay TV vs. Free-to-Air]],2,FALSE)</f>
        <v>3045000</v>
      </c>
      <c r="P17" s="57">
        <f>Broadcast_BASE[[#This Row],[Rolex EXP]]*86400</f>
        <v>6265.2051572671462</v>
      </c>
      <c r="Q17" s="73" t="str">
        <f>IF(Broadcast_BASE[[#This Row],[Dashboard Rated?]]="No","N","Y")</f>
        <v>Y</v>
      </c>
      <c r="R17" s="81"/>
      <c r="S17" s="81"/>
    </row>
    <row r="18" spans="1:19" x14ac:dyDescent="0.25">
      <c r="A18" s="72" t="e">
        <f>#REF!</f>
        <v>#REF!</v>
      </c>
      <c r="B18" s="178" t="s">
        <v>23</v>
      </c>
      <c r="C18" s="178" t="s">
        <v>268</v>
      </c>
      <c r="D18" s="178" t="s">
        <v>1643</v>
      </c>
      <c r="E18" s="179">
        <v>5.3811805555555559</v>
      </c>
      <c r="F18" s="180">
        <v>724899</v>
      </c>
      <c r="G18" s="179">
        <v>0.43241720758072172</v>
      </c>
      <c r="H18" s="180">
        <v>97431.927018422022</v>
      </c>
      <c r="I18" s="180">
        <v>27963.342829276764</v>
      </c>
      <c r="J18" s="180" t="s">
        <v>1868</v>
      </c>
      <c r="K18" t="str">
        <f>VLOOKUP(Broadcast_BASE[[#This Row],[Broadcast Market]],Continent_Look_Up[],2,FALSE)</f>
        <v>Europe</v>
      </c>
      <c r="L18" t="str">
        <f>IF(OR(Broadcast_BASE[[#This Row],[Broadcast Continent]]="Digital",Broadcast_BASE[[#This Row],[Programme Type]]="Digital"),"Y","N")</f>
        <v>N</v>
      </c>
      <c r="M18" s="4" t="str">
        <f>IF(ISNUMBER(SEARCH("Pan ",Broadcast_BASE[[#This Row],[Broadcast Market]]))=TRUE,"Y","N")</f>
        <v>N</v>
      </c>
      <c r="N18" t="str">
        <f>VLOOKUP(CONCATENATE(Broadcast_BASE[[#This Row],[Broadcast Market]],Broadcast_BASE[[#This Row],[Broadcaster]]),Table1[[CC]:[Pay TV vs. Free-to-Air]],3,FALSE)</f>
        <v>Pay TV</v>
      </c>
      <c r="O18" s="1">
        <f>VLOOKUP(CONCATENATE(Broadcast_BASE[[#This Row],[Broadcast Market]],Broadcast_BASE[[#This Row],[Broadcaster]]),Table1[[CC]:[Pay TV vs. Free-to-Air]],2,FALSE)</f>
        <v>3045000</v>
      </c>
      <c r="P18" s="57">
        <f>Broadcast_BASE[[#This Row],[Rolex EXP]]*86400</f>
        <v>37360.846734974359</v>
      </c>
      <c r="Q18" s="73" t="str">
        <f>IF(Broadcast_BASE[[#This Row],[Dashboard Rated?]]="No","N","Y")</f>
        <v>Y</v>
      </c>
      <c r="R18" s="81"/>
      <c r="S18" s="81"/>
    </row>
    <row r="19" spans="1:19" x14ac:dyDescent="0.25">
      <c r="A19" s="72" t="e">
        <f>#REF!</f>
        <v>#REF!</v>
      </c>
      <c r="B19" s="178" t="s">
        <v>23</v>
      </c>
      <c r="C19" s="178" t="s">
        <v>268</v>
      </c>
      <c r="D19" s="178" t="s">
        <v>1644</v>
      </c>
      <c r="E19" s="179">
        <v>1.4279050925925925</v>
      </c>
      <c r="F19" s="180">
        <v>100755</v>
      </c>
      <c r="G19" s="179">
        <v>0.10831253951933366</v>
      </c>
      <c r="H19" s="180">
        <v>9475.9239196314884</v>
      </c>
      <c r="I19" s="180">
        <v>2817.2401056562867</v>
      </c>
      <c r="J19" s="180" t="s">
        <v>1868</v>
      </c>
      <c r="K19" t="str">
        <f>VLOOKUP(Broadcast_BASE[[#This Row],[Broadcast Market]],Continent_Look_Up[],2,FALSE)</f>
        <v>Europe</v>
      </c>
      <c r="L19" t="str">
        <f>IF(OR(Broadcast_BASE[[#This Row],[Broadcast Continent]]="Digital",Broadcast_BASE[[#This Row],[Programme Type]]="Digital"),"Y","N")</f>
        <v>N</v>
      </c>
      <c r="M19" s="4" t="str">
        <f>IF(ISNUMBER(SEARCH("Pan ",Broadcast_BASE[[#This Row],[Broadcast Market]]))=TRUE,"Y","N")</f>
        <v>N</v>
      </c>
      <c r="N19" t="str">
        <f>VLOOKUP(CONCATENATE(Broadcast_BASE[[#This Row],[Broadcast Market]],Broadcast_BASE[[#This Row],[Broadcaster]]),Table1[[CC]:[Pay TV vs. Free-to-Air]],3,FALSE)</f>
        <v>Pay TV</v>
      </c>
      <c r="O19" s="1">
        <f>VLOOKUP(CONCATENATE(Broadcast_BASE[[#This Row],[Broadcast Market]],Broadcast_BASE[[#This Row],[Broadcaster]]),Table1[[CC]:[Pay TV vs. Free-to-Air]],2,FALSE)</f>
        <v>3045000</v>
      </c>
      <c r="P19" s="57">
        <f>Broadcast_BASE[[#This Row],[Rolex EXP]]*86400</f>
        <v>9358.2034144704285</v>
      </c>
      <c r="Q19" s="73" t="str">
        <f>IF(Broadcast_BASE[[#This Row],[Dashboard Rated?]]="No","N","Y")</f>
        <v>Y</v>
      </c>
      <c r="R19" s="81"/>
      <c r="S19" s="81"/>
    </row>
    <row r="20" spans="1:19" x14ac:dyDescent="0.25">
      <c r="A20" s="72" t="e">
        <f>#REF!</f>
        <v>#REF!</v>
      </c>
      <c r="B20" s="178" t="s">
        <v>23</v>
      </c>
      <c r="C20" s="178" t="s">
        <v>269</v>
      </c>
      <c r="D20" s="178" t="s">
        <v>1642</v>
      </c>
      <c r="E20" s="179">
        <v>0.83843749999999995</v>
      </c>
      <c r="F20" s="180">
        <v>41029</v>
      </c>
      <c r="G20" s="179">
        <v>6.595121621262047E-2</v>
      </c>
      <c r="H20" s="180">
        <v>2076.6793312746408</v>
      </c>
      <c r="I20" s="180">
        <v>595.09780179851248</v>
      </c>
      <c r="J20" s="180" t="s">
        <v>1867</v>
      </c>
      <c r="K20" t="str">
        <f>VLOOKUP(Broadcast_BASE[[#This Row],[Broadcast Market]],Continent_Look_Up[],2,FALSE)</f>
        <v>Europe</v>
      </c>
      <c r="L20" t="str">
        <f>IF(OR(Broadcast_BASE[[#This Row],[Broadcast Continent]]="Digital",Broadcast_BASE[[#This Row],[Programme Type]]="Digital"),"Y","N")</f>
        <v>N</v>
      </c>
      <c r="M20" s="4" t="str">
        <f>IF(ISNUMBER(SEARCH("Pan ",Broadcast_BASE[[#This Row],[Broadcast Market]]))=TRUE,"Y","N")</f>
        <v>N</v>
      </c>
      <c r="N20" t="str">
        <f>VLOOKUP(CONCATENATE(Broadcast_BASE[[#This Row],[Broadcast Market]],Broadcast_BASE[[#This Row],[Broadcaster]]),Table1[[CC]:[Pay TV vs. Free-to-Air]],3,FALSE)</f>
        <v>Pay TV</v>
      </c>
      <c r="O20" s="1">
        <f>VLOOKUP(CONCATENATE(Broadcast_BASE[[#This Row],[Broadcast Market]],Broadcast_BASE[[#This Row],[Broadcaster]]),Table1[[CC]:[Pay TV vs. Free-to-Air]],2,FALSE)</f>
        <v>52785.504510029394</v>
      </c>
      <c r="P20" s="57">
        <f>Broadcast_BASE[[#This Row],[Rolex EXP]]*86400</f>
        <v>5698.1850807704086</v>
      </c>
      <c r="Q20" s="73" t="str">
        <f>IF(Broadcast_BASE[[#This Row],[Dashboard Rated?]]="No","N","Y")</f>
        <v>N</v>
      </c>
      <c r="R20" s="81"/>
      <c r="S20" s="81"/>
    </row>
    <row r="21" spans="1:19" x14ac:dyDescent="0.25">
      <c r="A21" s="72" t="e">
        <f>#REF!</f>
        <v>#REF!</v>
      </c>
      <c r="B21" s="178" t="s">
        <v>23</v>
      </c>
      <c r="C21" s="178" t="s">
        <v>269</v>
      </c>
      <c r="D21" s="178" t="s">
        <v>1643</v>
      </c>
      <c r="E21" s="179">
        <v>3.0458796296296295</v>
      </c>
      <c r="F21" s="180">
        <v>106923</v>
      </c>
      <c r="G21" s="179">
        <v>0.25179070981041834</v>
      </c>
      <c r="H21" s="180">
        <v>15313.889230911627</v>
      </c>
      <c r="I21" s="180">
        <v>4604.4143665025458</v>
      </c>
      <c r="J21" s="180" t="s">
        <v>1867</v>
      </c>
      <c r="K21" t="str">
        <f>VLOOKUP(Broadcast_BASE[[#This Row],[Broadcast Market]],Continent_Look_Up[],2,FALSE)</f>
        <v>Europe</v>
      </c>
      <c r="L21" t="str">
        <f>IF(OR(Broadcast_BASE[[#This Row],[Broadcast Continent]]="Digital",Broadcast_BASE[[#This Row],[Programme Type]]="Digital"),"Y","N")</f>
        <v>N</v>
      </c>
      <c r="M21" s="4" t="str">
        <f>IF(ISNUMBER(SEARCH("Pan ",Broadcast_BASE[[#This Row],[Broadcast Market]]))=TRUE,"Y","N")</f>
        <v>N</v>
      </c>
      <c r="N21" t="str">
        <f>VLOOKUP(CONCATENATE(Broadcast_BASE[[#This Row],[Broadcast Market]],Broadcast_BASE[[#This Row],[Broadcaster]]),Table1[[CC]:[Pay TV vs. Free-to-Air]],3,FALSE)</f>
        <v>Pay TV</v>
      </c>
      <c r="O21" s="1">
        <f>VLOOKUP(CONCATENATE(Broadcast_BASE[[#This Row],[Broadcast Market]],Broadcast_BASE[[#This Row],[Broadcaster]]),Table1[[CC]:[Pay TV vs. Free-to-Air]],2,FALSE)</f>
        <v>52785.504510029394</v>
      </c>
      <c r="P21" s="57">
        <f>Broadcast_BASE[[#This Row],[Rolex EXP]]*86400</f>
        <v>21754.717327620147</v>
      </c>
      <c r="Q21" s="73" t="str">
        <f>IF(Broadcast_BASE[[#This Row],[Dashboard Rated?]]="No","N","Y")</f>
        <v>N</v>
      </c>
      <c r="R21" s="81"/>
      <c r="S21" s="81"/>
    </row>
    <row r="22" spans="1:19" x14ac:dyDescent="0.25">
      <c r="A22" s="72" t="e">
        <f>#REF!</f>
        <v>#REF!</v>
      </c>
      <c r="B22" s="178" t="s">
        <v>23</v>
      </c>
      <c r="C22" s="178" t="s">
        <v>269</v>
      </c>
      <c r="D22" s="178" t="s">
        <v>1644</v>
      </c>
      <c r="E22" s="179">
        <v>2.4179629629629633</v>
      </c>
      <c r="F22" s="180">
        <v>39497</v>
      </c>
      <c r="G22" s="179">
        <v>0.1817433025006705</v>
      </c>
      <c r="H22" s="180">
        <v>3865.2437793258573</v>
      </c>
      <c r="I22" s="180">
        <v>1096.0795660305414</v>
      </c>
      <c r="J22" s="180" t="s">
        <v>1867</v>
      </c>
      <c r="K22" t="str">
        <f>VLOOKUP(Broadcast_BASE[[#This Row],[Broadcast Market]],Continent_Look_Up[],2,FALSE)</f>
        <v>Europe</v>
      </c>
      <c r="L22" t="str">
        <f>IF(OR(Broadcast_BASE[[#This Row],[Broadcast Continent]]="Digital",Broadcast_BASE[[#This Row],[Programme Type]]="Digital"),"Y","N")</f>
        <v>N</v>
      </c>
      <c r="M22" s="4" t="str">
        <f>IF(ISNUMBER(SEARCH("Pan ",Broadcast_BASE[[#This Row],[Broadcast Market]]))=TRUE,"Y","N")</f>
        <v>N</v>
      </c>
      <c r="N22" t="str">
        <f>VLOOKUP(CONCATENATE(Broadcast_BASE[[#This Row],[Broadcast Market]],Broadcast_BASE[[#This Row],[Broadcaster]]),Table1[[CC]:[Pay TV vs. Free-to-Air]],3,FALSE)</f>
        <v>Pay TV</v>
      </c>
      <c r="O22" s="1">
        <f>VLOOKUP(CONCATENATE(Broadcast_BASE[[#This Row],[Broadcast Market]],Broadcast_BASE[[#This Row],[Broadcaster]]),Table1[[CC]:[Pay TV vs. Free-to-Air]],2,FALSE)</f>
        <v>52785.504510029394</v>
      </c>
      <c r="P22" s="51">
        <f>Broadcast_BASE[[#This Row],[Rolex EXP]]*86400</f>
        <v>15702.621336057931</v>
      </c>
      <c r="Q22" s="73" t="str">
        <f>IF(Broadcast_BASE[[#This Row],[Dashboard Rated?]]="No","N","Y")</f>
        <v>N</v>
      </c>
      <c r="R22" s="81"/>
      <c r="S22" s="81"/>
    </row>
    <row r="23" spans="1:19" x14ac:dyDescent="0.25">
      <c r="A23" s="72" t="e">
        <f>#REF!</f>
        <v>#REF!</v>
      </c>
      <c r="B23" s="178" t="s">
        <v>23</v>
      </c>
      <c r="C23" s="178" t="s">
        <v>282</v>
      </c>
      <c r="D23" s="178" t="s">
        <v>1642</v>
      </c>
      <c r="E23" s="179">
        <v>0.1514351851851852</v>
      </c>
      <c r="F23" s="180">
        <v>174763</v>
      </c>
      <c r="G23" s="179">
        <v>1.1182679922079971E-2</v>
      </c>
      <c r="H23" s="180">
        <v>3664.7785387751292</v>
      </c>
      <c r="I23" s="180">
        <v>1065.6418406766686</v>
      </c>
      <c r="J23" s="180" t="s">
        <v>1868</v>
      </c>
      <c r="K23" t="str">
        <f>VLOOKUP(Broadcast_BASE[[#This Row],[Broadcast Market]],Continent_Look_Up[],2,FALSE)</f>
        <v>Europe</v>
      </c>
      <c r="L23" t="str">
        <f>IF(OR(Broadcast_BASE[[#This Row],[Broadcast Continent]]="Digital",Broadcast_BASE[[#This Row],[Programme Type]]="Digital"),"Y","N")</f>
        <v>N</v>
      </c>
      <c r="M23" s="4" t="str">
        <f>IF(ISNUMBER(SEARCH("Pan ",Broadcast_BASE[[#This Row],[Broadcast Market]]))=TRUE,"Y","N")</f>
        <v>N</v>
      </c>
      <c r="N23" t="str">
        <f>VLOOKUP(CONCATENATE(Broadcast_BASE[[#This Row],[Broadcast Market]],Broadcast_BASE[[#This Row],[Broadcaster]]),Table1[[CC]:[Pay TV vs. Free-to-Air]],3,FALSE)</f>
        <v>Free-to-Air</v>
      </c>
      <c r="O23" s="1">
        <f>VLOOKUP(CONCATENATE(Broadcast_BASE[[#This Row],[Broadcast Market]],Broadcast_BASE[[#This Row],[Broadcaster]]),Table1[[CC]:[Pay TV vs. Free-to-Air]],2,FALSE)</f>
        <v>3180534</v>
      </c>
      <c r="P23" s="51">
        <f>Broadcast_BASE[[#This Row],[Rolex EXP]]*86400</f>
        <v>966.18354526770941</v>
      </c>
      <c r="Q23" s="73" t="str">
        <f>IF(Broadcast_BASE[[#This Row],[Dashboard Rated?]]="No","N","Y")</f>
        <v>Y</v>
      </c>
      <c r="R23" s="81"/>
      <c r="S23" s="81"/>
    </row>
    <row r="24" spans="1:19" x14ac:dyDescent="0.25">
      <c r="A24" s="72" t="e">
        <f>#REF!</f>
        <v>#REF!</v>
      </c>
      <c r="B24" s="178" t="s">
        <v>23</v>
      </c>
      <c r="C24" s="178" t="s">
        <v>282</v>
      </c>
      <c r="D24" s="178" t="s">
        <v>1643</v>
      </c>
      <c r="E24" s="179">
        <v>0.63780092592592585</v>
      </c>
      <c r="F24" s="180">
        <v>149926</v>
      </c>
      <c r="G24" s="179">
        <v>4.5068817364730479E-2</v>
      </c>
      <c r="H24" s="180">
        <v>18194.708466780499</v>
      </c>
      <c r="I24" s="180">
        <v>5271.9373393630567</v>
      </c>
      <c r="J24" s="180" t="s">
        <v>1868</v>
      </c>
      <c r="K24" t="str">
        <f>VLOOKUP(Broadcast_BASE[[#This Row],[Broadcast Market]],Continent_Look_Up[],2,FALSE)</f>
        <v>Europe</v>
      </c>
      <c r="L24" t="str">
        <f>IF(OR(Broadcast_BASE[[#This Row],[Broadcast Continent]]="Digital",Broadcast_BASE[[#This Row],[Programme Type]]="Digital"),"Y","N")</f>
        <v>N</v>
      </c>
      <c r="M24" s="4" t="str">
        <f>IF(ISNUMBER(SEARCH("Pan ",Broadcast_BASE[[#This Row],[Broadcast Market]]))=TRUE,"Y","N")</f>
        <v>N</v>
      </c>
      <c r="N24" t="str">
        <f>VLOOKUP(CONCATENATE(Broadcast_BASE[[#This Row],[Broadcast Market]],Broadcast_BASE[[#This Row],[Broadcaster]]),Table1[[CC]:[Pay TV vs. Free-to-Air]],3,FALSE)</f>
        <v>Free-to-Air</v>
      </c>
      <c r="O24" s="1">
        <f>VLOOKUP(CONCATENATE(Broadcast_BASE[[#This Row],[Broadcast Market]],Broadcast_BASE[[#This Row],[Broadcaster]]),Table1[[CC]:[Pay TV vs. Free-to-Air]],2,FALSE)</f>
        <v>3180534</v>
      </c>
      <c r="P24" s="57">
        <f>Broadcast_BASE[[#This Row],[Rolex EXP]]*86400</f>
        <v>3893.9458203127133</v>
      </c>
      <c r="Q24" s="73" t="str">
        <f>IF(Broadcast_BASE[[#This Row],[Dashboard Rated?]]="No","N","Y")</f>
        <v>Y</v>
      </c>
      <c r="R24" s="81"/>
      <c r="S24" s="81"/>
    </row>
    <row r="25" spans="1:19" x14ac:dyDescent="0.25">
      <c r="A25" s="72" t="e">
        <f>#REF!</f>
        <v>#REF!</v>
      </c>
      <c r="B25" s="178" t="s">
        <v>29</v>
      </c>
      <c r="C25" s="178" t="s">
        <v>268</v>
      </c>
      <c r="D25" s="178" t="s">
        <v>1642</v>
      </c>
      <c r="E25" s="179">
        <v>0.64212962962962961</v>
      </c>
      <c r="F25" s="180">
        <v>120398</v>
      </c>
      <c r="G25" s="179">
        <v>4.8620784393871568E-2</v>
      </c>
      <c r="H25" s="180">
        <v>18141.370677188461</v>
      </c>
      <c r="I25" s="180">
        <v>5180.306431976187</v>
      </c>
      <c r="J25" s="180" t="s">
        <v>1868</v>
      </c>
      <c r="K25" t="str">
        <f>VLOOKUP(Broadcast_BASE[[#This Row],[Broadcast Market]],Continent_Look_Up[],2,FALSE)</f>
        <v>Europe</v>
      </c>
      <c r="L25" t="str">
        <f>IF(OR(Broadcast_BASE[[#This Row],[Broadcast Continent]]="Digital",Broadcast_BASE[[#This Row],[Programme Type]]="Digital"),"Y","N")</f>
        <v>N</v>
      </c>
      <c r="M25" s="4" t="str">
        <f>IF(ISNUMBER(SEARCH("Pan ",Broadcast_BASE[[#This Row],[Broadcast Market]]))=TRUE,"Y","N")</f>
        <v>N</v>
      </c>
      <c r="N25" t="str">
        <f>VLOOKUP(CONCATENATE(Broadcast_BASE[[#This Row],[Broadcast Market]],Broadcast_BASE[[#This Row],[Broadcaster]]),Table1[[CC]:[Pay TV vs. Free-to-Air]],3,FALSE)</f>
        <v>Pay TV</v>
      </c>
      <c r="O25" s="1">
        <f>VLOOKUP(CONCATENATE(Broadcast_BASE[[#This Row],[Broadcast Market]],Broadcast_BASE[[#This Row],[Broadcaster]]),Table1[[CC]:[Pay TV vs. Free-to-Air]],2,FALSE)</f>
        <v>3319000</v>
      </c>
      <c r="P25" s="57">
        <f>Broadcast_BASE[[#This Row],[Rolex EXP]]*86400</f>
        <v>4200.8357716305036</v>
      </c>
      <c r="Q25" s="73" t="str">
        <f>IF(Broadcast_BASE[[#This Row],[Dashboard Rated?]]="No","N","Y")</f>
        <v>Y</v>
      </c>
      <c r="R25" s="81"/>
      <c r="S25" s="81"/>
    </row>
    <row r="26" spans="1:19" x14ac:dyDescent="0.25">
      <c r="A26" s="72" t="e">
        <f>#REF!</f>
        <v>#REF!</v>
      </c>
      <c r="B26" s="178" t="s">
        <v>29</v>
      </c>
      <c r="C26" s="178" t="s">
        <v>268</v>
      </c>
      <c r="D26" s="178" t="s">
        <v>1643</v>
      </c>
      <c r="E26" s="179">
        <v>6.5962731481481489</v>
      </c>
      <c r="F26" s="180">
        <v>508700</v>
      </c>
      <c r="G26" s="179">
        <v>0.52260817746664323</v>
      </c>
      <c r="H26" s="180">
        <v>370798.80455845501</v>
      </c>
      <c r="I26" s="180">
        <v>104923.75087707907</v>
      </c>
      <c r="J26" s="180" t="s">
        <v>1868</v>
      </c>
      <c r="K26" t="str">
        <f>VLOOKUP(Broadcast_BASE[[#This Row],[Broadcast Market]],Continent_Look_Up[],2,FALSE)</f>
        <v>Europe</v>
      </c>
      <c r="L26" t="str">
        <f>IF(OR(Broadcast_BASE[[#This Row],[Broadcast Continent]]="Digital",Broadcast_BASE[[#This Row],[Programme Type]]="Digital"),"Y","N")</f>
        <v>N</v>
      </c>
      <c r="M26" s="4" t="str">
        <f>IF(ISNUMBER(SEARCH("Pan ",Broadcast_BASE[[#This Row],[Broadcast Market]]))=TRUE,"Y","N")</f>
        <v>N</v>
      </c>
      <c r="N26" t="str">
        <f>VLOOKUP(CONCATENATE(Broadcast_BASE[[#This Row],[Broadcast Market]],Broadcast_BASE[[#This Row],[Broadcaster]]),Table1[[CC]:[Pay TV vs. Free-to-Air]],3,FALSE)</f>
        <v>Pay TV</v>
      </c>
      <c r="O26" s="1">
        <f>VLOOKUP(CONCATENATE(Broadcast_BASE[[#This Row],[Broadcast Market]],Broadcast_BASE[[#This Row],[Broadcaster]]),Table1[[CC]:[Pay TV vs. Free-to-Air]],2,FALSE)</f>
        <v>3319000</v>
      </c>
      <c r="P26" s="57">
        <f>Broadcast_BASE[[#This Row],[Rolex EXP]]*86400</f>
        <v>45153.346533117976</v>
      </c>
      <c r="Q26" s="73" t="str">
        <f>IF(Broadcast_BASE[[#This Row],[Dashboard Rated?]]="No","N","Y")</f>
        <v>Y</v>
      </c>
      <c r="R26" s="81"/>
      <c r="S26" s="81"/>
    </row>
    <row r="27" spans="1:19" x14ac:dyDescent="0.25">
      <c r="A27" s="72" t="e">
        <f>#REF!</f>
        <v>#REF!</v>
      </c>
      <c r="B27" s="178" t="s">
        <v>29</v>
      </c>
      <c r="C27" s="178" t="s">
        <v>268</v>
      </c>
      <c r="D27" s="178" t="s">
        <v>1644</v>
      </c>
      <c r="E27" s="179">
        <v>1.5538657407407408</v>
      </c>
      <c r="F27" s="180">
        <v>150893</v>
      </c>
      <c r="G27" s="179">
        <v>0.1116900174135436</v>
      </c>
      <c r="H27" s="180">
        <v>68963.460406623373</v>
      </c>
      <c r="I27" s="180">
        <v>19721.065088029438</v>
      </c>
      <c r="J27" s="180" t="s">
        <v>1868</v>
      </c>
      <c r="K27" t="str">
        <f>VLOOKUP(Broadcast_BASE[[#This Row],[Broadcast Market]],Continent_Look_Up[],2,FALSE)</f>
        <v>Europe</v>
      </c>
      <c r="L27" t="str">
        <f>IF(OR(Broadcast_BASE[[#This Row],[Broadcast Continent]]="Digital",Broadcast_BASE[[#This Row],[Programme Type]]="Digital"),"Y","N")</f>
        <v>N</v>
      </c>
      <c r="M27" s="4" t="str">
        <f>IF(ISNUMBER(SEARCH("Pan ",Broadcast_BASE[[#This Row],[Broadcast Market]]))=TRUE,"Y","N")</f>
        <v>N</v>
      </c>
      <c r="N27" t="str">
        <f>VLOOKUP(CONCATENATE(Broadcast_BASE[[#This Row],[Broadcast Market]],Broadcast_BASE[[#This Row],[Broadcaster]]),Table1[[CC]:[Pay TV vs. Free-to-Air]],3,FALSE)</f>
        <v>Pay TV</v>
      </c>
      <c r="O27" s="1">
        <f>VLOOKUP(CONCATENATE(Broadcast_BASE[[#This Row],[Broadcast Market]],Broadcast_BASE[[#This Row],[Broadcaster]]),Table1[[CC]:[Pay TV vs. Free-to-Air]],2,FALSE)</f>
        <v>3319000</v>
      </c>
      <c r="P27" s="57">
        <f>Broadcast_BASE[[#This Row],[Rolex EXP]]*86400</f>
        <v>9650.0175045301676</v>
      </c>
      <c r="Q27" s="73" t="str">
        <f>IF(Broadcast_BASE[[#This Row],[Dashboard Rated?]]="No","N","Y")</f>
        <v>Y</v>
      </c>
      <c r="R27" s="81"/>
      <c r="S27" s="81"/>
    </row>
    <row r="28" spans="1:19" x14ac:dyDescent="0.25">
      <c r="A28" s="72" t="e">
        <f>#REF!</f>
        <v>#REF!</v>
      </c>
      <c r="B28" s="178" t="s">
        <v>29</v>
      </c>
      <c r="C28" s="178" t="s">
        <v>269</v>
      </c>
      <c r="D28" s="178" t="s">
        <v>1642</v>
      </c>
      <c r="E28" s="179">
        <v>0.83843749999999995</v>
      </c>
      <c r="F28" s="180">
        <v>102990</v>
      </c>
      <c r="G28" s="179">
        <v>6.5951216212620456E-2</v>
      </c>
      <c r="H28" s="180">
        <v>15923.024810073131</v>
      </c>
      <c r="I28" s="180">
        <v>4574.9048113297267</v>
      </c>
      <c r="J28" s="180" t="s">
        <v>1867</v>
      </c>
      <c r="K28" t="str">
        <f>VLOOKUP(Broadcast_BASE[[#This Row],[Broadcast Market]],Continent_Look_Up[],2,FALSE)</f>
        <v>Europe</v>
      </c>
      <c r="L28" t="str">
        <f>IF(OR(Broadcast_BASE[[#This Row],[Broadcast Continent]]="Digital",Broadcast_BASE[[#This Row],[Programme Type]]="Digital"),"Y","N")</f>
        <v>N</v>
      </c>
      <c r="M28" s="4" t="str">
        <f>IF(ISNUMBER(SEARCH("Pan ",Broadcast_BASE[[#This Row],[Broadcast Market]]))=TRUE,"Y","N")</f>
        <v>N</v>
      </c>
      <c r="N28" t="str">
        <f>VLOOKUP(CONCATENATE(Broadcast_BASE[[#This Row],[Broadcast Market]],Broadcast_BASE[[#This Row],[Broadcaster]]),Table1[[CC]:[Pay TV vs. Free-to-Air]],3,FALSE)</f>
        <v>Pay TV</v>
      </c>
      <c r="O28" s="1">
        <f>VLOOKUP(CONCATENATE(Broadcast_BASE[[#This Row],[Broadcast Market]],Broadcast_BASE[[#This Row],[Broadcaster]]),Table1[[CC]:[Pay TV vs. Free-to-Air]],2,FALSE)</f>
        <v>1885000</v>
      </c>
      <c r="P28" s="57">
        <f>Broadcast_BASE[[#This Row],[Rolex EXP]]*86400</f>
        <v>5698.1850807704077</v>
      </c>
      <c r="Q28" s="73" t="str">
        <f>IF(Broadcast_BASE[[#This Row],[Dashboard Rated?]]="No","N","Y")</f>
        <v>N</v>
      </c>
      <c r="R28" s="81"/>
      <c r="S28" s="81"/>
    </row>
    <row r="29" spans="1:19" x14ac:dyDescent="0.25">
      <c r="A29" s="72" t="e">
        <f>#REF!</f>
        <v>#REF!</v>
      </c>
      <c r="B29" s="178" t="s">
        <v>29</v>
      </c>
      <c r="C29" s="178" t="s">
        <v>269</v>
      </c>
      <c r="D29" s="178" t="s">
        <v>1643</v>
      </c>
      <c r="E29" s="179">
        <v>3.0458796296296295</v>
      </c>
      <c r="F29" s="180">
        <v>257571</v>
      </c>
      <c r="G29" s="179">
        <v>0.25179070981041834</v>
      </c>
      <c r="H29" s="180">
        <v>107286.99806256259</v>
      </c>
      <c r="I29" s="180">
        <v>32330.812346065592</v>
      </c>
      <c r="J29" s="180" t="s">
        <v>1867</v>
      </c>
      <c r="K29" t="str">
        <f>VLOOKUP(Broadcast_BASE[[#This Row],[Broadcast Market]],Continent_Look_Up[],2,FALSE)</f>
        <v>Europe</v>
      </c>
      <c r="L29" t="str">
        <f>IF(OR(Broadcast_BASE[[#This Row],[Broadcast Continent]]="Digital",Broadcast_BASE[[#This Row],[Programme Type]]="Digital"),"Y","N")</f>
        <v>N</v>
      </c>
      <c r="M29" s="4" t="str">
        <f>IF(ISNUMBER(SEARCH("Pan ",Broadcast_BASE[[#This Row],[Broadcast Market]]))=TRUE,"Y","N")</f>
        <v>N</v>
      </c>
      <c r="N29" t="str">
        <f>VLOOKUP(CONCATENATE(Broadcast_BASE[[#This Row],[Broadcast Market]],Broadcast_BASE[[#This Row],[Broadcaster]]),Table1[[CC]:[Pay TV vs. Free-to-Air]],3,FALSE)</f>
        <v>Pay TV</v>
      </c>
      <c r="O29" s="1">
        <f>VLOOKUP(CONCATENATE(Broadcast_BASE[[#This Row],[Broadcast Market]],Broadcast_BASE[[#This Row],[Broadcaster]]),Table1[[CC]:[Pay TV vs. Free-to-Air]],2,FALSE)</f>
        <v>1885000</v>
      </c>
      <c r="P29" s="57">
        <f>Broadcast_BASE[[#This Row],[Rolex EXP]]*86400</f>
        <v>21754.717327620147</v>
      </c>
      <c r="Q29" s="73" t="str">
        <f>IF(Broadcast_BASE[[#This Row],[Dashboard Rated?]]="No","N","Y")</f>
        <v>N</v>
      </c>
      <c r="R29" s="81"/>
      <c r="S29" s="81"/>
    </row>
    <row r="30" spans="1:19" x14ac:dyDescent="0.25">
      <c r="A30" s="72" t="e">
        <f>#REF!</f>
        <v>#REF!</v>
      </c>
      <c r="B30" s="178" t="s">
        <v>29</v>
      </c>
      <c r="C30" s="178" t="s">
        <v>269</v>
      </c>
      <c r="D30" s="178" t="s">
        <v>1644</v>
      </c>
      <c r="E30" s="179">
        <v>2.4179629629629633</v>
      </c>
      <c r="F30" s="180">
        <v>244130</v>
      </c>
      <c r="G30" s="179">
        <v>0.18174330250067053</v>
      </c>
      <c r="H30" s="180">
        <v>70749.238335627131</v>
      </c>
      <c r="I30" s="180">
        <v>20064.278370178621</v>
      </c>
      <c r="J30" s="180" t="s">
        <v>1867</v>
      </c>
      <c r="K30" t="str">
        <f>VLOOKUP(Broadcast_BASE[[#This Row],[Broadcast Market]],Continent_Look_Up[],2,FALSE)</f>
        <v>Europe</v>
      </c>
      <c r="L30" t="str">
        <f>IF(OR(Broadcast_BASE[[#This Row],[Broadcast Continent]]="Digital",Broadcast_BASE[[#This Row],[Programme Type]]="Digital"),"Y","N")</f>
        <v>N</v>
      </c>
      <c r="M30" s="4" t="str">
        <f>IF(ISNUMBER(SEARCH("Pan ",Broadcast_BASE[[#This Row],[Broadcast Market]]))=TRUE,"Y","N")</f>
        <v>N</v>
      </c>
      <c r="N30" t="str">
        <f>VLOOKUP(CONCATENATE(Broadcast_BASE[[#This Row],[Broadcast Market]],Broadcast_BASE[[#This Row],[Broadcaster]]),Table1[[CC]:[Pay TV vs. Free-to-Air]],3,FALSE)</f>
        <v>Pay TV</v>
      </c>
      <c r="O30" s="1">
        <f>VLOOKUP(CONCATENATE(Broadcast_BASE[[#This Row],[Broadcast Market]],Broadcast_BASE[[#This Row],[Broadcaster]]),Table1[[CC]:[Pay TV vs. Free-to-Air]],2,FALSE)</f>
        <v>1885000</v>
      </c>
      <c r="P30" s="51">
        <f>Broadcast_BASE[[#This Row],[Rolex EXP]]*86400</f>
        <v>15702.621336057933</v>
      </c>
      <c r="Q30" s="73" t="str">
        <f>IF(Broadcast_BASE[[#This Row],[Dashboard Rated?]]="No","N","Y")</f>
        <v>N</v>
      </c>
      <c r="R30" s="81"/>
      <c r="S30" s="81"/>
    </row>
    <row r="31" spans="1:19" x14ac:dyDescent="0.25">
      <c r="A31" s="72" t="e">
        <f>#REF!</f>
        <v>#REF!</v>
      </c>
      <c r="B31" s="178" t="s">
        <v>31</v>
      </c>
      <c r="C31" s="178" t="s">
        <v>183</v>
      </c>
      <c r="D31" s="178" t="s">
        <v>1642</v>
      </c>
      <c r="E31" s="179">
        <v>0.69791666666666663</v>
      </c>
      <c r="F31" s="180">
        <v>214971</v>
      </c>
      <c r="G31" s="179">
        <v>4.2750808843855813E-2</v>
      </c>
      <c r="H31" s="180">
        <v>16926.846505315578</v>
      </c>
      <c r="I31" s="180">
        <v>4699.4722412482815</v>
      </c>
      <c r="J31" s="180" t="s">
        <v>1867</v>
      </c>
      <c r="K31" t="str">
        <f>VLOOKUP(Broadcast_BASE[[#This Row],[Broadcast Market]],Continent_Look_Up[],2,FALSE)</f>
        <v>Central &amp; South America</v>
      </c>
      <c r="L31" t="str">
        <f>IF(OR(Broadcast_BASE[[#This Row],[Broadcast Continent]]="Digital",Broadcast_BASE[[#This Row],[Programme Type]]="Digital"),"Y","N")</f>
        <v>N</v>
      </c>
      <c r="M31" s="4" t="str">
        <f>IF(ISNUMBER(SEARCH("Pan ",Broadcast_BASE[[#This Row],[Broadcast Market]]))=TRUE,"Y","N")</f>
        <v>N</v>
      </c>
      <c r="N31" t="str">
        <f>VLOOKUP(CONCATENATE(Broadcast_BASE[[#This Row],[Broadcast Market]],Broadcast_BASE[[#This Row],[Broadcaster]]),Table1[[CC]:[Pay TV vs. Free-to-Air]],3,FALSE)</f>
        <v>Pay TV</v>
      </c>
      <c r="O31" s="1">
        <f>VLOOKUP(CONCATENATE(Broadcast_BASE[[#This Row],[Broadcast Market]],Broadcast_BASE[[#This Row],[Broadcaster]]),Table1[[CC]:[Pay TV vs. Free-to-Air]],2,FALSE)</f>
        <v>10162804.986821327</v>
      </c>
      <c r="P31" s="57">
        <f>Broadcast_BASE[[#This Row],[Rolex EXP]]*86400</f>
        <v>3693.6698841091425</v>
      </c>
      <c r="Q31" s="73" t="str">
        <f>IF(Broadcast_BASE[[#This Row],[Dashboard Rated?]]="No","N","Y")</f>
        <v>N</v>
      </c>
      <c r="R31" s="81"/>
      <c r="S31" s="81"/>
    </row>
    <row r="32" spans="1:19" x14ac:dyDescent="0.25">
      <c r="A32" s="72" t="e">
        <f>#REF!</f>
        <v>#REF!</v>
      </c>
      <c r="B32" s="178" t="s">
        <v>31</v>
      </c>
      <c r="C32" s="178" t="s">
        <v>183</v>
      </c>
      <c r="D32" s="178" t="s">
        <v>1643</v>
      </c>
      <c r="E32" s="179">
        <v>5.9375</v>
      </c>
      <c r="F32" s="180">
        <v>1015184</v>
      </c>
      <c r="G32" s="179">
        <v>0.38868885038893625</v>
      </c>
      <c r="H32" s="180">
        <v>486515.93818178709</v>
      </c>
      <c r="I32" s="180">
        <v>136788.93883549137</v>
      </c>
      <c r="J32" s="180" t="s">
        <v>1867</v>
      </c>
      <c r="K32" t="str">
        <f>VLOOKUP(Broadcast_BASE[[#This Row],[Broadcast Market]],Continent_Look_Up[],2,FALSE)</f>
        <v>Central &amp; South America</v>
      </c>
      <c r="L32" t="str">
        <f>IF(OR(Broadcast_BASE[[#This Row],[Broadcast Continent]]="Digital",Broadcast_BASE[[#This Row],[Programme Type]]="Digital"),"Y","N")</f>
        <v>N</v>
      </c>
      <c r="M32" s="4" t="str">
        <f>IF(ISNUMBER(SEARCH("Pan ",Broadcast_BASE[[#This Row],[Broadcast Market]]))=TRUE,"Y","N")</f>
        <v>N</v>
      </c>
      <c r="N32" t="str">
        <f>VLOOKUP(CONCATENATE(Broadcast_BASE[[#This Row],[Broadcast Market]],Broadcast_BASE[[#This Row],[Broadcaster]]),Table1[[CC]:[Pay TV vs. Free-to-Air]],3,FALSE)</f>
        <v>Pay TV</v>
      </c>
      <c r="O32" s="1">
        <f>VLOOKUP(CONCATENATE(Broadcast_BASE[[#This Row],[Broadcast Market]],Broadcast_BASE[[#This Row],[Broadcaster]]),Table1[[CC]:[Pay TV vs. Free-to-Air]],2,FALSE)</f>
        <v>10162804.986821327</v>
      </c>
      <c r="P32" s="57">
        <f>Broadcast_BASE[[#This Row],[Rolex EXP]]*86400</f>
        <v>33582.716673604089</v>
      </c>
      <c r="Q32" s="73" t="str">
        <f>IF(Broadcast_BASE[[#This Row],[Dashboard Rated?]]="No","N","Y")</f>
        <v>N</v>
      </c>
      <c r="R32" s="81"/>
      <c r="S32" s="81"/>
    </row>
    <row r="33" spans="1:19" x14ac:dyDescent="0.25">
      <c r="A33" s="72" t="e">
        <f>#REF!</f>
        <v>#REF!</v>
      </c>
      <c r="B33" s="178" t="s">
        <v>31</v>
      </c>
      <c r="C33" s="178" t="s">
        <v>183</v>
      </c>
      <c r="D33" s="178" t="s">
        <v>1644</v>
      </c>
      <c r="E33" s="179">
        <v>0.45833333333333331</v>
      </c>
      <c r="F33" s="180">
        <v>61220</v>
      </c>
      <c r="G33" s="179">
        <v>2.7600137106984141E-2</v>
      </c>
      <c r="H33" s="180">
        <v>13349.215539120973</v>
      </c>
      <c r="I33" s="180">
        <v>3801.3182504953538</v>
      </c>
      <c r="J33" s="180" t="s">
        <v>1867</v>
      </c>
      <c r="K33" t="str">
        <f>VLOOKUP(Broadcast_BASE[[#This Row],[Broadcast Market]],Continent_Look_Up[],2,FALSE)</f>
        <v>Central &amp; South America</v>
      </c>
      <c r="L33" t="str">
        <f>IF(OR(Broadcast_BASE[[#This Row],[Broadcast Continent]]="Digital",Broadcast_BASE[[#This Row],[Programme Type]]="Digital"),"Y","N")</f>
        <v>N</v>
      </c>
      <c r="M33" s="4" t="str">
        <f>IF(ISNUMBER(SEARCH("Pan ",Broadcast_BASE[[#This Row],[Broadcast Market]]))=TRUE,"Y","N")</f>
        <v>N</v>
      </c>
      <c r="N33" t="str">
        <f>VLOOKUP(CONCATENATE(Broadcast_BASE[[#This Row],[Broadcast Market]],Broadcast_BASE[[#This Row],[Broadcaster]]),Table1[[CC]:[Pay TV vs. Free-to-Air]],3,FALSE)</f>
        <v>Pay TV</v>
      </c>
      <c r="O33" s="1">
        <f>VLOOKUP(CONCATENATE(Broadcast_BASE[[#This Row],[Broadcast Market]],Broadcast_BASE[[#This Row],[Broadcaster]]),Table1[[CC]:[Pay TV vs. Free-to-Air]],2,FALSE)</f>
        <v>10162804.986821327</v>
      </c>
      <c r="P33" s="57">
        <f>Broadcast_BASE[[#This Row],[Rolex EXP]]*86400</f>
        <v>2384.6518460434299</v>
      </c>
      <c r="Q33" s="73" t="str">
        <f>IF(Broadcast_BASE[[#This Row],[Dashboard Rated?]]="No","N","Y")</f>
        <v>N</v>
      </c>
      <c r="R33" s="81"/>
      <c r="S33" s="81"/>
    </row>
    <row r="34" spans="1:19" x14ac:dyDescent="0.25">
      <c r="A34" s="72" t="e">
        <f>#REF!</f>
        <v>#REF!</v>
      </c>
      <c r="B34" s="178" t="s">
        <v>31</v>
      </c>
      <c r="C34" s="178" t="s">
        <v>185</v>
      </c>
      <c r="D34" s="178" t="s">
        <v>1642</v>
      </c>
      <c r="E34" s="179">
        <v>4.1666666666666664E-2</v>
      </c>
      <c r="F34" s="180">
        <v>20433</v>
      </c>
      <c r="G34" s="179">
        <v>2.5522870951555704E-3</v>
      </c>
      <c r="H34" s="180">
        <v>1648.0592894313659</v>
      </c>
      <c r="I34" s="180">
        <v>457.55769571029589</v>
      </c>
      <c r="J34" s="180" t="s">
        <v>1867</v>
      </c>
      <c r="K34" t="str">
        <f>VLOOKUP(Broadcast_BASE[[#This Row],[Broadcast Market]],Continent_Look_Up[],2,FALSE)</f>
        <v>Central &amp; South America</v>
      </c>
      <c r="L34" t="str">
        <f>IF(OR(Broadcast_BASE[[#This Row],[Broadcast Continent]]="Digital",Broadcast_BASE[[#This Row],[Programme Type]]="Digital"),"Y","N")</f>
        <v>N</v>
      </c>
      <c r="M34" s="4" t="str">
        <f>IF(ISNUMBER(SEARCH("Pan ",Broadcast_BASE[[#This Row],[Broadcast Market]]))=TRUE,"Y","N")</f>
        <v>N</v>
      </c>
      <c r="N34" t="str">
        <f>VLOOKUP(CONCATENATE(Broadcast_BASE[[#This Row],[Broadcast Market]],Broadcast_BASE[[#This Row],[Broadcaster]]),Table1[[CC]:[Pay TV vs. Free-to-Air]],3,FALSE)</f>
        <v>Pay TV</v>
      </c>
      <c r="O34" s="1">
        <f>VLOOKUP(CONCATENATE(Broadcast_BASE[[#This Row],[Broadcast Market]],Broadcast_BASE[[#This Row],[Broadcaster]]),Table1[[CC]:[Pay TV vs. Free-to-Air]],2,FALSE)</f>
        <v>10162804.986821327</v>
      </c>
      <c r="P34" s="57">
        <f>Broadcast_BASE[[#This Row],[Rolex EXP]]*86400</f>
        <v>220.51760502144128</v>
      </c>
      <c r="Q34" s="73" t="str">
        <f>IF(Broadcast_BASE[[#This Row],[Dashboard Rated?]]="No","N","Y")</f>
        <v>N</v>
      </c>
      <c r="R34" s="81"/>
      <c r="S34" s="81"/>
    </row>
    <row r="35" spans="1:19" x14ac:dyDescent="0.25">
      <c r="A35" s="72" t="e">
        <f>#REF!</f>
        <v>#REF!</v>
      </c>
      <c r="B35" s="178" t="s">
        <v>31</v>
      </c>
      <c r="C35" s="178" t="s">
        <v>185</v>
      </c>
      <c r="D35" s="178" t="s">
        <v>1643</v>
      </c>
      <c r="E35" s="179">
        <v>0.20833333333333334</v>
      </c>
      <c r="F35" s="180">
        <v>38255</v>
      </c>
      <c r="G35" s="179">
        <v>1.0760175165435905E-2</v>
      </c>
      <c r="H35" s="180">
        <v>13008.245346823869</v>
      </c>
      <c r="I35" s="180">
        <v>3621.3679888884926</v>
      </c>
      <c r="J35" s="180" t="s">
        <v>1867</v>
      </c>
      <c r="K35" t="str">
        <f>VLOOKUP(Broadcast_BASE[[#This Row],[Broadcast Market]],Continent_Look_Up[],2,FALSE)</f>
        <v>Central &amp; South America</v>
      </c>
      <c r="L35" t="str">
        <f>IF(OR(Broadcast_BASE[[#This Row],[Broadcast Continent]]="Digital",Broadcast_BASE[[#This Row],[Programme Type]]="Digital"),"Y","N")</f>
        <v>N</v>
      </c>
      <c r="M35" s="4" t="str">
        <f>IF(ISNUMBER(SEARCH("Pan ",Broadcast_BASE[[#This Row],[Broadcast Market]]))=TRUE,"Y","N")</f>
        <v>N</v>
      </c>
      <c r="N35" t="str">
        <f>VLOOKUP(CONCATENATE(Broadcast_BASE[[#This Row],[Broadcast Market]],Broadcast_BASE[[#This Row],[Broadcaster]]),Table1[[CC]:[Pay TV vs. Free-to-Air]],3,FALSE)</f>
        <v>Pay TV</v>
      </c>
      <c r="O35" s="1">
        <f>VLOOKUP(CONCATENATE(Broadcast_BASE[[#This Row],[Broadcast Market]],Broadcast_BASE[[#This Row],[Broadcaster]]),Table1[[CC]:[Pay TV vs. Free-to-Air]],2,FALSE)</f>
        <v>10162804.986821327</v>
      </c>
      <c r="P35" s="57">
        <f>Broadcast_BASE[[#This Row],[Rolex EXP]]*86400</f>
        <v>929.67913429366217</v>
      </c>
      <c r="Q35" s="73" t="str">
        <f>IF(Broadcast_BASE[[#This Row],[Dashboard Rated?]]="No","N","Y")</f>
        <v>N</v>
      </c>
      <c r="R35" s="81"/>
      <c r="S35" s="81"/>
    </row>
    <row r="36" spans="1:19" x14ac:dyDescent="0.25">
      <c r="A36" s="72" t="e">
        <f>#REF!</f>
        <v>#REF!</v>
      </c>
      <c r="B36" s="178" t="s">
        <v>31</v>
      </c>
      <c r="C36" s="178" t="s">
        <v>185</v>
      </c>
      <c r="D36" s="178" t="s">
        <v>1644</v>
      </c>
      <c r="E36" s="179">
        <v>1.75</v>
      </c>
      <c r="F36" s="180">
        <v>214270</v>
      </c>
      <c r="G36" s="179">
        <v>0.11484285823120206</v>
      </c>
      <c r="H36" s="180">
        <v>55545.45115897603</v>
      </c>
      <c r="I36" s="180">
        <v>15649.782493970086</v>
      </c>
      <c r="J36" s="180" t="s">
        <v>1867</v>
      </c>
      <c r="K36" t="str">
        <f>VLOOKUP(Broadcast_BASE[[#This Row],[Broadcast Market]],Continent_Look_Up[],2,FALSE)</f>
        <v>Central &amp; South America</v>
      </c>
      <c r="L36" t="str">
        <f>IF(OR(Broadcast_BASE[[#This Row],[Broadcast Continent]]="Digital",Broadcast_BASE[[#This Row],[Programme Type]]="Digital"),"Y","N")</f>
        <v>N</v>
      </c>
      <c r="M36" s="4" t="str">
        <f>IF(ISNUMBER(SEARCH("Pan ",Broadcast_BASE[[#This Row],[Broadcast Market]]))=TRUE,"Y","N")</f>
        <v>N</v>
      </c>
      <c r="N36" t="str">
        <f>VLOOKUP(CONCATENATE(Broadcast_BASE[[#This Row],[Broadcast Market]],Broadcast_BASE[[#This Row],[Broadcaster]]),Table1[[CC]:[Pay TV vs. Free-to-Air]],3,FALSE)</f>
        <v>Pay TV</v>
      </c>
      <c r="O36" s="1">
        <f>VLOOKUP(CONCATENATE(Broadcast_BASE[[#This Row],[Broadcast Market]],Broadcast_BASE[[#This Row],[Broadcaster]]),Table1[[CC]:[Pay TV vs. Free-to-Air]],2,FALSE)</f>
        <v>10162804.986821327</v>
      </c>
      <c r="P36" s="57">
        <f>Broadcast_BASE[[#This Row],[Rolex EXP]]*86400</f>
        <v>9922.4229511758585</v>
      </c>
      <c r="Q36" s="73" t="str">
        <f>IF(Broadcast_BASE[[#This Row],[Dashboard Rated?]]="No","N","Y")</f>
        <v>N</v>
      </c>
      <c r="R36" s="81"/>
      <c r="S36" s="81"/>
    </row>
    <row r="37" spans="1:19" x14ac:dyDescent="0.25">
      <c r="A37" s="72" t="e">
        <f>#REF!</f>
        <v>#REF!</v>
      </c>
      <c r="B37" s="178" t="s">
        <v>31</v>
      </c>
      <c r="C37" s="178" t="s">
        <v>412</v>
      </c>
      <c r="D37" s="178" t="s">
        <v>1644</v>
      </c>
      <c r="E37" s="179">
        <v>0.41666666666666669</v>
      </c>
      <c r="F37" s="180">
        <v>61220</v>
      </c>
      <c r="G37" s="179">
        <v>2.7012127351529139E-2</v>
      </c>
      <c r="H37" s="180">
        <v>13064.81590247249</v>
      </c>
      <c r="I37" s="180">
        <v>3714.9585474842343</v>
      </c>
      <c r="J37" s="180" t="s">
        <v>1867</v>
      </c>
      <c r="K37" t="str">
        <f>VLOOKUP(Broadcast_BASE[[#This Row],[Broadcast Market]],Continent_Look_Up[],2,FALSE)</f>
        <v>Central &amp; South America</v>
      </c>
      <c r="L37" t="str">
        <f>IF(OR(Broadcast_BASE[[#This Row],[Broadcast Continent]]="Digital",Broadcast_BASE[[#This Row],[Programme Type]]="Digital"),"Y","N")</f>
        <v>N</v>
      </c>
      <c r="M37" s="4" t="str">
        <f>IF(ISNUMBER(SEARCH("Pan ",Broadcast_BASE[[#This Row],[Broadcast Market]]))=TRUE,"Y","N")</f>
        <v>N</v>
      </c>
      <c r="N37" t="str">
        <f>VLOOKUP(CONCATENATE(Broadcast_BASE[[#This Row],[Broadcast Market]],Broadcast_BASE[[#This Row],[Broadcaster]]),Table1[[CC]:[Pay TV vs. Free-to-Air]],3,FALSE)</f>
        <v>Pay TV</v>
      </c>
      <c r="O37" s="1">
        <f>VLOOKUP(CONCATENATE(Broadcast_BASE[[#This Row],[Broadcast Market]],Broadcast_BASE[[#This Row],[Broadcaster]]),Table1[[CC]:[Pay TV vs. Free-to-Air]],2,FALSE)</f>
        <v>10162804.986821327</v>
      </c>
      <c r="P37" s="51">
        <f>Broadcast_BASE[[#This Row],[Rolex EXP]]*86400</f>
        <v>2333.8478031721174</v>
      </c>
      <c r="Q37" s="73" t="str">
        <f>IF(Broadcast_BASE[[#This Row],[Dashboard Rated?]]="No","N","Y")</f>
        <v>N</v>
      </c>
      <c r="R37" s="81"/>
      <c r="S37" s="81"/>
    </row>
    <row r="38" spans="1:19" x14ac:dyDescent="0.25">
      <c r="A38" s="72" t="e">
        <f>#REF!</f>
        <v>#REF!</v>
      </c>
      <c r="B38" s="178" t="s">
        <v>31</v>
      </c>
      <c r="C38" s="178" t="s">
        <v>420</v>
      </c>
      <c r="D38" s="178" t="s">
        <v>1644</v>
      </c>
      <c r="E38" s="179">
        <v>0.20833333333333334</v>
      </c>
      <c r="F38" s="180">
        <v>74328</v>
      </c>
      <c r="G38" s="179">
        <v>1.1874098818848598E-2</v>
      </c>
      <c r="H38" s="180">
        <v>13945.506171608029</v>
      </c>
      <c r="I38" s="180">
        <v>4128.3537804246516</v>
      </c>
      <c r="J38" s="180" t="s">
        <v>1867</v>
      </c>
      <c r="K38" t="str">
        <f>VLOOKUP(Broadcast_BASE[[#This Row],[Broadcast Market]],Continent_Look_Up[],2,FALSE)</f>
        <v>Central &amp; South America</v>
      </c>
      <c r="L38" t="str">
        <f>IF(OR(Broadcast_BASE[[#This Row],[Broadcast Continent]]="Digital",Broadcast_BASE[[#This Row],[Programme Type]]="Digital"),"Y","N")</f>
        <v>N</v>
      </c>
      <c r="M38" s="4" t="str">
        <f>IF(ISNUMBER(SEARCH("Pan ",Broadcast_BASE[[#This Row],[Broadcast Market]]))=TRUE,"Y","N")</f>
        <v>N</v>
      </c>
      <c r="N38" t="str">
        <f>VLOOKUP(CONCATENATE(Broadcast_BASE[[#This Row],[Broadcast Market]],Broadcast_BASE[[#This Row],[Broadcaster]]),Table1[[CC]:[Pay TV vs. Free-to-Air]],3,FALSE)</f>
        <v>Pay TV</v>
      </c>
      <c r="O38" s="1">
        <f>VLOOKUP(CONCATENATE(Broadcast_BASE[[#This Row],[Broadcast Market]],Broadcast_BASE[[#This Row],[Broadcaster]]),Table1[[CC]:[Pay TV vs. Free-to-Air]],2,FALSE)</f>
        <v>20332000</v>
      </c>
      <c r="P38" s="51">
        <f>Broadcast_BASE[[#This Row],[Rolex EXP]]*86400</f>
        <v>1025.9221379485189</v>
      </c>
      <c r="Q38" s="73" t="str">
        <f>IF(Broadcast_BASE[[#This Row],[Dashboard Rated?]]="No","N","Y")</f>
        <v>N</v>
      </c>
      <c r="R38" s="81"/>
      <c r="S38" s="81"/>
    </row>
    <row r="39" spans="1:19" x14ac:dyDescent="0.25">
      <c r="A39" s="72" t="e">
        <f>#REF!</f>
        <v>#REF!</v>
      </c>
      <c r="B39" s="178" t="s">
        <v>31</v>
      </c>
      <c r="C39" s="178" t="s">
        <v>421</v>
      </c>
      <c r="D39" s="178" t="s">
        <v>1643</v>
      </c>
      <c r="E39" s="179">
        <v>6.6180555555555562</v>
      </c>
      <c r="F39" s="180">
        <v>6962772</v>
      </c>
      <c r="G39" s="179">
        <v>0.41894795002573604</v>
      </c>
      <c r="H39" s="180">
        <v>1438988.2671154956</v>
      </c>
      <c r="I39" s="180">
        <v>405775.14346504898</v>
      </c>
      <c r="J39" s="180" t="s">
        <v>1867</v>
      </c>
      <c r="K39" t="str">
        <f>VLOOKUP(Broadcast_BASE[[#This Row],[Broadcast Market]],Continent_Look_Up[],2,FALSE)</f>
        <v>Central &amp; South America</v>
      </c>
      <c r="L39" t="str">
        <f>IF(OR(Broadcast_BASE[[#This Row],[Broadcast Continent]]="Digital",Broadcast_BASE[[#This Row],[Programme Type]]="Digital"),"Y","N")</f>
        <v>N</v>
      </c>
      <c r="M39" s="4" t="str">
        <f>IF(ISNUMBER(SEARCH("Pan ",Broadcast_BASE[[#This Row],[Broadcast Market]]))=TRUE,"Y","N")</f>
        <v>N</v>
      </c>
      <c r="N39" t="str">
        <f>VLOOKUP(CONCATENATE(Broadcast_BASE[[#This Row],[Broadcast Market]],Broadcast_BASE[[#This Row],[Broadcaster]]),Table1[[CC]:[Pay TV vs. Free-to-Air]],3,FALSE)</f>
        <v>Pay TV</v>
      </c>
      <c r="O39" s="1">
        <f>VLOOKUP(CONCATENATE(Broadcast_BASE[[#This Row],[Broadcast Market]],Broadcast_BASE[[#This Row],[Broadcaster]]),Table1[[CC]:[Pay TV vs. Free-to-Air]],2,FALSE)</f>
        <v>20332000</v>
      </c>
      <c r="P39" s="57">
        <f>Broadcast_BASE[[#This Row],[Rolex EXP]]*86400</f>
        <v>36197.102882223597</v>
      </c>
      <c r="Q39" s="73" t="str">
        <f>IF(Broadcast_BASE[[#This Row],[Dashboard Rated?]]="No","N","Y")</f>
        <v>N</v>
      </c>
      <c r="R39" s="81"/>
      <c r="S39" s="81"/>
    </row>
    <row r="40" spans="1:19" x14ac:dyDescent="0.25">
      <c r="A40" s="72" t="e">
        <f>#REF!</f>
        <v>#REF!</v>
      </c>
      <c r="B40" s="178" t="s">
        <v>31</v>
      </c>
      <c r="C40" s="178" t="s">
        <v>421</v>
      </c>
      <c r="D40" s="178" t="s">
        <v>1644</v>
      </c>
      <c r="E40" s="179">
        <v>0.20833333333333334</v>
      </c>
      <c r="F40" s="180">
        <v>96265</v>
      </c>
      <c r="G40" s="179">
        <v>1.1874098818848598E-2</v>
      </c>
      <c r="H40" s="180">
        <v>18541.747070959871</v>
      </c>
      <c r="I40" s="180">
        <v>5507.3460009073324</v>
      </c>
      <c r="J40" s="180" t="s">
        <v>1867</v>
      </c>
      <c r="K40" t="str">
        <f>VLOOKUP(Broadcast_BASE[[#This Row],[Broadcast Market]],Continent_Look_Up[],2,FALSE)</f>
        <v>Central &amp; South America</v>
      </c>
      <c r="L40" t="str">
        <f>IF(OR(Broadcast_BASE[[#This Row],[Broadcast Continent]]="Digital",Broadcast_BASE[[#This Row],[Programme Type]]="Digital"),"Y","N")</f>
        <v>N</v>
      </c>
      <c r="M40" s="4" t="str">
        <f>IF(ISNUMBER(SEARCH("Pan ",Broadcast_BASE[[#This Row],[Broadcast Market]]))=TRUE,"Y","N")</f>
        <v>N</v>
      </c>
      <c r="N40" t="str">
        <f>VLOOKUP(CONCATENATE(Broadcast_BASE[[#This Row],[Broadcast Market]],Broadcast_BASE[[#This Row],[Broadcaster]]),Table1[[CC]:[Pay TV vs. Free-to-Air]],3,FALSE)</f>
        <v>Pay TV</v>
      </c>
      <c r="O40" s="1">
        <f>VLOOKUP(CONCATENATE(Broadcast_BASE[[#This Row],[Broadcast Market]],Broadcast_BASE[[#This Row],[Broadcaster]]),Table1[[CC]:[Pay TV vs. Free-to-Air]],2,FALSE)</f>
        <v>20332000</v>
      </c>
      <c r="P40" s="51">
        <f>Broadcast_BASE[[#This Row],[Rolex EXP]]*86400</f>
        <v>1025.9221379485189</v>
      </c>
      <c r="Q40" s="73" t="str">
        <f>IF(Broadcast_BASE[[#This Row],[Dashboard Rated?]]="No","N","Y")</f>
        <v>N</v>
      </c>
      <c r="R40" s="81"/>
      <c r="S40" s="81"/>
    </row>
    <row r="41" spans="1:19" x14ac:dyDescent="0.25">
      <c r="A41" s="72" t="e">
        <f>#REF!</f>
        <v>#REF!</v>
      </c>
      <c r="B41" s="178" t="s">
        <v>35</v>
      </c>
      <c r="C41" s="178" t="s">
        <v>481</v>
      </c>
      <c r="D41" s="178" t="s">
        <v>1643</v>
      </c>
      <c r="E41" s="179">
        <v>5.2680555555555557</v>
      </c>
      <c r="F41" s="180">
        <v>3552602</v>
      </c>
      <c r="G41" s="179">
        <v>0.4230262390761142</v>
      </c>
      <c r="H41" s="180">
        <v>2342216.1500334665</v>
      </c>
      <c r="I41" s="180">
        <v>695162.28445313277</v>
      </c>
      <c r="J41" s="180" t="s">
        <v>1868</v>
      </c>
      <c r="K41" t="str">
        <f>VLOOKUP(Broadcast_BASE[[#This Row],[Broadcast Market]],Continent_Look_Up[],2,FALSE)</f>
        <v>North America</v>
      </c>
      <c r="L41" t="str">
        <f>IF(OR(Broadcast_BASE[[#This Row],[Broadcast Continent]]="Digital",Broadcast_BASE[[#This Row],[Programme Type]]="Digital"),"Y","N")</f>
        <v>N</v>
      </c>
      <c r="M41" s="4" t="str">
        <f>IF(ISNUMBER(SEARCH("Pan ",Broadcast_BASE[[#This Row],[Broadcast Market]]))=TRUE,"Y","N")</f>
        <v>N</v>
      </c>
      <c r="N41" t="str">
        <f>VLOOKUP(CONCATENATE(Broadcast_BASE[[#This Row],[Broadcast Market]],Broadcast_BASE[[#This Row],[Broadcaster]]),Table1[[CC]:[Pay TV vs. Free-to-Air]],3,FALSE)</f>
        <v>Pay TV</v>
      </c>
      <c r="O41" s="1">
        <f>VLOOKUP(CONCATENATE(Broadcast_BASE[[#This Row],[Broadcast Market]],Broadcast_BASE[[#This Row],[Broadcaster]]),Table1[[CC]:[Pay TV vs. Free-to-Air]],2,FALSE)</f>
        <v>6701000</v>
      </c>
      <c r="P41" s="57">
        <f>Broadcast_BASE[[#This Row],[Rolex EXP]]*86400</f>
        <v>36549.467056176269</v>
      </c>
      <c r="Q41" s="73" t="str">
        <f>IF(Broadcast_BASE[[#This Row],[Dashboard Rated?]]="No","N","Y")</f>
        <v>Y</v>
      </c>
      <c r="R41" s="81"/>
      <c r="S41" s="81"/>
    </row>
    <row r="42" spans="1:19" x14ac:dyDescent="0.25">
      <c r="A42" s="72" t="e">
        <f>#REF!</f>
        <v>#REF!</v>
      </c>
      <c r="B42" s="178" t="s">
        <v>35</v>
      </c>
      <c r="C42" s="178" t="s">
        <v>481</v>
      </c>
      <c r="D42" s="178" t="s">
        <v>1644</v>
      </c>
      <c r="E42" s="179">
        <v>0.25208333333333333</v>
      </c>
      <c r="F42" s="180">
        <v>38400</v>
      </c>
      <c r="G42" s="179">
        <v>1.5455409644379451E-2</v>
      </c>
      <c r="H42" s="180">
        <v>11277.546077290734</v>
      </c>
      <c r="I42" s="180">
        <v>3183.7434170553101</v>
      </c>
      <c r="J42" s="180" t="s">
        <v>1868</v>
      </c>
      <c r="K42" t="str">
        <f>VLOOKUP(Broadcast_BASE[[#This Row],[Broadcast Market]],Continent_Look_Up[],2,FALSE)</f>
        <v>North America</v>
      </c>
      <c r="L42" t="str">
        <f>IF(OR(Broadcast_BASE[[#This Row],[Broadcast Continent]]="Digital",Broadcast_BASE[[#This Row],[Programme Type]]="Digital"),"Y","N")</f>
        <v>N</v>
      </c>
      <c r="M42" s="4" t="str">
        <f>IF(ISNUMBER(SEARCH("Pan ",Broadcast_BASE[[#This Row],[Broadcast Market]]))=TRUE,"Y","N")</f>
        <v>N</v>
      </c>
      <c r="N42" t="str">
        <f>VLOOKUP(CONCATENATE(Broadcast_BASE[[#This Row],[Broadcast Market]],Broadcast_BASE[[#This Row],[Broadcaster]]),Table1[[CC]:[Pay TV vs. Free-to-Air]],3,FALSE)</f>
        <v>Pay TV</v>
      </c>
      <c r="O42" s="1">
        <f>VLOOKUP(CONCATENATE(Broadcast_BASE[[#This Row],[Broadcast Market]],Broadcast_BASE[[#This Row],[Broadcaster]]),Table1[[CC]:[Pay TV vs. Free-to-Air]],2,FALSE)</f>
        <v>6701000</v>
      </c>
      <c r="P42" s="57">
        <f>Broadcast_BASE[[#This Row],[Rolex EXP]]*86400</f>
        <v>1335.3473932743846</v>
      </c>
      <c r="Q42" s="73" t="str">
        <f>IF(Broadcast_BASE[[#This Row],[Dashboard Rated?]]="No","N","Y")</f>
        <v>Y</v>
      </c>
      <c r="R42" s="81"/>
      <c r="S42" s="81"/>
    </row>
    <row r="43" spans="1:19" x14ac:dyDescent="0.25">
      <c r="A43" s="72" t="e">
        <f>#REF!</f>
        <v>#REF!</v>
      </c>
      <c r="B43" s="178" t="s">
        <v>35</v>
      </c>
      <c r="C43" s="178" t="s">
        <v>486</v>
      </c>
      <c r="D43" s="178" t="s">
        <v>1643</v>
      </c>
      <c r="E43" s="179">
        <v>0.87083333333333324</v>
      </c>
      <c r="F43" s="180">
        <v>299196</v>
      </c>
      <c r="G43" s="179">
        <v>5.6371224702356774E-2</v>
      </c>
      <c r="H43" s="180">
        <v>181417.78429561068</v>
      </c>
      <c r="I43" s="180">
        <v>50586.635811584099</v>
      </c>
      <c r="J43" s="180" t="s">
        <v>1868</v>
      </c>
      <c r="K43" t="str">
        <f>VLOOKUP(Broadcast_BASE[[#This Row],[Broadcast Market]],Continent_Look_Up[],2,FALSE)</f>
        <v>North America</v>
      </c>
      <c r="L43" t="str">
        <f>IF(OR(Broadcast_BASE[[#This Row],[Broadcast Continent]]="Digital",Broadcast_BASE[[#This Row],[Programme Type]]="Digital"),"Y","N")</f>
        <v>N</v>
      </c>
      <c r="M43" s="4" t="str">
        <f>IF(ISNUMBER(SEARCH("Pan ",Broadcast_BASE[[#This Row],[Broadcast Market]]))=TRUE,"Y","N")</f>
        <v>N</v>
      </c>
      <c r="N43" t="str">
        <f>VLOOKUP(CONCATENATE(Broadcast_BASE[[#This Row],[Broadcast Market]],Broadcast_BASE[[#This Row],[Broadcaster]]),Table1[[CC]:[Pay TV vs. Free-to-Air]],3,FALSE)</f>
        <v>Pay TV</v>
      </c>
      <c r="O43" s="1">
        <f>VLOOKUP(CONCATENATE(Broadcast_BASE[[#This Row],[Broadcast Market]],Broadcast_BASE[[#This Row],[Broadcaster]]),Table1[[CC]:[Pay TV vs. Free-to-Air]],2,FALSE)</f>
        <v>6701000</v>
      </c>
      <c r="P43" s="51">
        <f>Broadcast_BASE[[#This Row],[Rolex EXP]]*86400</f>
        <v>4870.473814283625</v>
      </c>
      <c r="Q43" s="73" t="str">
        <f>IF(Broadcast_BASE[[#This Row],[Dashboard Rated?]]="No","N","Y")</f>
        <v>Y</v>
      </c>
      <c r="R43" s="81"/>
      <c r="S43" s="81"/>
    </row>
    <row r="44" spans="1:19" x14ac:dyDescent="0.25">
      <c r="A44" s="72" t="e">
        <f>#REF!</f>
        <v>#REF!</v>
      </c>
      <c r="B44" s="178" t="s">
        <v>35</v>
      </c>
      <c r="C44" s="178" t="s">
        <v>486</v>
      </c>
      <c r="D44" s="178" t="s">
        <v>1644</v>
      </c>
      <c r="E44" s="179">
        <v>0.85416666666666663</v>
      </c>
      <c r="F44" s="180">
        <v>112000</v>
      </c>
      <c r="G44" s="179">
        <v>5.2485633512214608E-2</v>
      </c>
      <c r="H44" s="180">
        <v>37148.913455667942</v>
      </c>
      <c r="I44" s="180">
        <v>10387.233934254349</v>
      </c>
      <c r="J44" s="180" t="s">
        <v>1868</v>
      </c>
      <c r="K44" t="str">
        <f>VLOOKUP(Broadcast_BASE[[#This Row],[Broadcast Market]],Continent_Look_Up[],2,FALSE)</f>
        <v>North America</v>
      </c>
      <c r="L44" t="str">
        <f>IF(OR(Broadcast_BASE[[#This Row],[Broadcast Continent]]="Digital",Broadcast_BASE[[#This Row],[Programme Type]]="Digital"),"Y","N")</f>
        <v>N</v>
      </c>
      <c r="M44" s="4" t="str">
        <f>IF(ISNUMBER(SEARCH("Pan ",Broadcast_BASE[[#This Row],[Broadcast Market]]))=TRUE,"Y","N")</f>
        <v>N</v>
      </c>
      <c r="N44" t="str">
        <f>VLOOKUP(CONCATENATE(Broadcast_BASE[[#This Row],[Broadcast Market]],Broadcast_BASE[[#This Row],[Broadcaster]]),Table1[[CC]:[Pay TV vs. Free-to-Air]],3,FALSE)</f>
        <v>Pay TV</v>
      </c>
      <c r="O44" s="1">
        <f>VLOOKUP(CONCATENATE(Broadcast_BASE[[#This Row],[Broadcast Market]],Broadcast_BASE[[#This Row],[Broadcaster]]),Table1[[CC]:[Pay TV vs. Free-to-Air]],2,FALSE)</f>
        <v>6701000</v>
      </c>
      <c r="P44" s="57">
        <f>Broadcast_BASE[[#This Row],[Rolex EXP]]*86400</f>
        <v>4534.7587354553425</v>
      </c>
      <c r="Q44" s="73" t="str">
        <f>IF(Broadcast_BASE[[#This Row],[Dashboard Rated?]]="No","N","Y")</f>
        <v>Y</v>
      </c>
      <c r="R44" s="81"/>
      <c r="S44" s="81"/>
    </row>
    <row r="45" spans="1:19" x14ac:dyDescent="0.25">
      <c r="A45" s="72" t="e">
        <f>#REF!</f>
        <v>#REF!</v>
      </c>
      <c r="B45" s="178" t="s">
        <v>35</v>
      </c>
      <c r="C45" s="178" t="s">
        <v>492</v>
      </c>
      <c r="D45" s="178" t="s">
        <v>1642</v>
      </c>
      <c r="E45" s="179">
        <v>5.0694444444444438E-2</v>
      </c>
      <c r="F45" s="180">
        <v>405500</v>
      </c>
      <c r="G45" s="179">
        <v>2.8948578943053648E-3</v>
      </c>
      <c r="H45" s="180">
        <v>21587.359047057507</v>
      </c>
      <c r="I45" s="180">
        <v>6353.8356231346661</v>
      </c>
      <c r="J45" s="180" t="s">
        <v>1868</v>
      </c>
      <c r="K45" t="str">
        <f>VLOOKUP(Broadcast_BASE[[#This Row],[Broadcast Market]],Continent_Look_Up[],2,FALSE)</f>
        <v>North America</v>
      </c>
      <c r="L45" t="str">
        <f>IF(OR(Broadcast_BASE[[#This Row],[Broadcast Continent]]="Digital",Broadcast_BASE[[#This Row],[Programme Type]]="Digital"),"Y","N")</f>
        <v>N</v>
      </c>
      <c r="M45" s="4" t="str">
        <f>IF(ISNUMBER(SEARCH("Pan ",Broadcast_BASE[[#This Row],[Broadcast Market]]))=TRUE,"Y","N")</f>
        <v>N</v>
      </c>
      <c r="N45" t="str">
        <f>VLOOKUP(CONCATENATE(Broadcast_BASE[[#This Row],[Broadcast Market]],Broadcast_BASE[[#This Row],[Broadcaster]]),Table1[[CC]:[Pay TV vs. Free-to-Air]],3,FALSE)</f>
        <v>Pay TV</v>
      </c>
      <c r="O45" s="1">
        <f>VLOOKUP(CONCATENATE(Broadcast_BASE[[#This Row],[Broadcast Market]],Broadcast_BASE[[#This Row],[Broadcaster]]),Table1[[CC]:[Pay TV vs. Free-to-Air]],2,FALSE)</f>
        <v>10512000</v>
      </c>
      <c r="P45" s="57">
        <f>Broadcast_BASE[[#This Row],[Rolex EXP]]*86400</f>
        <v>250.11572206798351</v>
      </c>
      <c r="Q45" s="73" t="str">
        <f>IF(Broadcast_BASE[[#This Row],[Dashboard Rated?]]="No","N","Y")</f>
        <v>Y</v>
      </c>
      <c r="R45" s="81"/>
      <c r="S45" s="81"/>
    </row>
    <row r="46" spans="1:19" x14ac:dyDescent="0.25">
      <c r="A46" s="72" t="e">
        <f>#REF!</f>
        <v>#REF!</v>
      </c>
      <c r="B46" s="178" t="s">
        <v>35</v>
      </c>
      <c r="C46" s="178" t="s">
        <v>492</v>
      </c>
      <c r="D46" s="178" t="s">
        <v>1643</v>
      </c>
      <c r="E46" s="179">
        <v>6.6916666666666664</v>
      </c>
      <c r="F46" s="180">
        <v>6650233</v>
      </c>
      <c r="G46" s="179">
        <v>0.42260928904508616</v>
      </c>
      <c r="H46" s="180">
        <v>3447237.7123655383</v>
      </c>
      <c r="I46" s="180">
        <v>974487.17641881225</v>
      </c>
      <c r="J46" s="180" t="s">
        <v>1868</v>
      </c>
      <c r="K46" t="str">
        <f>VLOOKUP(Broadcast_BASE[[#This Row],[Broadcast Market]],Continent_Look_Up[],2,FALSE)</f>
        <v>North America</v>
      </c>
      <c r="L46" t="str">
        <f>IF(OR(Broadcast_BASE[[#This Row],[Broadcast Continent]]="Digital",Broadcast_BASE[[#This Row],[Programme Type]]="Digital"),"Y","N")</f>
        <v>N</v>
      </c>
      <c r="M46" s="4" t="str">
        <f>IF(ISNUMBER(SEARCH("Pan ",Broadcast_BASE[[#This Row],[Broadcast Market]]))=TRUE,"Y","N")</f>
        <v>N</v>
      </c>
      <c r="N46" t="str">
        <f>VLOOKUP(CONCATENATE(Broadcast_BASE[[#This Row],[Broadcast Market]],Broadcast_BASE[[#This Row],[Broadcaster]]),Table1[[CC]:[Pay TV vs. Free-to-Air]],3,FALSE)</f>
        <v>Pay TV</v>
      </c>
      <c r="O46" s="1">
        <f>VLOOKUP(CONCATENATE(Broadcast_BASE[[#This Row],[Broadcast Market]],Broadcast_BASE[[#This Row],[Broadcaster]]),Table1[[CC]:[Pay TV vs. Free-to-Air]],2,FALSE)</f>
        <v>10512000</v>
      </c>
      <c r="P46" s="57">
        <f>Broadcast_BASE[[#This Row],[Rolex EXP]]*86400</f>
        <v>36513.442573495442</v>
      </c>
      <c r="Q46" s="73" t="str">
        <f>IF(Broadcast_BASE[[#This Row],[Dashboard Rated?]]="No","N","Y")</f>
        <v>Y</v>
      </c>
      <c r="R46" s="81"/>
      <c r="S46" s="81"/>
    </row>
    <row r="47" spans="1:19" x14ac:dyDescent="0.25">
      <c r="A47" s="72" t="e">
        <f>#REF!</f>
        <v>#REF!</v>
      </c>
      <c r="B47" s="178" t="s">
        <v>35</v>
      </c>
      <c r="C47" s="178" t="s">
        <v>492</v>
      </c>
      <c r="D47" s="178" t="s">
        <v>1644</v>
      </c>
      <c r="E47" s="179">
        <v>1.3263888888888888</v>
      </c>
      <c r="F47" s="180">
        <v>482499</v>
      </c>
      <c r="G47" s="179">
        <v>9.6647539366187127E-2</v>
      </c>
      <c r="H47" s="180">
        <v>171501.47228009894</v>
      </c>
      <c r="I47" s="180">
        <v>48599.344635092246</v>
      </c>
      <c r="J47" s="180" t="s">
        <v>1868</v>
      </c>
      <c r="K47" t="str">
        <f>VLOOKUP(Broadcast_BASE[[#This Row],[Broadcast Market]],Continent_Look_Up[],2,FALSE)</f>
        <v>North America</v>
      </c>
      <c r="L47" t="str">
        <f>IF(OR(Broadcast_BASE[[#This Row],[Broadcast Continent]]="Digital",Broadcast_BASE[[#This Row],[Programme Type]]="Digital"),"Y","N")</f>
        <v>N</v>
      </c>
      <c r="M47" s="4" t="str">
        <f>IF(ISNUMBER(SEARCH("Pan ",Broadcast_BASE[[#This Row],[Broadcast Market]]))=TRUE,"Y","N")</f>
        <v>N</v>
      </c>
      <c r="N47" t="str">
        <f>VLOOKUP(CONCATENATE(Broadcast_BASE[[#This Row],[Broadcast Market]],Broadcast_BASE[[#This Row],[Broadcaster]]),Table1[[CC]:[Pay TV vs. Free-to-Air]],3,FALSE)</f>
        <v>Pay TV</v>
      </c>
      <c r="O47" s="1">
        <f>VLOOKUP(CONCATENATE(Broadcast_BASE[[#This Row],[Broadcast Market]],Broadcast_BASE[[#This Row],[Broadcaster]]),Table1[[CC]:[Pay TV vs. Free-to-Air]],2,FALSE)</f>
        <v>10512000</v>
      </c>
      <c r="P47" s="57">
        <f>Broadcast_BASE[[#This Row],[Rolex EXP]]*86400</f>
        <v>8350.3474012385686</v>
      </c>
      <c r="Q47" s="73" t="str">
        <f>IF(Broadcast_BASE[[#This Row],[Dashboard Rated?]]="No","N","Y")</f>
        <v>Y</v>
      </c>
      <c r="R47" s="81"/>
      <c r="S47" s="81"/>
    </row>
    <row r="48" spans="1:19" x14ac:dyDescent="0.25">
      <c r="A48" s="72" t="e">
        <f>#REF!</f>
        <v>#REF!</v>
      </c>
      <c r="B48" s="178" t="s">
        <v>35</v>
      </c>
      <c r="C48" s="178" t="s">
        <v>498</v>
      </c>
      <c r="D48" s="178" t="s">
        <v>1643</v>
      </c>
      <c r="E48" s="179">
        <v>0.59791666666666665</v>
      </c>
      <c r="F48" s="180">
        <v>317000</v>
      </c>
      <c r="G48" s="179">
        <v>3.6625319815482435E-2</v>
      </c>
      <c r="H48" s="180">
        <v>206922.91709911104</v>
      </c>
      <c r="I48" s="180">
        <v>57448.887758273086</v>
      </c>
      <c r="J48" s="180" t="s">
        <v>1868</v>
      </c>
      <c r="K48" t="str">
        <f>VLOOKUP(Broadcast_BASE[[#This Row],[Broadcast Market]],Continent_Look_Up[],2,FALSE)</f>
        <v>North America</v>
      </c>
      <c r="L48" t="str">
        <f>IF(OR(Broadcast_BASE[[#This Row],[Broadcast Continent]]="Digital",Broadcast_BASE[[#This Row],[Programme Type]]="Digital"),"Y","N")</f>
        <v>N</v>
      </c>
      <c r="M48" s="4" t="str">
        <f>IF(ISNUMBER(SEARCH("Pan ",Broadcast_BASE[[#This Row],[Broadcast Market]]))=TRUE,"Y","N")</f>
        <v>N</v>
      </c>
      <c r="N48" t="str">
        <f>VLOOKUP(CONCATENATE(Broadcast_BASE[[#This Row],[Broadcast Market]],Broadcast_BASE[[#This Row],[Broadcaster]]),Table1[[CC]:[Pay TV vs. Free-to-Air]],3,FALSE)</f>
        <v>Pay TV</v>
      </c>
      <c r="O48" s="1">
        <f>VLOOKUP(CONCATENATE(Broadcast_BASE[[#This Row],[Broadcast Market]],Broadcast_BASE[[#This Row],[Broadcaster]]),Table1[[CC]:[Pay TV vs. Free-to-Air]],2,FALSE)</f>
        <v>10512000</v>
      </c>
      <c r="P48" s="51">
        <f>Broadcast_BASE[[#This Row],[Rolex EXP]]*86400</f>
        <v>3164.4276320576823</v>
      </c>
      <c r="Q48" s="73" t="str">
        <f>IF(Broadcast_BASE[[#This Row],[Dashboard Rated?]]="No","N","Y")</f>
        <v>Y</v>
      </c>
      <c r="R48" s="81"/>
      <c r="S48" s="81"/>
    </row>
    <row r="49" spans="1:19" x14ac:dyDescent="0.25">
      <c r="A49" s="72" t="e">
        <f>#REF!</f>
        <v>#REF!</v>
      </c>
      <c r="B49" s="178" t="s">
        <v>35</v>
      </c>
      <c r="C49" s="178" t="s">
        <v>498</v>
      </c>
      <c r="D49" s="178" t="s">
        <v>1644</v>
      </c>
      <c r="E49" s="179">
        <v>0.9868055555555556</v>
      </c>
      <c r="F49" s="180">
        <v>91801</v>
      </c>
      <c r="G49" s="179">
        <v>5.9417217677451846E-2</v>
      </c>
      <c r="H49" s="180">
        <v>25333.582779806464</v>
      </c>
      <c r="I49" s="180">
        <v>7314.0432846103113</v>
      </c>
      <c r="J49" s="180" t="s">
        <v>1868</v>
      </c>
      <c r="K49" t="str">
        <f>VLOOKUP(Broadcast_BASE[[#This Row],[Broadcast Market]],Continent_Look_Up[],2,FALSE)</f>
        <v>North America</v>
      </c>
      <c r="L49" t="str">
        <f>IF(OR(Broadcast_BASE[[#This Row],[Broadcast Continent]]="Digital",Broadcast_BASE[[#This Row],[Programme Type]]="Digital"),"Y","N")</f>
        <v>N</v>
      </c>
      <c r="M49" s="4" t="str">
        <f>IF(ISNUMBER(SEARCH("Pan ",Broadcast_BASE[[#This Row],[Broadcast Market]]))=TRUE,"Y","N")</f>
        <v>N</v>
      </c>
      <c r="N49" t="str">
        <f>VLOOKUP(CONCATENATE(Broadcast_BASE[[#This Row],[Broadcast Market]],Broadcast_BASE[[#This Row],[Broadcaster]]),Table1[[CC]:[Pay TV vs. Free-to-Air]],3,FALSE)</f>
        <v>Pay TV</v>
      </c>
      <c r="O49" s="1">
        <f>VLOOKUP(CONCATENATE(Broadcast_BASE[[#This Row],[Broadcast Market]],Broadcast_BASE[[#This Row],[Broadcaster]]),Table1[[CC]:[Pay TV vs. Free-to-Air]],2,FALSE)</f>
        <v>10512000</v>
      </c>
      <c r="P49" s="57">
        <f>Broadcast_BASE[[#This Row],[Rolex EXP]]*86400</f>
        <v>5133.6476073318399</v>
      </c>
      <c r="Q49" s="73" t="str">
        <f>IF(Broadcast_BASE[[#This Row],[Dashboard Rated?]]="No","N","Y")</f>
        <v>Y</v>
      </c>
      <c r="R49" s="81"/>
      <c r="S49" s="81"/>
    </row>
    <row r="50" spans="1:19" x14ac:dyDescent="0.25">
      <c r="A50" s="72" t="e">
        <f>#REF!</f>
        <v>#REF!</v>
      </c>
      <c r="B50" s="178" t="s">
        <v>38</v>
      </c>
      <c r="C50" s="178" t="s">
        <v>515</v>
      </c>
      <c r="D50" s="178" t="s">
        <v>1642</v>
      </c>
      <c r="E50" s="179">
        <v>3.5034722222222224E-2</v>
      </c>
      <c r="F50" s="180">
        <v>84641</v>
      </c>
      <c r="G50" s="179">
        <v>2.2047011063242223E-3</v>
      </c>
      <c r="H50" s="180">
        <v>3097.1360483254216</v>
      </c>
      <c r="I50" s="180">
        <v>901.23081156440981</v>
      </c>
      <c r="J50" s="180" t="s">
        <v>1868</v>
      </c>
      <c r="K50" t="str">
        <f>VLOOKUP(Broadcast_BASE[[#This Row],[Broadcast Market]],Continent_Look_Up[],2,FALSE)</f>
        <v>Asia Pacific</v>
      </c>
      <c r="L50" t="str">
        <f>IF(OR(Broadcast_BASE[[#This Row],[Broadcast Continent]]="Digital",Broadcast_BASE[[#This Row],[Programme Type]]="Digital"),"Y","N")</f>
        <v>N</v>
      </c>
      <c r="M50" s="4" t="str">
        <f>IF(ISNUMBER(SEARCH("Pan ",Broadcast_BASE[[#This Row],[Broadcast Market]]))=TRUE,"Y","N")</f>
        <v>N</v>
      </c>
      <c r="N50" t="str">
        <f>VLOOKUP(CONCATENATE(Broadcast_BASE[[#This Row],[Broadcast Market]],Broadcast_BASE[[#This Row],[Broadcaster]]),Table1[[CC]:[Pay TV vs. Free-to-Air]],3,FALSE)</f>
        <v>Free-to-Air</v>
      </c>
      <c r="O50" s="1">
        <f>VLOOKUP(CONCATENATE(Broadcast_BASE[[#This Row],[Broadcast Market]],Broadcast_BASE[[#This Row],[Broadcaster]]),Table1[[CC]:[Pay TV vs. Free-to-Air]],2,FALSE)</f>
        <v>393350661</v>
      </c>
      <c r="P50" s="57">
        <f>Broadcast_BASE[[#This Row],[Rolex EXP]]*86400</f>
        <v>190.4861755864128</v>
      </c>
      <c r="Q50" s="73" t="str">
        <f>IF(Broadcast_BASE[[#This Row],[Dashboard Rated?]]="No","N","Y")</f>
        <v>Y</v>
      </c>
      <c r="R50" s="81"/>
      <c r="S50" s="81"/>
    </row>
    <row r="51" spans="1:19" x14ac:dyDescent="0.25">
      <c r="A51" s="72" t="e">
        <f>#REF!</f>
        <v>#REF!</v>
      </c>
      <c r="B51" s="178" t="s">
        <v>38</v>
      </c>
      <c r="C51" s="178" t="s">
        <v>515</v>
      </c>
      <c r="D51" s="178" t="s">
        <v>1643</v>
      </c>
      <c r="E51" s="179">
        <v>2.1389814814814812</v>
      </c>
      <c r="F51" s="180">
        <v>4516253</v>
      </c>
      <c r="G51" s="179">
        <v>0.13712463568625086</v>
      </c>
      <c r="H51" s="180">
        <v>621359.07138506591</v>
      </c>
      <c r="I51" s="180">
        <v>174382.04456394442</v>
      </c>
      <c r="J51" s="180" t="s">
        <v>1868</v>
      </c>
      <c r="K51" t="str">
        <f>VLOOKUP(Broadcast_BASE[[#This Row],[Broadcast Market]],Continent_Look_Up[],2,FALSE)</f>
        <v>Asia Pacific</v>
      </c>
      <c r="L51" t="str">
        <f>IF(OR(Broadcast_BASE[[#This Row],[Broadcast Continent]]="Digital",Broadcast_BASE[[#This Row],[Programme Type]]="Digital"),"Y","N")</f>
        <v>N</v>
      </c>
      <c r="M51" s="4" t="str">
        <f>IF(ISNUMBER(SEARCH("Pan ",Broadcast_BASE[[#This Row],[Broadcast Market]]))=TRUE,"Y","N")</f>
        <v>N</v>
      </c>
      <c r="N51" t="str">
        <f>VLOOKUP(CONCATENATE(Broadcast_BASE[[#This Row],[Broadcast Market]],Broadcast_BASE[[#This Row],[Broadcaster]]),Table1[[CC]:[Pay TV vs. Free-to-Air]],3,FALSE)</f>
        <v>Free-to-Air</v>
      </c>
      <c r="O51" s="1">
        <f>VLOOKUP(CONCATENATE(Broadcast_BASE[[#This Row],[Broadcast Market]],Broadcast_BASE[[#This Row],[Broadcaster]]),Table1[[CC]:[Pay TV vs. Free-to-Air]],2,FALSE)</f>
        <v>393350661</v>
      </c>
      <c r="P51" s="57">
        <f>Broadcast_BASE[[#This Row],[Rolex EXP]]*86400</f>
        <v>11847.568523292073</v>
      </c>
      <c r="Q51" s="73" t="str">
        <f>IF(Broadcast_BASE[[#This Row],[Dashboard Rated?]]="No","N","Y")</f>
        <v>Y</v>
      </c>
      <c r="R51" s="81"/>
      <c r="S51" s="81"/>
    </row>
    <row r="52" spans="1:19" x14ac:dyDescent="0.25">
      <c r="A52" s="72" t="e">
        <f>#REF!</f>
        <v>#REF!</v>
      </c>
      <c r="B52" s="178" t="s">
        <v>38</v>
      </c>
      <c r="C52" s="178" t="s">
        <v>515</v>
      </c>
      <c r="D52" s="178" t="s">
        <v>1644</v>
      </c>
      <c r="E52" s="179">
        <v>0.15274305555555553</v>
      </c>
      <c r="F52" s="180">
        <v>1329363</v>
      </c>
      <c r="G52" s="179">
        <v>8.8773991037688765E-3</v>
      </c>
      <c r="H52" s="180">
        <v>100325.12470207375</v>
      </c>
      <c r="I52" s="180">
        <v>29500.877391498212</v>
      </c>
      <c r="J52" s="180" t="s">
        <v>1868</v>
      </c>
      <c r="K52" t="str">
        <f>VLOOKUP(Broadcast_BASE[[#This Row],[Broadcast Market]],Continent_Look_Up[],2,FALSE)</f>
        <v>Asia Pacific</v>
      </c>
      <c r="L52" t="str">
        <f>IF(OR(Broadcast_BASE[[#This Row],[Broadcast Continent]]="Digital",Broadcast_BASE[[#This Row],[Programme Type]]="Digital"),"Y","N")</f>
        <v>N</v>
      </c>
      <c r="M52" s="4" t="str">
        <f>IF(ISNUMBER(SEARCH("Pan ",Broadcast_BASE[[#This Row],[Broadcast Market]]))=TRUE,"Y","N")</f>
        <v>N</v>
      </c>
      <c r="N52" t="str">
        <f>VLOOKUP(CONCATENATE(Broadcast_BASE[[#This Row],[Broadcast Market]],Broadcast_BASE[[#This Row],[Broadcaster]]),Table1[[CC]:[Pay TV vs. Free-to-Air]],3,FALSE)</f>
        <v>Free-to-Air</v>
      </c>
      <c r="O52" s="1">
        <f>VLOOKUP(CONCATENATE(Broadcast_BASE[[#This Row],[Broadcast Market]],Broadcast_BASE[[#This Row],[Broadcaster]]),Table1[[CC]:[Pay TV vs. Free-to-Air]],2,FALSE)</f>
        <v>393350661</v>
      </c>
      <c r="P52" s="57">
        <f>Broadcast_BASE[[#This Row],[Rolex EXP]]*86400</f>
        <v>767.00728256563093</v>
      </c>
      <c r="Q52" s="73" t="str">
        <f>IF(Broadcast_BASE[[#This Row],[Dashboard Rated?]]="No","N","Y")</f>
        <v>Y</v>
      </c>
      <c r="R52" s="81"/>
      <c r="S52" s="81"/>
    </row>
    <row r="53" spans="1:19" x14ac:dyDescent="0.25">
      <c r="A53" s="72" t="e">
        <f>#REF!</f>
        <v>#REF!</v>
      </c>
      <c r="B53" s="178" t="s">
        <v>38</v>
      </c>
      <c r="C53" s="178" t="s">
        <v>518</v>
      </c>
      <c r="D53" s="178" t="s">
        <v>1643</v>
      </c>
      <c r="E53" s="179">
        <v>1.5625</v>
      </c>
      <c r="F53" s="180">
        <v>1058920</v>
      </c>
      <c r="G53" s="179">
        <v>0.10039635405617044</v>
      </c>
      <c r="H53" s="180">
        <v>176445.6149844992</v>
      </c>
      <c r="I53" s="180">
        <v>49423.42945222155</v>
      </c>
      <c r="J53" s="180" t="s">
        <v>1867</v>
      </c>
      <c r="K53" t="str">
        <f>VLOOKUP(Broadcast_BASE[[#This Row],[Broadcast Market]],Continent_Look_Up[],2,FALSE)</f>
        <v>Asia Pacific</v>
      </c>
      <c r="L53" t="str">
        <f>IF(OR(Broadcast_BASE[[#This Row],[Broadcast Continent]]="Digital",Broadcast_BASE[[#This Row],[Programme Type]]="Digital"),"Y","N")</f>
        <v>N</v>
      </c>
      <c r="M53" s="4" t="str">
        <f>IF(ISNUMBER(SEARCH("Pan ",Broadcast_BASE[[#This Row],[Broadcast Market]]))=TRUE,"Y","N")</f>
        <v>N</v>
      </c>
      <c r="N53" t="str">
        <f>VLOOKUP(CONCATENATE(Broadcast_BASE[[#This Row],[Broadcast Market]],Broadcast_BASE[[#This Row],[Broadcaster]]),Table1[[CC]:[Pay TV vs. Free-to-Air]],3,FALSE)</f>
        <v>Free-to-Air</v>
      </c>
      <c r="O53" s="1">
        <f>VLOOKUP(CONCATENATE(Broadcast_BASE[[#This Row],[Broadcast Market]],Broadcast_BASE[[#This Row],[Broadcaster]]),Table1[[CC]:[Pay TV vs. Free-to-Air]],2,FALSE)</f>
        <v>98000000</v>
      </c>
      <c r="P53" s="57">
        <f>Broadcast_BASE[[#This Row],[Rolex EXP]]*86400</f>
        <v>8674.2449904531259</v>
      </c>
      <c r="Q53" s="73" t="str">
        <f>IF(Broadcast_BASE[[#This Row],[Dashboard Rated?]]="No","N","Y")</f>
        <v>N</v>
      </c>
      <c r="R53" s="81"/>
      <c r="S53" s="81"/>
    </row>
    <row r="54" spans="1:19" x14ac:dyDescent="0.25">
      <c r="A54" s="72" t="e">
        <f>#REF!</f>
        <v>#REF!</v>
      </c>
      <c r="B54" s="178" t="s">
        <v>38</v>
      </c>
      <c r="C54" s="178" t="s">
        <v>518</v>
      </c>
      <c r="D54" s="178" t="s">
        <v>1644</v>
      </c>
      <c r="E54" s="179">
        <v>0.48890046296296297</v>
      </c>
      <c r="F54" s="180">
        <v>1171199</v>
      </c>
      <c r="G54" s="179">
        <v>3.0133086000572087E-2</v>
      </c>
      <c r="H54" s="180">
        <v>78291.711794843286</v>
      </c>
      <c r="I54" s="180">
        <v>22578.286990927583</v>
      </c>
      <c r="J54" s="180" t="s">
        <v>1868</v>
      </c>
      <c r="K54" t="str">
        <f>VLOOKUP(Broadcast_BASE[[#This Row],[Broadcast Market]],Continent_Look_Up[],2,FALSE)</f>
        <v>Asia Pacific</v>
      </c>
      <c r="L54" t="str">
        <f>IF(OR(Broadcast_BASE[[#This Row],[Broadcast Continent]]="Digital",Broadcast_BASE[[#This Row],[Programme Type]]="Digital"),"Y","N")</f>
        <v>N</v>
      </c>
      <c r="M54" s="4" t="str">
        <f>IF(ISNUMBER(SEARCH("Pan ",Broadcast_BASE[[#This Row],[Broadcast Market]]))=TRUE,"Y","N")</f>
        <v>N</v>
      </c>
      <c r="N54" t="str">
        <f>VLOOKUP(CONCATENATE(Broadcast_BASE[[#This Row],[Broadcast Market]],Broadcast_BASE[[#This Row],[Broadcaster]]),Table1[[CC]:[Pay TV vs. Free-to-Air]],3,FALSE)</f>
        <v>Free-to-Air</v>
      </c>
      <c r="O54" s="1">
        <f>VLOOKUP(CONCATENATE(Broadcast_BASE[[#This Row],[Broadcast Market]],Broadcast_BASE[[#This Row],[Broadcaster]]),Table1[[CC]:[Pay TV vs. Free-to-Air]],2,FALSE)</f>
        <v>98000000</v>
      </c>
      <c r="P54" s="57">
        <f>Broadcast_BASE[[#This Row],[Rolex EXP]]*86400</f>
        <v>2603.4986304494282</v>
      </c>
      <c r="Q54" s="73" t="str">
        <f>IF(Broadcast_BASE[[#This Row],[Dashboard Rated?]]="No","N","Y")</f>
        <v>Y</v>
      </c>
      <c r="R54" s="81"/>
      <c r="S54" s="81"/>
    </row>
    <row r="55" spans="1:19" x14ac:dyDescent="0.25">
      <c r="A55" s="72" t="e">
        <f>#REF!</f>
        <v>#REF!</v>
      </c>
      <c r="B55" s="178" t="s">
        <v>38</v>
      </c>
      <c r="C55" s="178" t="s">
        <v>548</v>
      </c>
      <c r="D55" s="178" t="s">
        <v>1642</v>
      </c>
      <c r="E55" s="179">
        <v>3.1041666666666665</v>
      </c>
      <c r="F55" s="180">
        <v>1127704</v>
      </c>
      <c r="G55" s="179">
        <v>0.19446365303638583</v>
      </c>
      <c r="H55" s="180">
        <v>38922.07782957203</v>
      </c>
      <c r="I55" s="180">
        <v>10966.418518723094</v>
      </c>
      <c r="J55" s="180" t="s">
        <v>1867</v>
      </c>
      <c r="K55" t="str">
        <f>VLOOKUP(Broadcast_BASE[[#This Row],[Broadcast Market]],Continent_Look_Up[],2,FALSE)</f>
        <v>Asia Pacific</v>
      </c>
      <c r="L55" t="str">
        <f>IF(OR(Broadcast_BASE[[#This Row],[Broadcast Continent]]="Digital",Broadcast_BASE[[#This Row],[Programme Type]]="Digital"),"Y","N")</f>
        <v>N</v>
      </c>
      <c r="M55" s="4" t="str">
        <f>IF(ISNUMBER(SEARCH("Pan ",Broadcast_BASE[[#This Row],[Broadcast Market]]))=TRUE,"Y","N")</f>
        <v>N</v>
      </c>
      <c r="N55" t="str">
        <f>VLOOKUP(CONCATENATE(Broadcast_BASE[[#This Row],[Broadcast Market]],Broadcast_BASE[[#This Row],[Broadcaster]]),Table1[[CC]:[Pay TV vs. Free-to-Air]],3,FALSE)</f>
        <v>Pay TV</v>
      </c>
      <c r="O55" s="1">
        <f>VLOOKUP(CONCATENATE(Broadcast_BASE[[#This Row],[Broadcast Market]],Broadcast_BASE[[#This Row],[Broadcaster]]),Table1[[CC]:[Pay TV vs. Free-to-Air]],2,FALSE)</f>
        <v>6080000</v>
      </c>
      <c r="P55" s="57">
        <f>Broadcast_BASE[[#This Row],[Rolex EXP]]*86400</f>
        <v>16801.659622343734</v>
      </c>
      <c r="Q55" s="73" t="str">
        <f>IF(Broadcast_BASE[[#This Row],[Dashboard Rated?]]="No","N","Y")</f>
        <v>N</v>
      </c>
      <c r="R55" s="81"/>
      <c r="S55" s="81"/>
    </row>
    <row r="56" spans="1:19" x14ac:dyDescent="0.25">
      <c r="A56" s="72" t="e">
        <f>#REF!</f>
        <v>#REF!</v>
      </c>
      <c r="B56" s="178" t="s">
        <v>38</v>
      </c>
      <c r="C56" s="178" t="s">
        <v>548</v>
      </c>
      <c r="D56" s="178" t="s">
        <v>1643</v>
      </c>
      <c r="E56" s="179">
        <v>6.083333333333333</v>
      </c>
      <c r="F56" s="180">
        <v>472619</v>
      </c>
      <c r="G56" s="179">
        <v>0.37263391589271327</v>
      </c>
      <c r="H56" s="180">
        <v>202006.48619206654</v>
      </c>
      <c r="I56" s="180">
        <v>56083.918177765881</v>
      </c>
      <c r="J56" s="180" t="s">
        <v>1867</v>
      </c>
      <c r="K56" t="str">
        <f>VLOOKUP(Broadcast_BASE[[#This Row],[Broadcast Market]],Continent_Look_Up[],2,FALSE)</f>
        <v>Asia Pacific</v>
      </c>
      <c r="L56" t="str">
        <f>IF(OR(Broadcast_BASE[[#This Row],[Broadcast Continent]]="Digital",Broadcast_BASE[[#This Row],[Programme Type]]="Digital"),"Y","N")</f>
        <v>N</v>
      </c>
      <c r="M56" s="4" t="str">
        <f>IF(ISNUMBER(SEARCH("Pan ",Broadcast_BASE[[#This Row],[Broadcast Market]]))=TRUE,"Y","N")</f>
        <v>N</v>
      </c>
      <c r="N56" t="str">
        <f>VLOOKUP(CONCATENATE(Broadcast_BASE[[#This Row],[Broadcast Market]],Broadcast_BASE[[#This Row],[Broadcaster]]),Table1[[CC]:[Pay TV vs. Free-to-Air]],3,FALSE)</f>
        <v>Pay TV</v>
      </c>
      <c r="O56" s="1">
        <f>VLOOKUP(CONCATENATE(Broadcast_BASE[[#This Row],[Broadcast Market]],Broadcast_BASE[[#This Row],[Broadcaster]]),Table1[[CC]:[Pay TV vs. Free-to-Air]],2,FALSE)</f>
        <v>6080000</v>
      </c>
      <c r="P56" s="57">
        <f>Broadcast_BASE[[#This Row],[Rolex EXP]]*86400</f>
        <v>32195.570333130428</v>
      </c>
      <c r="Q56" s="73" t="str">
        <f>IF(Broadcast_BASE[[#This Row],[Dashboard Rated?]]="No","N","Y")</f>
        <v>N</v>
      </c>
      <c r="R56" s="81"/>
      <c r="S56" s="81"/>
    </row>
    <row r="57" spans="1:19" x14ac:dyDescent="0.25">
      <c r="A57" s="72" t="e">
        <f>#REF!</f>
        <v>#REF!</v>
      </c>
      <c r="B57" s="178" t="s">
        <v>38</v>
      </c>
      <c r="C57" s="178" t="s">
        <v>549</v>
      </c>
      <c r="D57" s="178" t="s">
        <v>1642</v>
      </c>
      <c r="E57" s="179">
        <v>0.25</v>
      </c>
      <c r="F57" s="180">
        <v>72976</v>
      </c>
      <c r="G57" s="179">
        <v>1.5313722570933426E-2</v>
      </c>
      <c r="H57" s="180">
        <v>3091.287208546667</v>
      </c>
      <c r="I57" s="180">
        <v>858.24718867326328</v>
      </c>
      <c r="J57" s="180" t="s">
        <v>1867</v>
      </c>
      <c r="K57" t="str">
        <f>VLOOKUP(Broadcast_BASE[[#This Row],[Broadcast Market]],Continent_Look_Up[],2,FALSE)</f>
        <v>Asia Pacific</v>
      </c>
      <c r="L57" t="str">
        <f>IF(OR(Broadcast_BASE[[#This Row],[Broadcast Continent]]="Digital",Broadcast_BASE[[#This Row],[Programme Type]]="Digital"),"Y","N")</f>
        <v>N</v>
      </c>
      <c r="M57" s="4" t="str">
        <f>IF(ISNUMBER(SEARCH("Pan ",Broadcast_BASE[[#This Row],[Broadcast Market]]))=TRUE,"Y","N")</f>
        <v>N</v>
      </c>
      <c r="N57" t="str">
        <f>VLOOKUP(CONCATENATE(Broadcast_BASE[[#This Row],[Broadcast Market]],Broadcast_BASE[[#This Row],[Broadcaster]]),Table1[[CC]:[Pay TV vs. Free-to-Air]],3,FALSE)</f>
        <v>Pay TV</v>
      </c>
      <c r="O57" s="1">
        <f>VLOOKUP(CONCATENATE(Broadcast_BASE[[#This Row],[Broadcast Market]],Broadcast_BASE[[#This Row],[Broadcaster]]),Table1[[CC]:[Pay TV vs. Free-to-Air]],2,FALSE)</f>
        <v>6080000</v>
      </c>
      <c r="P57" s="57">
        <f>Broadcast_BASE[[#This Row],[Rolex EXP]]*86400</f>
        <v>1323.105630128648</v>
      </c>
      <c r="Q57" s="73" t="str">
        <f>IF(Broadcast_BASE[[#This Row],[Dashboard Rated?]]="No","N","Y")</f>
        <v>N</v>
      </c>
      <c r="R57" s="81"/>
      <c r="S57" s="81"/>
    </row>
    <row r="58" spans="1:19" x14ac:dyDescent="0.25">
      <c r="A58" s="72" t="e">
        <f>#REF!</f>
        <v>#REF!</v>
      </c>
      <c r="B58" s="178" t="s">
        <v>43</v>
      </c>
      <c r="C58" s="178" t="s">
        <v>268</v>
      </c>
      <c r="D58" s="178" t="s">
        <v>1642</v>
      </c>
      <c r="E58" s="179">
        <v>0.93214120370370368</v>
      </c>
      <c r="F58" s="180">
        <v>180754</v>
      </c>
      <c r="G58" s="179">
        <v>6.8844902244084141E-2</v>
      </c>
      <c r="H58" s="180">
        <v>9808.7811808455535</v>
      </c>
      <c r="I58" s="180">
        <v>2782.4029649169843</v>
      </c>
      <c r="J58" s="180" t="s">
        <v>1868</v>
      </c>
      <c r="K58" t="str">
        <f>VLOOKUP(Broadcast_BASE[[#This Row],[Broadcast Market]],Continent_Look_Up[],2,FALSE)</f>
        <v>Europe</v>
      </c>
      <c r="L58" t="str">
        <f>IF(OR(Broadcast_BASE[[#This Row],[Broadcast Continent]]="Digital",Broadcast_BASE[[#This Row],[Programme Type]]="Digital"),"Y","N")</f>
        <v>N</v>
      </c>
      <c r="M58" s="4" t="str">
        <f>IF(ISNUMBER(SEARCH("Pan ",Broadcast_BASE[[#This Row],[Broadcast Market]]))=TRUE,"Y","N")</f>
        <v>N</v>
      </c>
      <c r="N58" t="str">
        <f>VLOOKUP(CONCATENATE(Broadcast_BASE[[#This Row],[Broadcast Market]],Broadcast_BASE[[#This Row],[Broadcaster]]),Table1[[CC]:[Pay TV vs. Free-to-Air]],3,FALSE)</f>
        <v>Pay TV</v>
      </c>
      <c r="O58" s="1">
        <f>VLOOKUP(CONCATENATE(Broadcast_BASE[[#This Row],[Broadcast Market]],Broadcast_BASE[[#This Row],[Broadcaster]]),Table1[[CC]:[Pay TV vs. Free-to-Air]],2,FALSE)</f>
        <v>1098000</v>
      </c>
      <c r="P58" s="57">
        <f>Broadcast_BASE[[#This Row],[Rolex EXP]]*86400</f>
        <v>5948.1995538888696</v>
      </c>
      <c r="Q58" s="73" t="str">
        <f>IF(Broadcast_BASE[[#This Row],[Dashboard Rated?]]="No","N","Y")</f>
        <v>Y</v>
      </c>
      <c r="R58" s="81"/>
      <c r="S58" s="81"/>
    </row>
    <row r="59" spans="1:19" x14ac:dyDescent="0.25">
      <c r="A59" s="72" t="e">
        <f>#REF!</f>
        <v>#REF!</v>
      </c>
      <c r="B59" s="178" t="s">
        <v>43</v>
      </c>
      <c r="C59" s="178" t="s">
        <v>268</v>
      </c>
      <c r="D59" s="178" t="s">
        <v>1643</v>
      </c>
      <c r="E59" s="179">
        <v>6.5384375000000006</v>
      </c>
      <c r="F59" s="180">
        <v>749534</v>
      </c>
      <c r="G59" s="179">
        <v>0.53838637652310894</v>
      </c>
      <c r="H59" s="180">
        <v>171553.67590040853</v>
      </c>
      <c r="I59" s="180">
        <v>49314.914500191582</v>
      </c>
      <c r="J59" s="180" t="s">
        <v>1868</v>
      </c>
      <c r="K59" t="str">
        <f>VLOOKUP(Broadcast_BASE[[#This Row],[Broadcast Market]],Continent_Look_Up[],2,FALSE)</f>
        <v>Europe</v>
      </c>
      <c r="L59" t="str">
        <f>IF(OR(Broadcast_BASE[[#This Row],[Broadcast Continent]]="Digital",Broadcast_BASE[[#This Row],[Programme Type]]="Digital"),"Y","N")</f>
        <v>N</v>
      </c>
      <c r="M59" s="4" t="str">
        <f>IF(ISNUMBER(SEARCH("Pan ",Broadcast_BASE[[#This Row],[Broadcast Market]]))=TRUE,"Y","N")</f>
        <v>N</v>
      </c>
      <c r="N59" t="str">
        <f>VLOOKUP(CONCATENATE(Broadcast_BASE[[#This Row],[Broadcast Market]],Broadcast_BASE[[#This Row],[Broadcaster]]),Table1[[CC]:[Pay TV vs. Free-to-Air]],3,FALSE)</f>
        <v>Pay TV</v>
      </c>
      <c r="O59" s="1">
        <f>VLOOKUP(CONCATENATE(Broadcast_BASE[[#This Row],[Broadcast Market]],Broadcast_BASE[[#This Row],[Broadcaster]]),Table1[[CC]:[Pay TV vs. Free-to-Air]],2,FALSE)</f>
        <v>1098000</v>
      </c>
      <c r="P59" s="51">
        <f>Broadcast_BASE[[#This Row],[Rolex EXP]]*86400</f>
        <v>46516.582931596611</v>
      </c>
      <c r="Q59" s="73" t="str">
        <f>IF(Broadcast_BASE[[#This Row],[Dashboard Rated?]]="No","N","Y")</f>
        <v>Y</v>
      </c>
      <c r="R59" s="81"/>
      <c r="S59" s="81"/>
    </row>
    <row r="60" spans="1:19" x14ac:dyDescent="0.25">
      <c r="A60" s="72" t="e">
        <f>#REF!</f>
        <v>#REF!</v>
      </c>
      <c r="B60" s="178" t="s">
        <v>43</v>
      </c>
      <c r="C60" s="178" t="s">
        <v>268</v>
      </c>
      <c r="D60" s="178" t="s">
        <v>1644</v>
      </c>
      <c r="E60" s="179">
        <v>1.5017129629629631</v>
      </c>
      <c r="F60" s="180">
        <v>111705</v>
      </c>
      <c r="G60" s="179">
        <v>0.11626186710605591</v>
      </c>
      <c r="H60" s="180">
        <v>13002.814844642686</v>
      </c>
      <c r="I60" s="180">
        <v>3716.2866307155577</v>
      </c>
      <c r="J60" s="180" t="s">
        <v>1868</v>
      </c>
      <c r="K60" t="str">
        <f>VLOOKUP(Broadcast_BASE[[#This Row],[Broadcast Market]],Continent_Look_Up[],2,FALSE)</f>
        <v>Europe</v>
      </c>
      <c r="L60" t="str">
        <f>IF(OR(Broadcast_BASE[[#This Row],[Broadcast Continent]]="Digital",Broadcast_BASE[[#This Row],[Programme Type]]="Digital"),"Y","N")</f>
        <v>N</v>
      </c>
      <c r="M60" s="4" t="str">
        <f>IF(ISNUMBER(SEARCH("Pan ",Broadcast_BASE[[#This Row],[Broadcast Market]]))=TRUE,"Y","N")</f>
        <v>N</v>
      </c>
      <c r="N60" t="str">
        <f>VLOOKUP(CONCATENATE(Broadcast_BASE[[#This Row],[Broadcast Market]],Broadcast_BASE[[#This Row],[Broadcaster]]),Table1[[CC]:[Pay TV vs. Free-to-Air]],3,FALSE)</f>
        <v>Pay TV</v>
      </c>
      <c r="O60" s="1">
        <f>VLOOKUP(CONCATENATE(Broadcast_BASE[[#This Row],[Broadcast Market]],Broadcast_BASE[[#This Row],[Broadcaster]]),Table1[[CC]:[Pay TV vs. Free-to-Air]],2,FALSE)</f>
        <v>1098000</v>
      </c>
      <c r="P60" s="57">
        <f>Broadcast_BASE[[#This Row],[Rolex EXP]]*86400</f>
        <v>10045.025317963231</v>
      </c>
      <c r="Q60" s="73" t="str">
        <f>IF(Broadcast_BASE[[#This Row],[Dashboard Rated?]]="No","N","Y")</f>
        <v>Y</v>
      </c>
      <c r="R60" s="81"/>
      <c r="S60" s="81"/>
    </row>
    <row r="61" spans="1:19" x14ac:dyDescent="0.25">
      <c r="A61" s="72" t="e">
        <f>#REF!</f>
        <v>#REF!</v>
      </c>
      <c r="B61" s="178" t="s">
        <v>43</v>
      </c>
      <c r="C61" s="178" t="s">
        <v>269</v>
      </c>
      <c r="D61" s="178" t="s">
        <v>1642</v>
      </c>
      <c r="E61" s="179">
        <v>0.83843749999999995</v>
      </c>
      <c r="F61" s="180">
        <v>108356</v>
      </c>
      <c r="G61" s="179">
        <v>6.5951216212620456E-2</v>
      </c>
      <c r="H61" s="180">
        <v>7549.1286419992857</v>
      </c>
      <c r="I61" s="180">
        <v>2168.5713102983063</v>
      </c>
      <c r="J61" s="180" t="s">
        <v>1867</v>
      </c>
      <c r="K61" t="str">
        <f>VLOOKUP(Broadcast_BASE[[#This Row],[Broadcast Market]],Continent_Look_Up[],2,FALSE)</f>
        <v>Europe</v>
      </c>
      <c r="L61" t="str">
        <f>IF(OR(Broadcast_BASE[[#This Row],[Broadcast Continent]]="Digital",Broadcast_BASE[[#This Row],[Programme Type]]="Digital"),"Y","N")</f>
        <v>N</v>
      </c>
      <c r="M61" s="4" t="str">
        <f>IF(ISNUMBER(SEARCH("Pan ",Broadcast_BASE[[#This Row],[Broadcast Market]]))=TRUE,"Y","N")</f>
        <v>N</v>
      </c>
      <c r="N61" t="str">
        <f>VLOOKUP(CONCATENATE(Broadcast_BASE[[#This Row],[Broadcast Market]],Broadcast_BASE[[#This Row],[Broadcaster]]),Table1[[CC]:[Pay TV vs. Free-to-Air]],3,FALSE)</f>
        <v>Pay TV</v>
      </c>
      <c r="O61" s="1">
        <f>VLOOKUP(CONCATENATE(Broadcast_BASE[[#This Row],[Broadcast Market]],Broadcast_BASE[[#This Row],[Broadcaster]]),Table1[[CC]:[Pay TV vs. Free-to-Air]],2,FALSE)</f>
        <v>888000</v>
      </c>
      <c r="P61" s="57">
        <f>Broadcast_BASE[[#This Row],[Rolex EXP]]*86400</f>
        <v>5698.1850807704077</v>
      </c>
      <c r="Q61" s="73" t="str">
        <f>IF(Broadcast_BASE[[#This Row],[Dashboard Rated?]]="No","N","Y")</f>
        <v>N</v>
      </c>
      <c r="R61" s="81"/>
      <c r="S61" s="81"/>
    </row>
    <row r="62" spans="1:19" x14ac:dyDescent="0.25">
      <c r="A62" s="72" t="e">
        <f>#REF!</f>
        <v>#REF!</v>
      </c>
      <c r="B62" s="178" t="s">
        <v>43</v>
      </c>
      <c r="C62" s="178" t="s">
        <v>269</v>
      </c>
      <c r="D62" s="178" t="s">
        <v>1643</v>
      </c>
      <c r="E62" s="179">
        <v>3.0458796296296295</v>
      </c>
      <c r="F62" s="180">
        <v>320985</v>
      </c>
      <c r="G62" s="179">
        <v>0.25179070981041834</v>
      </c>
      <c r="H62" s="180">
        <v>61845.688013909581</v>
      </c>
      <c r="I62" s="180">
        <v>18595.816625954962</v>
      </c>
      <c r="J62" s="180" t="s">
        <v>1867</v>
      </c>
      <c r="K62" t="str">
        <f>VLOOKUP(Broadcast_BASE[[#This Row],[Broadcast Market]],Continent_Look_Up[],2,FALSE)</f>
        <v>Europe</v>
      </c>
      <c r="L62" t="str">
        <f>IF(OR(Broadcast_BASE[[#This Row],[Broadcast Continent]]="Digital",Broadcast_BASE[[#This Row],[Programme Type]]="Digital"),"Y","N")</f>
        <v>N</v>
      </c>
      <c r="M62" s="4" t="str">
        <f>IF(ISNUMBER(SEARCH("Pan ",Broadcast_BASE[[#This Row],[Broadcast Market]]))=TRUE,"Y","N")</f>
        <v>N</v>
      </c>
      <c r="N62" t="str">
        <f>VLOOKUP(CONCATENATE(Broadcast_BASE[[#This Row],[Broadcast Market]],Broadcast_BASE[[#This Row],[Broadcaster]]),Table1[[CC]:[Pay TV vs. Free-to-Air]],3,FALSE)</f>
        <v>Pay TV</v>
      </c>
      <c r="O62" s="1">
        <f>VLOOKUP(CONCATENATE(Broadcast_BASE[[#This Row],[Broadcast Market]],Broadcast_BASE[[#This Row],[Broadcaster]]),Table1[[CC]:[Pay TV vs. Free-to-Air]],2,FALSE)</f>
        <v>888000</v>
      </c>
      <c r="P62" s="57">
        <f>Broadcast_BASE[[#This Row],[Rolex EXP]]*86400</f>
        <v>21754.717327620147</v>
      </c>
      <c r="Q62" s="73" t="str">
        <f>IF(Broadcast_BASE[[#This Row],[Dashboard Rated?]]="No","N","Y")</f>
        <v>N</v>
      </c>
      <c r="R62" s="81"/>
      <c r="S62" s="81"/>
    </row>
    <row r="63" spans="1:19" x14ac:dyDescent="0.25">
      <c r="A63" s="72" t="e">
        <f>#REF!</f>
        <v>#REF!</v>
      </c>
      <c r="B63" s="178" t="s">
        <v>43</v>
      </c>
      <c r="C63" s="178" t="s">
        <v>269</v>
      </c>
      <c r="D63" s="178" t="s">
        <v>1644</v>
      </c>
      <c r="E63" s="179">
        <v>2.4179629629629633</v>
      </c>
      <c r="F63" s="180">
        <v>137591</v>
      </c>
      <c r="G63" s="179">
        <v>0.18174330250067061</v>
      </c>
      <c r="H63" s="180">
        <v>18041.857812020371</v>
      </c>
      <c r="I63" s="180">
        <v>5116.5774017354315</v>
      </c>
      <c r="J63" s="180" t="s">
        <v>1867</v>
      </c>
      <c r="K63" t="str">
        <f>VLOOKUP(Broadcast_BASE[[#This Row],[Broadcast Market]],Continent_Look_Up[],2,FALSE)</f>
        <v>Europe</v>
      </c>
      <c r="L63" t="str">
        <f>IF(OR(Broadcast_BASE[[#This Row],[Broadcast Continent]]="Digital",Broadcast_BASE[[#This Row],[Programme Type]]="Digital"),"Y","N")</f>
        <v>N</v>
      </c>
      <c r="M63" s="4" t="str">
        <f>IF(ISNUMBER(SEARCH("Pan ",Broadcast_BASE[[#This Row],[Broadcast Market]]))=TRUE,"Y","N")</f>
        <v>N</v>
      </c>
      <c r="N63" t="str">
        <f>VLOOKUP(CONCATENATE(Broadcast_BASE[[#This Row],[Broadcast Market]],Broadcast_BASE[[#This Row],[Broadcaster]]),Table1[[CC]:[Pay TV vs. Free-to-Air]],3,FALSE)</f>
        <v>Pay TV</v>
      </c>
      <c r="O63" s="1">
        <f>VLOOKUP(CONCATENATE(Broadcast_BASE[[#This Row],[Broadcast Market]],Broadcast_BASE[[#This Row],[Broadcaster]]),Table1[[CC]:[Pay TV vs. Free-to-Air]],2,FALSE)</f>
        <v>888000</v>
      </c>
      <c r="P63" s="57">
        <f>Broadcast_BASE[[#This Row],[Rolex EXP]]*86400</f>
        <v>15702.62133605794</v>
      </c>
      <c r="Q63" s="73" t="str">
        <f>IF(Broadcast_BASE[[#This Row],[Dashboard Rated?]]="No","N","Y")</f>
        <v>N</v>
      </c>
      <c r="R63" s="81"/>
      <c r="S63" s="81"/>
    </row>
    <row r="64" spans="1:19" x14ac:dyDescent="0.25">
      <c r="A64" s="72" t="e">
        <f>#REF!</f>
        <v>#REF!</v>
      </c>
      <c r="B64" s="178" t="s">
        <v>44</v>
      </c>
      <c r="C64" s="178" t="s">
        <v>268</v>
      </c>
      <c r="D64" s="178" t="s">
        <v>1642</v>
      </c>
      <c r="E64" s="179">
        <v>0.33726851851851852</v>
      </c>
      <c r="F64" s="180">
        <v>7637</v>
      </c>
      <c r="G64" s="179">
        <v>2.5189017814019568E-2</v>
      </c>
      <c r="H64" s="180">
        <v>511.1448435472131</v>
      </c>
      <c r="I64" s="180">
        <v>145.20410585609909</v>
      </c>
      <c r="J64" s="180" t="s">
        <v>1868</v>
      </c>
      <c r="K64" t="str">
        <f>VLOOKUP(Broadcast_BASE[[#This Row],[Broadcast Market]],Continent_Look_Up[],2,FALSE)</f>
        <v>Europe</v>
      </c>
      <c r="L64" t="str">
        <f>IF(OR(Broadcast_BASE[[#This Row],[Broadcast Continent]]="Digital",Broadcast_BASE[[#This Row],[Programme Type]]="Digital"),"Y","N")</f>
        <v>N</v>
      </c>
      <c r="M64" s="4" t="str">
        <f>IF(ISNUMBER(SEARCH("Pan ",Broadcast_BASE[[#This Row],[Broadcast Market]]))=TRUE,"Y","N")</f>
        <v>N</v>
      </c>
      <c r="N64" t="str">
        <f>VLOOKUP(CONCATENATE(Broadcast_BASE[[#This Row],[Broadcast Market]],Broadcast_BASE[[#This Row],[Broadcaster]]),Table1[[CC]:[Pay TV vs. Free-to-Air]],3,FALSE)</f>
        <v>Pay TV</v>
      </c>
      <c r="O64" s="1">
        <f>VLOOKUP(CONCATENATE(Broadcast_BASE[[#This Row],[Broadcast Market]],Broadcast_BASE[[#This Row],[Broadcaster]]),Table1[[CC]:[Pay TV vs. Free-to-Air]],2,FALSE)</f>
        <v>1156000</v>
      </c>
      <c r="P64" s="57">
        <f>Broadcast_BASE[[#This Row],[Rolex EXP]]*86400</f>
        <v>2176.3311391312905</v>
      </c>
      <c r="Q64" s="73" t="str">
        <f>IF(Broadcast_BASE[[#This Row],[Dashboard Rated?]]="No","N","Y")</f>
        <v>Y</v>
      </c>
      <c r="R64" s="81"/>
      <c r="S64" s="81"/>
    </row>
    <row r="65" spans="1:19" x14ac:dyDescent="0.25">
      <c r="A65" s="72" t="e">
        <f>#REF!</f>
        <v>#REF!</v>
      </c>
      <c r="B65" s="178" t="s">
        <v>44</v>
      </c>
      <c r="C65" s="178" t="s">
        <v>268</v>
      </c>
      <c r="D65" s="178" t="s">
        <v>1643</v>
      </c>
      <c r="E65" s="179">
        <v>4.7488657407407411</v>
      </c>
      <c r="F65" s="180">
        <v>481144</v>
      </c>
      <c r="G65" s="179">
        <v>0.37894327785327825</v>
      </c>
      <c r="H65" s="180">
        <v>52454.900774052621</v>
      </c>
      <c r="I65" s="180">
        <v>14690.941632029213</v>
      </c>
      <c r="J65" s="180" t="s">
        <v>1868</v>
      </c>
      <c r="K65" t="str">
        <f>VLOOKUP(Broadcast_BASE[[#This Row],[Broadcast Market]],Continent_Look_Up[],2,FALSE)</f>
        <v>Europe</v>
      </c>
      <c r="L65" t="str">
        <f>IF(OR(Broadcast_BASE[[#This Row],[Broadcast Continent]]="Digital",Broadcast_BASE[[#This Row],[Programme Type]]="Digital"),"Y","N")</f>
        <v>N</v>
      </c>
      <c r="M65" s="4" t="str">
        <f>IF(ISNUMBER(SEARCH("Pan ",Broadcast_BASE[[#This Row],[Broadcast Market]]))=TRUE,"Y","N")</f>
        <v>N</v>
      </c>
      <c r="N65" t="str">
        <f>VLOOKUP(CONCATENATE(Broadcast_BASE[[#This Row],[Broadcast Market]],Broadcast_BASE[[#This Row],[Broadcaster]]),Table1[[CC]:[Pay TV vs. Free-to-Air]],3,FALSE)</f>
        <v>Pay TV</v>
      </c>
      <c r="O65" s="1">
        <f>VLOOKUP(CONCATENATE(Broadcast_BASE[[#This Row],[Broadcast Market]],Broadcast_BASE[[#This Row],[Broadcaster]]),Table1[[CC]:[Pay TV vs. Free-to-Air]],2,FALSE)</f>
        <v>1156000</v>
      </c>
      <c r="P65" s="51">
        <f>Broadcast_BASE[[#This Row],[Rolex EXP]]*86400</f>
        <v>32740.699206523241</v>
      </c>
      <c r="Q65" s="73" t="str">
        <f>IF(Broadcast_BASE[[#This Row],[Dashboard Rated?]]="No","N","Y")</f>
        <v>Y</v>
      </c>
      <c r="R65" s="81"/>
      <c r="S65" s="81"/>
    </row>
    <row r="66" spans="1:19" x14ac:dyDescent="0.25">
      <c r="A66" s="72" t="e">
        <f>#REF!</f>
        <v>#REF!</v>
      </c>
      <c r="B66" s="178" t="s">
        <v>44</v>
      </c>
      <c r="C66" s="178" t="s">
        <v>268</v>
      </c>
      <c r="D66" s="178" t="s">
        <v>1644</v>
      </c>
      <c r="E66" s="179">
        <v>0.38276620370370368</v>
      </c>
      <c r="F66" s="180">
        <v>9498</v>
      </c>
      <c r="G66" s="179">
        <v>2.3066775902739079E-2</v>
      </c>
      <c r="H66" s="180">
        <v>1338.9577624983801</v>
      </c>
      <c r="I66" s="180">
        <v>372.58396340674915</v>
      </c>
      <c r="J66" s="180" t="s">
        <v>1868</v>
      </c>
      <c r="K66" t="str">
        <f>VLOOKUP(Broadcast_BASE[[#This Row],[Broadcast Market]],Continent_Look_Up[],2,FALSE)</f>
        <v>Europe</v>
      </c>
      <c r="L66" t="str">
        <f>IF(OR(Broadcast_BASE[[#This Row],[Broadcast Continent]]="Digital",Broadcast_BASE[[#This Row],[Programme Type]]="Digital"),"Y","N")</f>
        <v>N</v>
      </c>
      <c r="M66" s="4" t="str">
        <f>IF(ISNUMBER(SEARCH("Pan ",Broadcast_BASE[[#This Row],[Broadcast Market]]))=TRUE,"Y","N")</f>
        <v>N</v>
      </c>
      <c r="N66" t="str">
        <f>VLOOKUP(CONCATENATE(Broadcast_BASE[[#This Row],[Broadcast Market]],Broadcast_BASE[[#This Row],[Broadcaster]]),Table1[[CC]:[Pay TV vs. Free-to-Air]],3,FALSE)</f>
        <v>Pay TV</v>
      </c>
      <c r="O66" s="1">
        <f>VLOOKUP(CONCATENATE(Broadcast_BASE[[#This Row],[Broadcast Market]],Broadcast_BASE[[#This Row],[Broadcaster]]),Table1[[CC]:[Pay TV vs. Free-to-Air]],2,FALSE)</f>
        <v>1156000</v>
      </c>
      <c r="P66" s="57">
        <f>Broadcast_BASE[[#This Row],[Rolex EXP]]*86400</f>
        <v>1992.9694379966563</v>
      </c>
      <c r="Q66" s="73" t="str">
        <f>IF(Broadcast_BASE[[#This Row],[Dashboard Rated?]]="No","N","Y")</f>
        <v>Y</v>
      </c>
      <c r="R66" s="81"/>
      <c r="S66" s="81"/>
    </row>
    <row r="67" spans="1:19" x14ac:dyDescent="0.25">
      <c r="A67" s="72" t="e">
        <f>#REF!</f>
        <v>#REF!</v>
      </c>
      <c r="B67" s="178" t="s">
        <v>44</v>
      </c>
      <c r="C67" s="178" t="s">
        <v>269</v>
      </c>
      <c r="D67" s="178" t="s">
        <v>1642</v>
      </c>
      <c r="E67" s="179">
        <v>8.3009259259259255E-2</v>
      </c>
      <c r="F67" s="180">
        <v>600</v>
      </c>
      <c r="G67" s="179">
        <v>5.0847230684599306E-3</v>
      </c>
      <c r="H67" s="180">
        <v>80.089711074794153</v>
      </c>
      <c r="I67" s="180">
        <v>22.235646426367417</v>
      </c>
      <c r="J67" s="180" t="s">
        <v>1868</v>
      </c>
      <c r="K67" t="str">
        <f>VLOOKUP(Broadcast_BASE[[#This Row],[Broadcast Market]],Continent_Look_Up[],2,FALSE)</f>
        <v>Europe</v>
      </c>
      <c r="L67" t="str">
        <f>IF(OR(Broadcast_BASE[[#This Row],[Broadcast Continent]]="Digital",Broadcast_BASE[[#This Row],[Programme Type]]="Digital"),"Y","N")</f>
        <v>N</v>
      </c>
      <c r="M67" s="4" t="str">
        <f>IF(ISNUMBER(SEARCH("Pan ",Broadcast_BASE[[#This Row],[Broadcast Market]]))=TRUE,"Y","N")</f>
        <v>N</v>
      </c>
      <c r="N67" t="str">
        <f>VLOOKUP(CONCATENATE(Broadcast_BASE[[#This Row],[Broadcast Market]],Broadcast_BASE[[#This Row],[Broadcaster]]),Table1[[CC]:[Pay TV vs. Free-to-Air]],3,FALSE)</f>
        <v>Pay TV</v>
      </c>
      <c r="O67" s="1">
        <f>VLOOKUP(CONCATENATE(Broadcast_BASE[[#This Row],[Broadcast Market]],Broadcast_BASE[[#This Row],[Broadcaster]]),Table1[[CC]:[Pay TV vs. Free-to-Air]],2,FALSE)</f>
        <v>1156000</v>
      </c>
      <c r="P67" s="51">
        <f>Broadcast_BASE[[#This Row],[Rolex EXP]]*86400</f>
        <v>439.320073114938</v>
      </c>
      <c r="Q67" s="73" t="str">
        <f>IF(Broadcast_BASE[[#This Row],[Dashboard Rated?]]="No","N","Y")</f>
        <v>Y</v>
      </c>
      <c r="R67" s="81"/>
      <c r="S67" s="81"/>
    </row>
    <row r="68" spans="1:19" x14ac:dyDescent="0.25">
      <c r="A68" s="72" t="e">
        <f>#REF!</f>
        <v>#REF!</v>
      </c>
      <c r="B68" s="178" t="s">
        <v>44</v>
      </c>
      <c r="C68" s="178" t="s">
        <v>269</v>
      </c>
      <c r="D68" s="178" t="s">
        <v>1643</v>
      </c>
      <c r="E68" s="179">
        <v>2.2200000000000002</v>
      </c>
      <c r="F68" s="180">
        <v>39553</v>
      </c>
      <c r="G68" s="179">
        <v>0.1768755278420866</v>
      </c>
      <c r="H68" s="180">
        <v>12867.36889812068</v>
      </c>
      <c r="I68" s="180">
        <v>3701.728635229756</v>
      </c>
      <c r="J68" s="180" t="s">
        <v>1868</v>
      </c>
      <c r="K68" t="str">
        <f>VLOOKUP(Broadcast_BASE[[#This Row],[Broadcast Market]],Continent_Look_Up[],2,FALSE)</f>
        <v>Europe</v>
      </c>
      <c r="L68" t="str">
        <f>IF(OR(Broadcast_BASE[[#This Row],[Broadcast Continent]]="Digital",Broadcast_BASE[[#This Row],[Programme Type]]="Digital"),"Y","N")</f>
        <v>N</v>
      </c>
      <c r="M68" s="4" t="str">
        <f>IF(ISNUMBER(SEARCH("Pan ",Broadcast_BASE[[#This Row],[Broadcast Market]]))=TRUE,"Y","N")</f>
        <v>N</v>
      </c>
      <c r="N68" t="str">
        <f>VLOOKUP(CONCATENATE(Broadcast_BASE[[#This Row],[Broadcast Market]],Broadcast_BASE[[#This Row],[Broadcaster]]),Table1[[CC]:[Pay TV vs. Free-to-Air]],3,FALSE)</f>
        <v>Pay TV</v>
      </c>
      <c r="O68" s="1">
        <f>VLOOKUP(CONCATENATE(Broadcast_BASE[[#This Row],[Broadcast Market]],Broadcast_BASE[[#This Row],[Broadcaster]]),Table1[[CC]:[Pay TV vs. Free-to-Air]],2,FALSE)</f>
        <v>1156000</v>
      </c>
      <c r="P68" s="51">
        <f>Broadcast_BASE[[#This Row],[Rolex EXP]]*86400</f>
        <v>15282.045605556283</v>
      </c>
      <c r="Q68" s="73" t="str">
        <f>IF(Broadcast_BASE[[#This Row],[Dashboard Rated?]]="No","N","Y")</f>
        <v>Y</v>
      </c>
      <c r="R68" s="81"/>
      <c r="S68" s="81"/>
    </row>
    <row r="69" spans="1:19" x14ac:dyDescent="0.25">
      <c r="A69" s="72" t="e">
        <f>#REF!</f>
        <v>#REF!</v>
      </c>
      <c r="B69" s="178" t="s">
        <v>44</v>
      </c>
      <c r="C69" s="178" t="s">
        <v>269</v>
      </c>
      <c r="D69" s="178" t="s">
        <v>1644</v>
      </c>
      <c r="E69" s="179">
        <v>1.0430439814814816</v>
      </c>
      <c r="F69" s="180">
        <v>8045</v>
      </c>
      <c r="G69" s="179">
        <v>7.6916234344702877E-2</v>
      </c>
      <c r="H69" s="180">
        <v>2665.4148999560789</v>
      </c>
      <c r="I69" s="180">
        <v>726.55645179456008</v>
      </c>
      <c r="J69" s="180" t="s">
        <v>1868</v>
      </c>
      <c r="K69" t="str">
        <f>VLOOKUP(Broadcast_BASE[[#This Row],[Broadcast Market]],Continent_Look_Up[],2,FALSE)</f>
        <v>Europe</v>
      </c>
      <c r="L69" t="str">
        <f>IF(OR(Broadcast_BASE[[#This Row],[Broadcast Continent]]="Digital",Broadcast_BASE[[#This Row],[Programme Type]]="Digital"),"Y","N")</f>
        <v>N</v>
      </c>
      <c r="M69" s="4" t="str">
        <f>IF(ISNUMBER(SEARCH("Pan ",Broadcast_BASE[[#This Row],[Broadcast Market]]))=TRUE,"Y","N")</f>
        <v>N</v>
      </c>
      <c r="N69" t="str">
        <f>VLOOKUP(CONCATENATE(Broadcast_BASE[[#This Row],[Broadcast Market]],Broadcast_BASE[[#This Row],[Broadcaster]]),Table1[[CC]:[Pay TV vs. Free-to-Air]],3,FALSE)</f>
        <v>Pay TV</v>
      </c>
      <c r="O69" s="1">
        <f>VLOOKUP(CONCATENATE(Broadcast_BASE[[#This Row],[Broadcast Market]],Broadcast_BASE[[#This Row],[Broadcaster]]),Table1[[CC]:[Pay TV vs. Free-to-Air]],2,FALSE)</f>
        <v>1156000</v>
      </c>
      <c r="P69" s="51">
        <f>Broadcast_BASE[[#This Row],[Rolex EXP]]*86400</f>
        <v>6645.5626473823286</v>
      </c>
      <c r="Q69" s="73" t="str">
        <f>IF(Broadcast_BASE[[#This Row],[Dashboard Rated?]]="No","N","Y")</f>
        <v>Y</v>
      </c>
      <c r="R69" s="81"/>
      <c r="S69" s="81"/>
    </row>
    <row r="70" spans="1:19" x14ac:dyDescent="0.25">
      <c r="A70" s="72" t="e">
        <f>#REF!</f>
        <v>#REF!</v>
      </c>
      <c r="B70" s="178" t="s">
        <v>53</v>
      </c>
      <c r="C70" s="178" t="s">
        <v>268</v>
      </c>
      <c r="D70" s="178" t="s">
        <v>1642</v>
      </c>
      <c r="E70" s="179">
        <v>0.22679398148148147</v>
      </c>
      <c r="F70" s="180">
        <v>1147</v>
      </c>
      <c r="G70" s="179">
        <v>1.4173559417754276E-2</v>
      </c>
      <c r="H70" s="180">
        <v>120.16375281884514</v>
      </c>
      <c r="I70" s="180">
        <v>33.297529075041368</v>
      </c>
      <c r="J70" s="180" t="s">
        <v>1868</v>
      </c>
      <c r="K70" t="str">
        <f>VLOOKUP(Broadcast_BASE[[#This Row],[Broadcast Market]],Continent_Look_Up[],2,FALSE)</f>
        <v>Europe</v>
      </c>
      <c r="L70" t="str">
        <f>IF(OR(Broadcast_BASE[[#This Row],[Broadcast Continent]]="Digital",Broadcast_BASE[[#This Row],[Programme Type]]="Digital"),"Y","N")</f>
        <v>N</v>
      </c>
      <c r="M70" s="4" t="str">
        <f>IF(ISNUMBER(SEARCH("Pan ",Broadcast_BASE[[#This Row],[Broadcast Market]]))=TRUE,"Y","N")</f>
        <v>N</v>
      </c>
      <c r="N70" t="str">
        <f>VLOOKUP(CONCATENATE(Broadcast_BASE[[#This Row],[Broadcast Market]],Broadcast_BASE[[#This Row],[Broadcaster]]),Table1[[CC]:[Pay TV vs. Free-to-Air]],3,FALSE)</f>
        <v>Pay TV</v>
      </c>
      <c r="O70" s="1">
        <f>VLOOKUP(CONCATENATE(Broadcast_BASE[[#This Row],[Broadcast Market]],Broadcast_BASE[[#This Row],[Broadcaster]]),Table1[[CC]:[Pay TV vs. Free-to-Air]],2,FALSE)</f>
        <v>571000</v>
      </c>
      <c r="P70" s="51">
        <f>Broadcast_BASE[[#This Row],[Rolex EXP]]*86400</f>
        <v>1224.5955336939694</v>
      </c>
      <c r="Q70" s="73" t="str">
        <f>IF(Broadcast_BASE[[#This Row],[Dashboard Rated?]]="No","N","Y")</f>
        <v>Y</v>
      </c>
      <c r="R70" s="81"/>
      <c r="S70" s="81"/>
    </row>
    <row r="71" spans="1:19" x14ac:dyDescent="0.25">
      <c r="A71" s="72" t="e">
        <f>#REF!</f>
        <v>#REF!</v>
      </c>
      <c r="B71" s="178" t="s">
        <v>53</v>
      </c>
      <c r="C71" s="178" t="s">
        <v>268</v>
      </c>
      <c r="D71" s="178" t="s">
        <v>1643</v>
      </c>
      <c r="E71" s="179">
        <v>5.4708796296296294</v>
      </c>
      <c r="F71" s="180">
        <v>217292</v>
      </c>
      <c r="G71" s="179">
        <v>0.43859436247720818</v>
      </c>
      <c r="H71" s="180">
        <v>75810.16607158455</v>
      </c>
      <c r="I71" s="180">
        <v>21645.206943030513</v>
      </c>
      <c r="J71" s="180" t="s">
        <v>1868</v>
      </c>
      <c r="K71" t="str">
        <f>VLOOKUP(Broadcast_BASE[[#This Row],[Broadcast Market]],Continent_Look_Up[],2,FALSE)</f>
        <v>Europe</v>
      </c>
      <c r="L71" t="str">
        <f>IF(OR(Broadcast_BASE[[#This Row],[Broadcast Continent]]="Digital",Broadcast_BASE[[#This Row],[Programme Type]]="Digital"),"Y","N")</f>
        <v>N</v>
      </c>
      <c r="M71" s="4" t="str">
        <f>IF(ISNUMBER(SEARCH("Pan ",Broadcast_BASE[[#This Row],[Broadcast Market]]))=TRUE,"Y","N")</f>
        <v>N</v>
      </c>
      <c r="N71" t="str">
        <f>VLOOKUP(CONCATENATE(Broadcast_BASE[[#This Row],[Broadcast Market]],Broadcast_BASE[[#This Row],[Broadcaster]]),Table1[[CC]:[Pay TV vs. Free-to-Air]],3,FALSE)</f>
        <v>Pay TV</v>
      </c>
      <c r="O71" s="1">
        <f>VLOOKUP(CONCATENATE(Broadcast_BASE[[#This Row],[Broadcast Market]],Broadcast_BASE[[#This Row],[Broadcaster]]),Table1[[CC]:[Pay TV vs. Free-to-Air]],2,FALSE)</f>
        <v>571000</v>
      </c>
      <c r="P71" s="51">
        <f>Broadcast_BASE[[#This Row],[Rolex EXP]]*86400</f>
        <v>37894.552918030786</v>
      </c>
      <c r="Q71" s="73" t="str">
        <f>IF(Broadcast_BASE[[#This Row],[Dashboard Rated?]]="No","N","Y")</f>
        <v>Y</v>
      </c>
      <c r="R71" s="81"/>
      <c r="S71" s="81"/>
    </row>
    <row r="72" spans="1:19" x14ac:dyDescent="0.25">
      <c r="A72" s="72" t="e">
        <f>#REF!</f>
        <v>#REF!</v>
      </c>
      <c r="B72" s="178" t="s">
        <v>53</v>
      </c>
      <c r="C72" s="178" t="s">
        <v>268</v>
      </c>
      <c r="D72" s="178" t="s">
        <v>1644</v>
      </c>
      <c r="E72" s="179">
        <v>1.2572916666666667</v>
      </c>
      <c r="F72" s="180">
        <v>35294</v>
      </c>
      <c r="G72" s="179">
        <v>0.10287640668623231</v>
      </c>
      <c r="H72" s="180">
        <v>10601.005864317922</v>
      </c>
      <c r="I72" s="180">
        <v>3091.3200556663583</v>
      </c>
      <c r="J72" s="180" t="s">
        <v>1868</v>
      </c>
      <c r="K72" t="str">
        <f>VLOOKUP(Broadcast_BASE[[#This Row],[Broadcast Market]],Continent_Look_Up[],2,FALSE)</f>
        <v>Europe</v>
      </c>
      <c r="L72" t="str">
        <f>IF(OR(Broadcast_BASE[[#This Row],[Broadcast Continent]]="Digital",Broadcast_BASE[[#This Row],[Programme Type]]="Digital"),"Y","N")</f>
        <v>N</v>
      </c>
      <c r="M72" s="4" t="str">
        <f>IF(ISNUMBER(SEARCH("Pan ",Broadcast_BASE[[#This Row],[Broadcast Market]]))=TRUE,"Y","N")</f>
        <v>N</v>
      </c>
      <c r="N72" t="str">
        <f>VLOOKUP(CONCATENATE(Broadcast_BASE[[#This Row],[Broadcast Market]],Broadcast_BASE[[#This Row],[Broadcaster]]),Table1[[CC]:[Pay TV vs. Free-to-Air]],3,FALSE)</f>
        <v>Pay TV</v>
      </c>
      <c r="O72" s="1">
        <f>VLOOKUP(CONCATENATE(Broadcast_BASE[[#This Row],[Broadcast Market]],Broadcast_BASE[[#This Row],[Broadcaster]]),Table1[[CC]:[Pay TV vs. Free-to-Air]],2,FALSE)</f>
        <v>571000</v>
      </c>
      <c r="P72" s="57">
        <f>Broadcast_BASE[[#This Row],[Rolex EXP]]*86400</f>
        <v>8888.5215376904725</v>
      </c>
      <c r="Q72" s="73" t="str">
        <f>IF(Broadcast_BASE[[#This Row],[Dashboard Rated?]]="No","N","Y")</f>
        <v>Y</v>
      </c>
      <c r="R72" s="81"/>
      <c r="S72" s="81"/>
    </row>
    <row r="73" spans="1:19" x14ac:dyDescent="0.25">
      <c r="A73" s="72" t="e">
        <f>#REF!</f>
        <v>#REF!</v>
      </c>
      <c r="B73" s="178" t="s">
        <v>53</v>
      </c>
      <c r="C73" s="178" t="s">
        <v>269</v>
      </c>
      <c r="D73" s="178" t="s">
        <v>1642</v>
      </c>
      <c r="E73" s="179">
        <v>0.78314814814814815</v>
      </c>
      <c r="F73" s="180">
        <v>713</v>
      </c>
      <c r="G73" s="179">
        <v>6.2095352544683007E-2</v>
      </c>
      <c r="H73" s="180">
        <v>96.114530715906525</v>
      </c>
      <c r="I73" s="180">
        <v>27.725301565717277</v>
      </c>
      <c r="J73" s="180" t="s">
        <v>1867</v>
      </c>
      <c r="K73" t="str">
        <f>VLOOKUP(Broadcast_BASE[[#This Row],[Broadcast Market]],Continent_Look_Up[],2,FALSE)</f>
        <v>Europe</v>
      </c>
      <c r="L73" t="str">
        <f>IF(OR(Broadcast_BASE[[#This Row],[Broadcast Continent]]="Digital",Broadcast_BASE[[#This Row],[Programme Type]]="Digital"),"Y","N")</f>
        <v>N</v>
      </c>
      <c r="M73" s="4" t="str">
        <f>IF(ISNUMBER(SEARCH("Pan ",Broadcast_BASE[[#This Row],[Broadcast Market]]))=TRUE,"Y","N")</f>
        <v>N</v>
      </c>
      <c r="N73" t="str">
        <f>VLOOKUP(CONCATENATE(Broadcast_BASE[[#This Row],[Broadcast Market]],Broadcast_BASE[[#This Row],[Broadcaster]]),Table1[[CC]:[Pay TV vs. Free-to-Air]],3,FALSE)</f>
        <v>Pay TV</v>
      </c>
      <c r="O73" s="1">
        <f>VLOOKUP(CONCATENATE(Broadcast_BASE[[#This Row],[Broadcast Market]],Broadcast_BASE[[#This Row],[Broadcaster]]),Table1[[CC]:[Pay TV vs. Free-to-Air]],2,FALSE)</f>
        <v>90000</v>
      </c>
      <c r="P73" s="57">
        <f>Broadcast_BASE[[#This Row],[Rolex EXP]]*86400</f>
        <v>5365.0384598606115</v>
      </c>
      <c r="Q73" s="73" t="str">
        <f>IF(Broadcast_BASE[[#This Row],[Dashboard Rated?]]="No","N","Y")</f>
        <v>N</v>
      </c>
      <c r="R73" s="81"/>
      <c r="S73" s="81"/>
    </row>
    <row r="74" spans="1:19" x14ac:dyDescent="0.25">
      <c r="A74" s="72" t="e">
        <f>#REF!</f>
        <v>#REF!</v>
      </c>
      <c r="B74" s="178" t="s">
        <v>53</v>
      </c>
      <c r="C74" s="178" t="s">
        <v>269</v>
      </c>
      <c r="D74" s="178" t="s">
        <v>1643</v>
      </c>
      <c r="E74" s="179">
        <v>3.1011689814814818</v>
      </c>
      <c r="F74" s="180">
        <v>35756</v>
      </c>
      <c r="G74" s="179">
        <v>0.25564657347835579</v>
      </c>
      <c r="H74" s="180">
        <v>10094.830840557748</v>
      </c>
      <c r="I74" s="180">
        <v>3040.3506758650551</v>
      </c>
      <c r="J74" s="180" t="s">
        <v>1867</v>
      </c>
      <c r="K74" t="str">
        <f>VLOOKUP(Broadcast_BASE[[#This Row],[Broadcast Market]],Continent_Look_Up[],2,FALSE)</f>
        <v>Europe</v>
      </c>
      <c r="L74" t="str">
        <f>IF(OR(Broadcast_BASE[[#This Row],[Broadcast Continent]]="Digital",Broadcast_BASE[[#This Row],[Programme Type]]="Digital"),"Y","N")</f>
        <v>N</v>
      </c>
      <c r="M74" s="4" t="str">
        <f>IF(ISNUMBER(SEARCH("Pan ",Broadcast_BASE[[#This Row],[Broadcast Market]]))=TRUE,"Y","N")</f>
        <v>N</v>
      </c>
      <c r="N74" t="str">
        <f>VLOOKUP(CONCATENATE(Broadcast_BASE[[#This Row],[Broadcast Market]],Broadcast_BASE[[#This Row],[Broadcaster]]),Table1[[CC]:[Pay TV vs. Free-to-Air]],3,FALSE)</f>
        <v>Pay TV</v>
      </c>
      <c r="O74" s="1">
        <f>VLOOKUP(CONCATENATE(Broadcast_BASE[[#This Row],[Broadcast Market]],Broadcast_BASE[[#This Row],[Broadcaster]]),Table1[[CC]:[Pay TV vs. Free-to-Air]],2,FALSE)</f>
        <v>90000</v>
      </c>
      <c r="P74" s="57">
        <f>Broadcast_BASE[[#This Row],[Rolex EXP]]*86400</f>
        <v>22087.863948529939</v>
      </c>
      <c r="Q74" s="73" t="str">
        <f>IF(Broadcast_BASE[[#This Row],[Dashboard Rated?]]="No","N","Y")</f>
        <v>N</v>
      </c>
      <c r="R74" s="81"/>
      <c r="S74" s="81"/>
    </row>
    <row r="75" spans="1:19" x14ac:dyDescent="0.25">
      <c r="A75" s="72" t="e">
        <f>#REF!</f>
        <v>#REF!</v>
      </c>
      <c r="B75" s="178" t="s">
        <v>53</v>
      </c>
      <c r="C75" s="178" t="s">
        <v>269</v>
      </c>
      <c r="D75" s="178" t="s">
        <v>1644</v>
      </c>
      <c r="E75" s="179">
        <v>2.4179629629629633</v>
      </c>
      <c r="F75" s="180">
        <v>18770</v>
      </c>
      <c r="G75" s="179">
        <v>0.18174330250067053</v>
      </c>
      <c r="H75" s="180">
        <v>4154.4251844649998</v>
      </c>
      <c r="I75" s="180">
        <v>1178.1776802924962</v>
      </c>
      <c r="J75" s="180" t="s">
        <v>1867</v>
      </c>
      <c r="K75" t="str">
        <f>VLOOKUP(Broadcast_BASE[[#This Row],[Broadcast Market]],Continent_Look_Up[],2,FALSE)</f>
        <v>Europe</v>
      </c>
      <c r="L75" t="str">
        <f>IF(OR(Broadcast_BASE[[#This Row],[Broadcast Continent]]="Digital",Broadcast_BASE[[#This Row],[Programme Type]]="Digital"),"Y","N")</f>
        <v>N</v>
      </c>
      <c r="M75" s="4" t="str">
        <f>IF(ISNUMBER(SEARCH("Pan ",Broadcast_BASE[[#This Row],[Broadcast Market]]))=TRUE,"Y","N")</f>
        <v>N</v>
      </c>
      <c r="N75" t="str">
        <f>VLOOKUP(CONCATENATE(Broadcast_BASE[[#This Row],[Broadcast Market]],Broadcast_BASE[[#This Row],[Broadcaster]]),Table1[[CC]:[Pay TV vs. Free-to-Air]],3,FALSE)</f>
        <v>Pay TV</v>
      </c>
      <c r="O75" s="1">
        <f>VLOOKUP(CONCATENATE(Broadcast_BASE[[#This Row],[Broadcast Market]],Broadcast_BASE[[#This Row],[Broadcaster]]),Table1[[CC]:[Pay TV vs. Free-to-Air]],2,FALSE)</f>
        <v>90000</v>
      </c>
      <c r="P75" s="57">
        <f>Broadcast_BASE[[#This Row],[Rolex EXP]]*86400</f>
        <v>15702.621336057933</v>
      </c>
      <c r="Q75" s="73" t="str">
        <f>IF(Broadcast_BASE[[#This Row],[Dashboard Rated?]]="No","N","Y")</f>
        <v>N</v>
      </c>
      <c r="R75" s="81"/>
      <c r="S75" s="81"/>
    </row>
    <row r="76" spans="1:19" x14ac:dyDescent="0.25">
      <c r="A76" s="72" t="e">
        <f>#REF!</f>
        <v>#REF!</v>
      </c>
      <c r="B76" s="178" t="s">
        <v>53</v>
      </c>
      <c r="C76" s="178" t="s">
        <v>684</v>
      </c>
      <c r="D76" s="178" t="s">
        <v>1643</v>
      </c>
      <c r="E76" s="179">
        <v>0.20078703703703704</v>
      </c>
      <c r="F76" s="180">
        <v>63900</v>
      </c>
      <c r="G76" s="179">
        <v>1.1787793026503708E-2</v>
      </c>
      <c r="H76" s="180">
        <v>18905.888799964727</v>
      </c>
      <c r="I76" s="180">
        <v>5565.3973104092829</v>
      </c>
      <c r="J76" s="180" t="s">
        <v>1868</v>
      </c>
      <c r="K76" t="str">
        <f>VLOOKUP(Broadcast_BASE[[#This Row],[Broadcast Market]],Continent_Look_Up[],2,FALSE)</f>
        <v>Europe</v>
      </c>
      <c r="L76" t="str">
        <f>IF(OR(Broadcast_BASE[[#This Row],[Broadcast Continent]]="Digital",Broadcast_BASE[[#This Row],[Programme Type]]="Digital"),"Y","N")</f>
        <v>N</v>
      </c>
      <c r="M76" s="4" t="str">
        <f>IF(ISNUMBER(SEARCH("Pan ",Broadcast_BASE[[#This Row],[Broadcast Market]]))=TRUE,"Y","N")</f>
        <v>N</v>
      </c>
      <c r="N76" t="str">
        <f>VLOOKUP(CONCATENATE(Broadcast_BASE[[#This Row],[Broadcast Market]],Broadcast_BASE[[#This Row],[Broadcaster]]),Table1[[CC]:[Pay TV vs. Free-to-Air]],3,FALSE)</f>
        <v>Free-to-Air</v>
      </c>
      <c r="O76" s="1">
        <f>VLOOKUP(CONCATENATE(Broadcast_BASE[[#This Row],[Broadcast Market]],Broadcast_BASE[[#This Row],[Broadcaster]]),Table1[[CC]:[Pay TV vs. Free-to-Air]],2,FALSE)</f>
        <v>2325702</v>
      </c>
      <c r="P76" s="51">
        <f>Broadcast_BASE[[#This Row],[Rolex EXP]]*86400</f>
        <v>1018.4653174899204</v>
      </c>
      <c r="Q76" s="73" t="str">
        <f>IF(Broadcast_BASE[[#This Row],[Dashboard Rated?]]="No","N","Y")</f>
        <v>Y</v>
      </c>
      <c r="R76" s="81"/>
      <c r="S76" s="81"/>
    </row>
    <row r="77" spans="1:19" x14ac:dyDescent="0.25">
      <c r="A77" s="72" t="e">
        <f>#REF!</f>
        <v>#REF!</v>
      </c>
      <c r="B77" s="178" t="s">
        <v>54</v>
      </c>
      <c r="C77" s="178" t="s">
        <v>268</v>
      </c>
      <c r="D77" s="178" t="s">
        <v>1642</v>
      </c>
      <c r="E77" s="179">
        <v>0.97916666666666663</v>
      </c>
      <c r="F77" s="180">
        <v>76308</v>
      </c>
      <c r="G77" s="179">
        <v>6.0216406041846172E-2</v>
      </c>
      <c r="H77" s="180">
        <v>6083.2388869040369</v>
      </c>
      <c r="I77" s="180">
        <v>1688.1771881741126</v>
      </c>
      <c r="J77" s="180" t="s">
        <v>1867</v>
      </c>
      <c r="K77" t="str">
        <f>VLOOKUP(Broadcast_BASE[[#This Row],[Broadcast Market]],Continent_Look_Up[],2,FALSE)</f>
        <v>Europe</v>
      </c>
      <c r="L77" t="str">
        <f>IF(OR(Broadcast_BASE[[#This Row],[Broadcast Continent]]="Digital",Broadcast_BASE[[#This Row],[Programme Type]]="Digital"),"Y","N")</f>
        <v>N</v>
      </c>
      <c r="M77" s="4" t="str">
        <f>IF(ISNUMBER(SEARCH("Pan ",Broadcast_BASE[[#This Row],[Broadcast Market]]))=TRUE,"Y","N")</f>
        <v>N</v>
      </c>
      <c r="N77" t="str">
        <f>VLOOKUP(CONCATENATE(Broadcast_BASE[[#This Row],[Broadcast Market]],Broadcast_BASE[[#This Row],[Broadcaster]]),Table1[[CC]:[Pay TV vs. Free-to-Air]],3,FALSE)</f>
        <v>Pay TV</v>
      </c>
      <c r="O77" s="1">
        <f>VLOOKUP(CONCATENATE(Broadcast_BASE[[#This Row],[Broadcast Market]],Broadcast_BASE[[#This Row],[Broadcaster]]),Table1[[CC]:[Pay TV vs. Free-to-Air]],2,FALSE)</f>
        <v>7446000</v>
      </c>
      <c r="P77" s="51">
        <f>Broadcast_BASE[[#This Row],[Rolex EXP]]*86400</f>
        <v>5202.6974820155092</v>
      </c>
      <c r="Q77" s="73" t="str">
        <f>IF(Broadcast_BASE[[#This Row],[Dashboard Rated?]]="No","N","Y")</f>
        <v>N</v>
      </c>
      <c r="R77" s="81"/>
      <c r="S77" s="81"/>
    </row>
    <row r="78" spans="1:19" x14ac:dyDescent="0.25">
      <c r="A78" s="72" t="e">
        <f>#REF!</f>
        <v>#REF!</v>
      </c>
      <c r="B78" s="178" t="s">
        <v>54</v>
      </c>
      <c r="C78" s="178" t="s">
        <v>268</v>
      </c>
      <c r="D78" s="178" t="s">
        <v>1643</v>
      </c>
      <c r="E78" s="179">
        <v>6.2222222222222223</v>
      </c>
      <c r="F78" s="180">
        <v>598810</v>
      </c>
      <c r="G78" s="179">
        <v>0.40117112229878987</v>
      </c>
      <c r="H78" s="180">
        <v>96191.759767636555</v>
      </c>
      <c r="I78" s="180">
        <v>27056.464138629915</v>
      </c>
      <c r="J78" s="180" t="s">
        <v>1867</v>
      </c>
      <c r="K78" t="str">
        <f>VLOOKUP(Broadcast_BASE[[#This Row],[Broadcast Market]],Continent_Look_Up[],2,FALSE)</f>
        <v>Europe</v>
      </c>
      <c r="L78" t="str">
        <f>IF(OR(Broadcast_BASE[[#This Row],[Broadcast Continent]]="Digital",Broadcast_BASE[[#This Row],[Programme Type]]="Digital"),"Y","N")</f>
        <v>N</v>
      </c>
      <c r="M78" s="4" t="str">
        <f>IF(ISNUMBER(SEARCH("Pan ",Broadcast_BASE[[#This Row],[Broadcast Market]]))=TRUE,"Y","N")</f>
        <v>N</v>
      </c>
      <c r="N78" t="str">
        <f>VLOOKUP(CONCATENATE(Broadcast_BASE[[#This Row],[Broadcast Market]],Broadcast_BASE[[#This Row],[Broadcaster]]),Table1[[CC]:[Pay TV vs. Free-to-Air]],3,FALSE)</f>
        <v>Pay TV</v>
      </c>
      <c r="O78" s="1">
        <f>VLOOKUP(CONCATENATE(Broadcast_BASE[[#This Row],[Broadcast Market]],Broadcast_BASE[[#This Row],[Broadcaster]]),Table1[[CC]:[Pay TV vs. Free-to-Air]],2,FALSE)</f>
        <v>7446000</v>
      </c>
      <c r="P78" s="57">
        <f>Broadcast_BASE[[#This Row],[Rolex EXP]]*86400</f>
        <v>34661.184966615445</v>
      </c>
      <c r="Q78" s="73" t="str">
        <f>IF(Broadcast_BASE[[#This Row],[Dashboard Rated?]]="No","N","Y")</f>
        <v>N</v>
      </c>
      <c r="R78" s="81"/>
      <c r="S78" s="81"/>
    </row>
    <row r="79" spans="1:19" x14ac:dyDescent="0.25">
      <c r="A79" s="72" t="e">
        <f>#REF!</f>
        <v>#REF!</v>
      </c>
      <c r="B79" s="178" t="s">
        <v>54</v>
      </c>
      <c r="C79" s="178" t="s">
        <v>268</v>
      </c>
      <c r="D79" s="178" t="s">
        <v>1644</v>
      </c>
      <c r="E79" s="179">
        <v>1.9124999999999999</v>
      </c>
      <c r="F79" s="180">
        <v>91323</v>
      </c>
      <c r="G79" s="179">
        <v>0.11714997766764067</v>
      </c>
      <c r="H79" s="180">
        <v>11740.141886211522</v>
      </c>
      <c r="I79" s="180">
        <v>3259.4654228855529</v>
      </c>
      <c r="J79" s="180" t="s">
        <v>1867</v>
      </c>
      <c r="K79" t="str">
        <f>VLOOKUP(Broadcast_BASE[[#This Row],[Broadcast Market]],Continent_Look_Up[],2,FALSE)</f>
        <v>Europe</v>
      </c>
      <c r="L79" t="str">
        <f>IF(OR(Broadcast_BASE[[#This Row],[Broadcast Continent]]="Digital",Broadcast_BASE[[#This Row],[Programme Type]]="Digital"),"Y","N")</f>
        <v>N</v>
      </c>
      <c r="M79" s="4" t="str">
        <f>IF(ISNUMBER(SEARCH("Pan ",Broadcast_BASE[[#This Row],[Broadcast Market]]))=TRUE,"Y","N")</f>
        <v>N</v>
      </c>
      <c r="N79" t="str">
        <f>VLOOKUP(CONCATENATE(Broadcast_BASE[[#This Row],[Broadcast Market]],Broadcast_BASE[[#This Row],[Broadcaster]]),Table1[[CC]:[Pay TV vs. Free-to-Air]],3,FALSE)</f>
        <v>Pay TV</v>
      </c>
      <c r="O79" s="1">
        <f>VLOOKUP(CONCATENATE(Broadcast_BASE[[#This Row],[Broadcast Market]],Broadcast_BASE[[#This Row],[Broadcaster]]),Table1[[CC]:[Pay TV vs. Free-to-Air]],2,FALSE)</f>
        <v>7446000</v>
      </c>
      <c r="P79" s="57">
        <f>Broadcast_BASE[[#This Row],[Rolex EXP]]*86400</f>
        <v>10121.758070484153</v>
      </c>
      <c r="Q79" s="73" t="str">
        <f>IF(Broadcast_BASE[[#This Row],[Dashboard Rated?]]="No","N","Y")</f>
        <v>N</v>
      </c>
      <c r="R79" s="81"/>
      <c r="S79" s="81"/>
    </row>
    <row r="80" spans="1:19" x14ac:dyDescent="0.25">
      <c r="A80" s="72" t="e">
        <f>#REF!</f>
        <v>#REF!</v>
      </c>
      <c r="B80" s="178" t="s">
        <v>54</v>
      </c>
      <c r="C80" s="178" t="s">
        <v>269</v>
      </c>
      <c r="D80" s="178" t="s">
        <v>1642</v>
      </c>
      <c r="E80" s="179">
        <v>1.1145833333333333</v>
      </c>
      <c r="F80" s="180">
        <v>97281</v>
      </c>
      <c r="G80" s="179">
        <v>6.8273679795411518E-2</v>
      </c>
      <c r="H80" s="180">
        <v>8247.0280192542177</v>
      </c>
      <c r="I80" s="180">
        <v>2289.6573934850262</v>
      </c>
      <c r="J80" s="180" t="s">
        <v>1867</v>
      </c>
      <c r="K80" t="str">
        <f>VLOOKUP(Broadcast_BASE[[#This Row],[Broadcast Market]],Continent_Look_Up[],2,FALSE)</f>
        <v>Europe</v>
      </c>
      <c r="L80" t="str">
        <f>IF(OR(Broadcast_BASE[[#This Row],[Broadcast Continent]]="Digital",Broadcast_BASE[[#This Row],[Programme Type]]="Digital"),"Y","N")</f>
        <v>N</v>
      </c>
      <c r="M80" s="4" t="str">
        <f>IF(ISNUMBER(SEARCH("Pan ",Broadcast_BASE[[#This Row],[Broadcast Market]]))=TRUE,"Y","N")</f>
        <v>N</v>
      </c>
      <c r="N80" t="str">
        <f>VLOOKUP(CONCATENATE(Broadcast_BASE[[#This Row],[Broadcast Market]],Broadcast_BASE[[#This Row],[Broadcaster]]),Table1[[CC]:[Pay TV vs. Free-to-Air]],3,FALSE)</f>
        <v>Pay TV</v>
      </c>
      <c r="O80" s="1">
        <f>VLOOKUP(CONCATENATE(Broadcast_BASE[[#This Row],[Broadcast Market]],Broadcast_BASE[[#This Row],[Broadcaster]]),Table1[[CC]:[Pay TV vs. Free-to-Air]],2,FALSE)</f>
        <v>5286000</v>
      </c>
      <c r="P80" s="51">
        <f>Broadcast_BASE[[#This Row],[Rolex EXP]]*86400</f>
        <v>5898.8459343235554</v>
      </c>
      <c r="Q80" s="73" t="str">
        <f>IF(Broadcast_BASE[[#This Row],[Dashboard Rated?]]="No","N","Y")</f>
        <v>N</v>
      </c>
      <c r="R80" s="81"/>
      <c r="S80" s="81"/>
    </row>
    <row r="81" spans="1:19" x14ac:dyDescent="0.25">
      <c r="A81" s="72" t="e">
        <f>#REF!</f>
        <v>#REF!</v>
      </c>
      <c r="B81" s="178" t="s">
        <v>54</v>
      </c>
      <c r="C81" s="178" t="s">
        <v>269</v>
      </c>
      <c r="D81" s="178" t="s">
        <v>1643</v>
      </c>
      <c r="E81" s="179">
        <v>4.0625</v>
      </c>
      <c r="F81" s="180">
        <v>439298</v>
      </c>
      <c r="G81" s="179">
        <v>0.24884799177766814</v>
      </c>
      <c r="H81" s="180">
        <v>73746.747523401456</v>
      </c>
      <c r="I81" s="180">
        <v>20474.622532893904</v>
      </c>
      <c r="J81" s="180" t="s">
        <v>1867</v>
      </c>
      <c r="K81" t="str">
        <f>VLOOKUP(Broadcast_BASE[[#This Row],[Broadcast Market]],Continent_Look_Up[],2,FALSE)</f>
        <v>Europe</v>
      </c>
      <c r="L81" t="str">
        <f>IF(OR(Broadcast_BASE[[#This Row],[Broadcast Continent]]="Digital",Broadcast_BASE[[#This Row],[Programme Type]]="Digital"),"Y","N")</f>
        <v>N</v>
      </c>
      <c r="M81" s="4" t="str">
        <f>IF(ISNUMBER(SEARCH("Pan ",Broadcast_BASE[[#This Row],[Broadcast Market]]))=TRUE,"Y","N")</f>
        <v>N</v>
      </c>
      <c r="N81" t="str">
        <f>VLOOKUP(CONCATENATE(Broadcast_BASE[[#This Row],[Broadcast Market]],Broadcast_BASE[[#This Row],[Broadcaster]]),Table1[[CC]:[Pay TV vs. Free-to-Air]],3,FALSE)</f>
        <v>Pay TV</v>
      </c>
      <c r="O81" s="1">
        <f>VLOOKUP(CONCATENATE(Broadcast_BASE[[#This Row],[Broadcast Market]],Broadcast_BASE[[#This Row],[Broadcaster]]),Table1[[CC]:[Pay TV vs. Free-to-Air]],2,FALSE)</f>
        <v>5286000</v>
      </c>
      <c r="P81" s="51">
        <f>Broadcast_BASE[[#This Row],[Rolex EXP]]*86400</f>
        <v>21500.466489590526</v>
      </c>
      <c r="Q81" s="73" t="str">
        <f>IF(Broadcast_BASE[[#This Row],[Dashboard Rated?]]="No","N","Y")</f>
        <v>N</v>
      </c>
      <c r="R81" s="81"/>
      <c r="S81" s="81"/>
    </row>
    <row r="82" spans="1:19" x14ac:dyDescent="0.25">
      <c r="A82" s="72" t="e">
        <f>#REF!</f>
        <v>#REF!</v>
      </c>
      <c r="B82" s="178" t="s">
        <v>54</v>
      </c>
      <c r="C82" s="178" t="s">
        <v>269</v>
      </c>
      <c r="D82" s="178" t="s">
        <v>1644</v>
      </c>
      <c r="E82" s="179">
        <v>1.3576388888888891</v>
      </c>
      <c r="F82" s="180">
        <v>80183</v>
      </c>
      <c r="G82" s="179">
        <v>8.316202118381899E-2</v>
      </c>
      <c r="H82" s="180">
        <v>10252.896893582954</v>
      </c>
      <c r="I82" s="180">
        <v>2846.5552829726867</v>
      </c>
      <c r="J82" s="180" t="s">
        <v>1867</v>
      </c>
      <c r="K82" t="str">
        <f>VLOOKUP(Broadcast_BASE[[#This Row],[Broadcast Market]],Continent_Look_Up[],2,FALSE)</f>
        <v>Europe</v>
      </c>
      <c r="L82" t="str">
        <f>IF(OR(Broadcast_BASE[[#This Row],[Broadcast Continent]]="Digital",Broadcast_BASE[[#This Row],[Programme Type]]="Digital"),"Y","N")</f>
        <v>N</v>
      </c>
      <c r="M82" s="4" t="str">
        <f>IF(ISNUMBER(SEARCH("Pan ",Broadcast_BASE[[#This Row],[Broadcast Market]]))=TRUE,"Y","N")</f>
        <v>N</v>
      </c>
      <c r="N82" t="str">
        <f>VLOOKUP(CONCATENATE(Broadcast_BASE[[#This Row],[Broadcast Market]],Broadcast_BASE[[#This Row],[Broadcaster]]),Table1[[CC]:[Pay TV vs. Free-to-Air]],3,FALSE)</f>
        <v>Pay TV</v>
      </c>
      <c r="O82" s="1">
        <f>VLOOKUP(CONCATENATE(Broadcast_BASE[[#This Row],[Broadcast Market]],Broadcast_BASE[[#This Row],[Broadcaster]]),Table1[[CC]:[Pay TV vs. Free-to-Air]],2,FALSE)</f>
        <v>5286000</v>
      </c>
      <c r="P82" s="51">
        <f>Broadcast_BASE[[#This Row],[Rolex EXP]]*86400</f>
        <v>7185.1986302819605</v>
      </c>
      <c r="Q82" s="73" t="str">
        <f>IF(Broadcast_BASE[[#This Row],[Dashboard Rated?]]="No","N","Y")</f>
        <v>N</v>
      </c>
      <c r="R82" s="81"/>
      <c r="S82" s="81"/>
    </row>
    <row r="83" spans="1:19" x14ac:dyDescent="0.25">
      <c r="A83" s="72" t="e">
        <f>#REF!</f>
        <v>#REF!</v>
      </c>
      <c r="B83" s="178" t="s">
        <v>56</v>
      </c>
      <c r="C83" s="178" t="s">
        <v>268</v>
      </c>
      <c r="D83" s="178" t="s">
        <v>1642</v>
      </c>
      <c r="E83" s="179">
        <v>0.98739583333333325</v>
      </c>
      <c r="F83" s="180">
        <v>2219900</v>
      </c>
      <c r="G83" s="179">
        <v>7.2479690409478326E-2</v>
      </c>
      <c r="H83" s="180">
        <v>151186.39642554839</v>
      </c>
      <c r="I83" s="180">
        <v>42868.23726444639</v>
      </c>
      <c r="J83" s="180" t="s">
        <v>1868</v>
      </c>
      <c r="K83" t="str">
        <f>VLOOKUP(Broadcast_BASE[[#This Row],[Broadcast Market]],Continent_Look_Up[],2,FALSE)</f>
        <v>Europe</v>
      </c>
      <c r="L83" t="str">
        <f>IF(OR(Broadcast_BASE[[#This Row],[Broadcast Continent]]="Digital",Broadcast_BASE[[#This Row],[Programme Type]]="Digital"),"Y","N")</f>
        <v>N</v>
      </c>
      <c r="M83" s="4" t="str">
        <f>IF(ISNUMBER(SEARCH("Pan ",Broadcast_BASE[[#This Row],[Broadcast Market]]))=TRUE,"Y","N")</f>
        <v>N</v>
      </c>
      <c r="N83" t="str">
        <f>VLOOKUP(CONCATENATE(Broadcast_BASE[[#This Row],[Broadcast Market]],Broadcast_BASE[[#This Row],[Broadcaster]]),Table1[[CC]:[Pay TV vs. Free-to-Air]],3,FALSE)</f>
        <v>Free-to-Air</v>
      </c>
      <c r="O83" s="1">
        <f>VLOOKUP(CONCATENATE(Broadcast_BASE[[#This Row],[Broadcast Market]],Broadcast_BASE[[#This Row],[Broadcaster]]),Table1[[CC]:[Pay TV vs. Free-to-Air]],2,FALSE)</f>
        <v>33338000</v>
      </c>
      <c r="P83" s="51">
        <f>Broadcast_BASE[[#This Row],[Rolex EXP]]*86400</f>
        <v>6262.2452513789276</v>
      </c>
      <c r="Q83" s="73" t="str">
        <f>IF(Broadcast_BASE[[#This Row],[Dashboard Rated?]]="No","N","Y")</f>
        <v>Y</v>
      </c>
      <c r="R83" s="81"/>
      <c r="S83" s="81"/>
    </row>
    <row r="84" spans="1:19" x14ac:dyDescent="0.25">
      <c r="A84" s="72" t="e">
        <f>#REF!</f>
        <v>#REF!</v>
      </c>
      <c r="B84" s="178" t="s">
        <v>56</v>
      </c>
      <c r="C84" s="178" t="s">
        <v>268</v>
      </c>
      <c r="D84" s="178" t="s">
        <v>1643</v>
      </c>
      <c r="E84" s="179">
        <v>5.3803819444444443</v>
      </c>
      <c r="F84" s="180">
        <v>10162267</v>
      </c>
      <c r="G84" s="179">
        <v>0.4323528531013503</v>
      </c>
      <c r="H84" s="180">
        <v>2850225.727935228</v>
      </c>
      <c r="I84" s="180">
        <v>817343.16426436917</v>
      </c>
      <c r="J84" s="180" t="s">
        <v>1868</v>
      </c>
      <c r="K84" t="str">
        <f>VLOOKUP(Broadcast_BASE[[#This Row],[Broadcast Market]],Continent_Look_Up[],2,FALSE)</f>
        <v>Europe</v>
      </c>
      <c r="L84" t="str">
        <f>IF(OR(Broadcast_BASE[[#This Row],[Broadcast Continent]]="Digital",Broadcast_BASE[[#This Row],[Programme Type]]="Digital"),"Y","N")</f>
        <v>N</v>
      </c>
      <c r="M84" s="4" t="str">
        <f>IF(ISNUMBER(SEARCH("Pan ",Broadcast_BASE[[#This Row],[Broadcast Market]]))=TRUE,"Y","N")</f>
        <v>N</v>
      </c>
      <c r="N84" t="str">
        <f>VLOOKUP(CONCATENATE(Broadcast_BASE[[#This Row],[Broadcast Market]],Broadcast_BASE[[#This Row],[Broadcaster]]),Table1[[CC]:[Pay TV vs. Free-to-Air]],3,FALSE)</f>
        <v>Free-to-Air</v>
      </c>
      <c r="O84" s="1">
        <f>VLOOKUP(CONCATENATE(Broadcast_BASE[[#This Row],[Broadcast Market]],Broadcast_BASE[[#This Row],[Broadcaster]]),Table1[[CC]:[Pay TV vs. Free-to-Air]],2,FALSE)</f>
        <v>33338000</v>
      </c>
      <c r="P84" s="51">
        <f>Broadcast_BASE[[#This Row],[Rolex EXP]]*86400</f>
        <v>37355.286507956669</v>
      </c>
      <c r="Q84" s="73" t="str">
        <f>IF(Broadcast_BASE[[#This Row],[Dashboard Rated?]]="No","N","Y")</f>
        <v>Y</v>
      </c>
      <c r="R84" s="81"/>
      <c r="S84" s="81"/>
    </row>
    <row r="85" spans="1:19" x14ac:dyDescent="0.25">
      <c r="A85" s="72" t="e">
        <f>#REF!</f>
        <v>#REF!</v>
      </c>
      <c r="B85" s="178" t="s">
        <v>56</v>
      </c>
      <c r="C85" s="178" t="s">
        <v>268</v>
      </c>
      <c r="D85" s="178" t="s">
        <v>1644</v>
      </c>
      <c r="E85" s="179">
        <v>1.4276273148148146</v>
      </c>
      <c r="F85" s="180">
        <v>1131608</v>
      </c>
      <c r="G85" s="179">
        <v>0.10829109740960209</v>
      </c>
      <c r="H85" s="180">
        <v>208998.68173441826</v>
      </c>
      <c r="I85" s="180">
        <v>61439.228747570342</v>
      </c>
      <c r="J85" s="180" t="s">
        <v>1868</v>
      </c>
      <c r="K85" t="str">
        <f>VLOOKUP(Broadcast_BASE[[#This Row],[Broadcast Market]],Continent_Look_Up[],2,FALSE)</f>
        <v>Europe</v>
      </c>
      <c r="L85" t="str">
        <f>IF(OR(Broadcast_BASE[[#This Row],[Broadcast Continent]]="Digital",Broadcast_BASE[[#This Row],[Programme Type]]="Digital"),"Y","N")</f>
        <v>N</v>
      </c>
      <c r="M85" s="4" t="str">
        <f>IF(ISNUMBER(SEARCH("Pan ",Broadcast_BASE[[#This Row],[Broadcast Market]]))=TRUE,"Y","N")</f>
        <v>N</v>
      </c>
      <c r="N85" t="str">
        <f>VLOOKUP(CONCATENATE(Broadcast_BASE[[#This Row],[Broadcast Market]],Broadcast_BASE[[#This Row],[Broadcaster]]),Table1[[CC]:[Pay TV vs. Free-to-Air]],3,FALSE)</f>
        <v>Free-to-Air</v>
      </c>
      <c r="O85" s="1">
        <f>VLOOKUP(CONCATENATE(Broadcast_BASE[[#This Row],[Broadcast Market]],Broadcast_BASE[[#This Row],[Broadcaster]]),Table1[[CC]:[Pay TV vs. Free-to-Air]],2,FALSE)</f>
        <v>33338000</v>
      </c>
      <c r="P85" s="51">
        <f>Broadcast_BASE[[#This Row],[Rolex EXP]]*86400</f>
        <v>9356.3508161896207</v>
      </c>
      <c r="Q85" s="73" t="str">
        <f>IF(Broadcast_BASE[[#This Row],[Dashboard Rated?]]="No","N","Y")</f>
        <v>Y</v>
      </c>
      <c r="R85" s="81"/>
      <c r="S85" s="81"/>
    </row>
    <row r="86" spans="1:19" x14ac:dyDescent="0.25">
      <c r="A86" s="72" t="e">
        <f>#REF!</f>
        <v>#REF!</v>
      </c>
      <c r="B86" s="178" t="s">
        <v>56</v>
      </c>
      <c r="C86" s="178" t="s">
        <v>269</v>
      </c>
      <c r="D86" s="178" t="s">
        <v>1642</v>
      </c>
      <c r="E86" s="179">
        <v>0.83843749999999995</v>
      </c>
      <c r="F86" s="180">
        <v>174026</v>
      </c>
      <c r="G86" s="179">
        <v>6.5951216212620456E-2</v>
      </c>
      <c r="H86" s="180">
        <v>17784.131494495712</v>
      </c>
      <c r="I86" s="180">
        <v>5084.8596293139481</v>
      </c>
      <c r="J86" s="180" t="s">
        <v>1867</v>
      </c>
      <c r="K86" t="str">
        <f>VLOOKUP(Broadcast_BASE[[#This Row],[Broadcast Market]],Continent_Look_Up[],2,FALSE)</f>
        <v>Europe</v>
      </c>
      <c r="L86" t="str">
        <f>IF(OR(Broadcast_BASE[[#This Row],[Broadcast Continent]]="Digital",Broadcast_BASE[[#This Row],[Programme Type]]="Digital"),"Y","N")</f>
        <v>N</v>
      </c>
      <c r="M86" s="4" t="str">
        <f>IF(ISNUMBER(SEARCH("Pan ",Broadcast_BASE[[#This Row],[Broadcast Market]]))=TRUE,"Y","N")</f>
        <v>N</v>
      </c>
      <c r="N86" t="str">
        <f>VLOOKUP(CONCATENATE(Broadcast_BASE[[#This Row],[Broadcast Market]],Broadcast_BASE[[#This Row],[Broadcaster]]),Table1[[CC]:[Pay TV vs. Free-to-Air]],3,FALSE)</f>
        <v>Pay TV</v>
      </c>
      <c r="O86" s="1">
        <f>VLOOKUP(CONCATENATE(Broadcast_BASE[[#This Row],[Broadcast Market]],Broadcast_BASE[[#This Row],[Broadcaster]]),Table1[[CC]:[Pay TV vs. Free-to-Air]],2,FALSE)</f>
        <v>4469000</v>
      </c>
      <c r="P86" s="57">
        <f>Broadcast_BASE[[#This Row],[Rolex EXP]]*86400</f>
        <v>5698.1850807704077</v>
      </c>
      <c r="Q86" s="73" t="str">
        <f>IF(Broadcast_BASE[[#This Row],[Dashboard Rated?]]="No","N","Y")</f>
        <v>N</v>
      </c>
      <c r="R86" s="81"/>
      <c r="S86" s="81"/>
    </row>
    <row r="87" spans="1:19" x14ac:dyDescent="0.25">
      <c r="A87" s="72" t="e">
        <f>#REF!</f>
        <v>#REF!</v>
      </c>
      <c r="B87" s="178" t="s">
        <v>56</v>
      </c>
      <c r="C87" s="178" t="s">
        <v>269</v>
      </c>
      <c r="D87" s="178" t="s">
        <v>1643</v>
      </c>
      <c r="E87" s="179">
        <v>3.0458796296296295</v>
      </c>
      <c r="F87" s="180">
        <v>621969</v>
      </c>
      <c r="G87" s="179">
        <v>0.25179070981041834</v>
      </c>
      <c r="H87" s="180">
        <v>186996.94733591806</v>
      </c>
      <c r="I87" s="180">
        <v>56112.133254268316</v>
      </c>
      <c r="J87" s="180" t="s">
        <v>1867</v>
      </c>
      <c r="K87" t="str">
        <f>VLOOKUP(Broadcast_BASE[[#This Row],[Broadcast Market]],Continent_Look_Up[],2,FALSE)</f>
        <v>Europe</v>
      </c>
      <c r="L87" t="str">
        <f>IF(OR(Broadcast_BASE[[#This Row],[Broadcast Continent]]="Digital",Broadcast_BASE[[#This Row],[Programme Type]]="Digital"),"Y","N")</f>
        <v>N</v>
      </c>
      <c r="M87" s="4" t="str">
        <f>IF(ISNUMBER(SEARCH("Pan ",Broadcast_BASE[[#This Row],[Broadcast Market]]))=TRUE,"Y","N")</f>
        <v>N</v>
      </c>
      <c r="N87" t="str">
        <f>VLOOKUP(CONCATENATE(Broadcast_BASE[[#This Row],[Broadcast Market]],Broadcast_BASE[[#This Row],[Broadcaster]]),Table1[[CC]:[Pay TV vs. Free-to-Air]],3,FALSE)</f>
        <v>Pay TV</v>
      </c>
      <c r="O87" s="1">
        <f>VLOOKUP(CONCATENATE(Broadcast_BASE[[#This Row],[Broadcast Market]],Broadcast_BASE[[#This Row],[Broadcaster]]),Table1[[CC]:[Pay TV vs. Free-to-Air]],2,FALSE)</f>
        <v>4469000</v>
      </c>
      <c r="P87" s="51">
        <f>Broadcast_BASE[[#This Row],[Rolex EXP]]*86400</f>
        <v>21754.717327620147</v>
      </c>
      <c r="Q87" s="73" t="str">
        <f>IF(Broadcast_BASE[[#This Row],[Dashboard Rated?]]="No","N","Y")</f>
        <v>N</v>
      </c>
      <c r="R87" s="81"/>
      <c r="S87" s="81"/>
    </row>
    <row r="88" spans="1:19" x14ac:dyDescent="0.25">
      <c r="A88" s="72" t="e">
        <f>#REF!</f>
        <v>#REF!</v>
      </c>
      <c r="B88" s="178" t="s">
        <v>56</v>
      </c>
      <c r="C88" s="178" t="s">
        <v>269</v>
      </c>
      <c r="D88" s="178" t="s">
        <v>1644</v>
      </c>
      <c r="E88" s="179">
        <v>2.4179629629629633</v>
      </c>
      <c r="F88" s="180">
        <v>192848</v>
      </c>
      <c r="G88" s="179">
        <v>0.18174330250067053</v>
      </c>
      <c r="H88" s="180">
        <v>39401.327346549413</v>
      </c>
      <c r="I88" s="180">
        <v>11173.09149402671</v>
      </c>
      <c r="J88" s="180" t="s">
        <v>1867</v>
      </c>
      <c r="K88" t="str">
        <f>VLOOKUP(Broadcast_BASE[[#This Row],[Broadcast Market]],Continent_Look_Up[],2,FALSE)</f>
        <v>Europe</v>
      </c>
      <c r="L88" t="str">
        <f>IF(OR(Broadcast_BASE[[#This Row],[Broadcast Continent]]="Digital",Broadcast_BASE[[#This Row],[Programme Type]]="Digital"),"Y","N")</f>
        <v>N</v>
      </c>
      <c r="M88" s="4" t="str">
        <f>IF(ISNUMBER(SEARCH("Pan ",Broadcast_BASE[[#This Row],[Broadcast Market]]))=TRUE,"Y","N")</f>
        <v>N</v>
      </c>
      <c r="N88" t="str">
        <f>VLOOKUP(CONCATENATE(Broadcast_BASE[[#This Row],[Broadcast Market]],Broadcast_BASE[[#This Row],[Broadcaster]]),Table1[[CC]:[Pay TV vs. Free-to-Air]],3,FALSE)</f>
        <v>Pay TV</v>
      </c>
      <c r="O88" s="1">
        <f>VLOOKUP(CONCATENATE(Broadcast_BASE[[#This Row],[Broadcast Market]],Broadcast_BASE[[#This Row],[Broadcaster]]),Table1[[CC]:[Pay TV vs. Free-to-Air]],2,FALSE)</f>
        <v>4469000</v>
      </c>
      <c r="P88" s="57">
        <f>Broadcast_BASE[[#This Row],[Rolex EXP]]*86400</f>
        <v>15702.621336057933</v>
      </c>
      <c r="Q88" s="73" t="str">
        <f>IF(Broadcast_BASE[[#This Row],[Dashboard Rated?]]="No","N","Y")</f>
        <v>N</v>
      </c>
      <c r="R88" s="81"/>
      <c r="S88" s="81"/>
    </row>
    <row r="89" spans="1:19" x14ac:dyDescent="0.25">
      <c r="A89" s="72" t="e">
        <f>#REF!</f>
        <v>#REF!</v>
      </c>
      <c r="B89" s="178" t="s">
        <v>59</v>
      </c>
      <c r="C89" s="178" t="s">
        <v>468</v>
      </c>
      <c r="D89" s="178" t="s">
        <v>1642</v>
      </c>
      <c r="E89" s="179">
        <v>2.75</v>
      </c>
      <c r="F89" s="180">
        <v>71761</v>
      </c>
      <c r="G89" s="179">
        <v>0.17738967285543428</v>
      </c>
      <c r="H89" s="180">
        <v>5045.0831148786037</v>
      </c>
      <c r="I89" s="180">
        <v>1424.884459119138</v>
      </c>
      <c r="J89" s="180" t="s">
        <v>1867</v>
      </c>
      <c r="K89" t="str">
        <f>VLOOKUP(Broadcast_BASE[[#This Row],[Broadcast Market]],Continent_Look_Up[],2,FALSE)</f>
        <v>Asia Pacific</v>
      </c>
      <c r="L89" t="str">
        <f>IF(OR(Broadcast_BASE[[#This Row],[Broadcast Continent]]="Digital",Broadcast_BASE[[#This Row],[Programme Type]]="Digital"),"Y","N")</f>
        <v>N</v>
      </c>
      <c r="M89" s="4" t="str">
        <f>IF(ISNUMBER(SEARCH("Pan ",Broadcast_BASE[[#This Row],[Broadcast Market]]))=TRUE,"Y","N")</f>
        <v>N</v>
      </c>
      <c r="N89" t="str">
        <f>VLOOKUP(CONCATENATE(Broadcast_BASE[[#This Row],[Broadcast Market]],Broadcast_BASE[[#This Row],[Broadcaster]]),Table1[[CC]:[Pay TV vs. Free-to-Air]],3,FALSE)</f>
        <v>Pay TV</v>
      </c>
      <c r="O89" s="1">
        <f>VLOOKUP(CONCATENATE(Broadcast_BASE[[#This Row],[Broadcast Market]],Broadcast_BASE[[#This Row],[Broadcaster]]),Table1[[CC]:[Pay TV vs. Free-to-Air]],2,FALSE)</f>
        <v>1269000</v>
      </c>
      <c r="P89" s="51">
        <f>Broadcast_BASE[[#This Row],[Rolex EXP]]*86400</f>
        <v>15326.467734709522</v>
      </c>
      <c r="Q89" s="73" t="str">
        <f>IF(Broadcast_BASE[[#This Row],[Dashboard Rated?]]="No","N","Y")</f>
        <v>N</v>
      </c>
      <c r="R89" s="81"/>
      <c r="S89" s="81"/>
    </row>
    <row r="90" spans="1:19" x14ac:dyDescent="0.25">
      <c r="A90" s="72" t="e">
        <f>#REF!</f>
        <v>#REF!</v>
      </c>
      <c r="B90" s="178" t="s">
        <v>59</v>
      </c>
      <c r="C90" s="178" t="s">
        <v>468</v>
      </c>
      <c r="D90" s="178" t="s">
        <v>1643</v>
      </c>
      <c r="E90" s="179">
        <v>4.6875</v>
      </c>
      <c r="F90" s="180">
        <v>30719</v>
      </c>
      <c r="G90" s="179">
        <v>0.28713229820500169</v>
      </c>
      <c r="H90" s="180">
        <v>21874.837270183343</v>
      </c>
      <c r="I90" s="180">
        <v>6073.2039190387504</v>
      </c>
      <c r="J90" s="180" t="s">
        <v>1867</v>
      </c>
      <c r="K90" t="str">
        <f>VLOOKUP(Broadcast_BASE[[#This Row],[Broadcast Market]],Continent_Look_Up[],2,FALSE)</f>
        <v>Asia Pacific</v>
      </c>
      <c r="L90" t="str">
        <f>IF(OR(Broadcast_BASE[[#This Row],[Broadcast Continent]]="Digital",Broadcast_BASE[[#This Row],[Programme Type]]="Digital"),"Y","N")</f>
        <v>N</v>
      </c>
      <c r="M90" s="4" t="str">
        <f>IF(ISNUMBER(SEARCH("Pan ",Broadcast_BASE[[#This Row],[Broadcast Market]]))=TRUE,"Y","N")</f>
        <v>N</v>
      </c>
      <c r="N90" t="str">
        <f>VLOOKUP(CONCATENATE(Broadcast_BASE[[#This Row],[Broadcast Market]],Broadcast_BASE[[#This Row],[Broadcaster]]),Table1[[CC]:[Pay TV vs. Free-to-Air]],3,FALSE)</f>
        <v>Pay TV</v>
      </c>
      <c r="O90" s="1">
        <f>VLOOKUP(CONCATENATE(Broadcast_BASE[[#This Row],[Broadcast Market]],Broadcast_BASE[[#This Row],[Broadcaster]]),Table1[[CC]:[Pay TV vs. Free-to-Air]],2,FALSE)</f>
        <v>1269000</v>
      </c>
      <c r="P90" s="57">
        <f>Broadcast_BASE[[#This Row],[Rolex EXP]]*86400</f>
        <v>24808.230564912144</v>
      </c>
      <c r="Q90" s="73" t="str">
        <f>IF(Broadcast_BASE[[#This Row],[Dashboard Rated?]]="No","N","Y")</f>
        <v>N</v>
      </c>
      <c r="R90" s="81"/>
      <c r="S90" s="81"/>
    </row>
    <row r="91" spans="1:19" x14ac:dyDescent="0.25">
      <c r="A91" s="72" t="e">
        <f>#REF!</f>
        <v>#REF!</v>
      </c>
      <c r="B91" s="178" t="s">
        <v>59</v>
      </c>
      <c r="C91" s="178" t="s">
        <v>225</v>
      </c>
      <c r="D91" s="178" t="s">
        <v>1642</v>
      </c>
      <c r="E91" s="179">
        <v>0.89236111111111116</v>
      </c>
      <c r="F91" s="180">
        <v>11868</v>
      </c>
      <c r="G91" s="179">
        <v>5.2467252341392961E-2</v>
      </c>
      <c r="H91" s="180">
        <v>800.19067462322198</v>
      </c>
      <c r="I91" s="180">
        <v>227.40951604499645</v>
      </c>
      <c r="J91" s="180" t="s">
        <v>1867</v>
      </c>
      <c r="K91" t="str">
        <f>VLOOKUP(Broadcast_BASE[[#This Row],[Broadcast Market]],Continent_Look_Up[],2,FALSE)</f>
        <v>Asia Pacific</v>
      </c>
      <c r="L91" t="str">
        <f>IF(OR(Broadcast_BASE[[#This Row],[Broadcast Continent]]="Digital",Broadcast_BASE[[#This Row],[Programme Type]]="Digital"),"Y","N")</f>
        <v>N</v>
      </c>
      <c r="M91" s="4" t="str">
        <f>IF(ISNUMBER(SEARCH("Pan ",Broadcast_BASE[[#This Row],[Broadcast Market]]))=TRUE,"Y","N")</f>
        <v>N</v>
      </c>
      <c r="N91" t="str">
        <f>VLOOKUP(CONCATENATE(Broadcast_BASE[[#This Row],[Broadcast Market]],Broadcast_BASE[[#This Row],[Broadcaster]]),Table1[[CC]:[Pay TV vs. Free-to-Air]],3,FALSE)</f>
        <v>Pay TV</v>
      </c>
      <c r="O91" s="1">
        <f>VLOOKUP(CONCATENATE(Broadcast_BASE[[#This Row],[Broadcast Market]],Broadcast_BASE[[#This Row],[Broadcaster]]),Table1[[CC]:[Pay TV vs. Free-to-Air]],2,FALSE)</f>
        <v>1269000</v>
      </c>
      <c r="P91" s="51">
        <f>Broadcast_BASE[[#This Row],[Rolex EXP]]*86400</f>
        <v>4533.1706022963517</v>
      </c>
      <c r="Q91" s="73" t="str">
        <f>IF(Broadcast_BASE[[#This Row],[Dashboard Rated?]]="No","N","Y")</f>
        <v>N</v>
      </c>
      <c r="R91" s="81"/>
      <c r="S91" s="81"/>
    </row>
    <row r="92" spans="1:19" x14ac:dyDescent="0.25">
      <c r="A92" s="72" t="e">
        <f>#REF!</f>
        <v>#REF!</v>
      </c>
      <c r="B92" s="178" t="s">
        <v>59</v>
      </c>
      <c r="C92" s="178" t="s">
        <v>225</v>
      </c>
      <c r="D92" s="178" t="s">
        <v>1643</v>
      </c>
      <c r="E92" s="179">
        <v>3.2291666666666665</v>
      </c>
      <c r="F92" s="180">
        <v>8464</v>
      </c>
      <c r="G92" s="179">
        <v>0.19780224987455672</v>
      </c>
      <c r="H92" s="180">
        <v>6747.0815139650467</v>
      </c>
      <c r="I92" s="180">
        <v>1873.2208787006432</v>
      </c>
      <c r="J92" s="180" t="s">
        <v>1867</v>
      </c>
      <c r="K92" t="str">
        <f>VLOOKUP(Broadcast_BASE[[#This Row],[Broadcast Market]],Continent_Look_Up[],2,FALSE)</f>
        <v>Asia Pacific</v>
      </c>
      <c r="L92" t="str">
        <f>IF(OR(Broadcast_BASE[[#This Row],[Broadcast Continent]]="Digital",Broadcast_BASE[[#This Row],[Programme Type]]="Digital"),"Y","N")</f>
        <v>N</v>
      </c>
      <c r="M92" s="4" t="str">
        <f>IF(ISNUMBER(SEARCH("Pan ",Broadcast_BASE[[#This Row],[Broadcast Market]]))=TRUE,"Y","N")</f>
        <v>N</v>
      </c>
      <c r="N92" t="str">
        <f>VLOOKUP(CONCATENATE(Broadcast_BASE[[#This Row],[Broadcast Market]],Broadcast_BASE[[#This Row],[Broadcaster]]),Table1[[CC]:[Pay TV vs. Free-to-Air]],3,FALSE)</f>
        <v>Pay TV</v>
      </c>
      <c r="O92" s="1">
        <f>VLOOKUP(CONCATENATE(Broadcast_BASE[[#This Row],[Broadcast Market]],Broadcast_BASE[[#This Row],[Broadcaster]]),Table1[[CC]:[Pay TV vs. Free-to-Air]],2,FALSE)</f>
        <v>1269000</v>
      </c>
      <c r="P92" s="57">
        <f>Broadcast_BASE[[#This Row],[Rolex EXP]]*86400</f>
        <v>17090.114389161699</v>
      </c>
      <c r="Q92" s="73" t="str">
        <f>IF(Broadcast_BASE[[#This Row],[Dashboard Rated?]]="No","N","Y")</f>
        <v>N</v>
      </c>
      <c r="R92" s="81"/>
      <c r="S92" s="81"/>
    </row>
    <row r="93" spans="1:19" x14ac:dyDescent="0.25">
      <c r="A93" s="72" t="e">
        <f>#REF!</f>
        <v>#REF!</v>
      </c>
      <c r="B93" s="178" t="s">
        <v>59</v>
      </c>
      <c r="C93" s="178" t="s">
        <v>197</v>
      </c>
      <c r="D93" s="178" t="s">
        <v>1643</v>
      </c>
      <c r="E93" s="179">
        <v>3.0416666666666665</v>
      </c>
      <c r="F93" s="180">
        <v>6348</v>
      </c>
      <c r="G93" s="179">
        <v>0.18631695794635661</v>
      </c>
      <c r="H93" s="180">
        <v>6355.3154905735282</v>
      </c>
      <c r="I93" s="180">
        <v>1764.4532147760899</v>
      </c>
      <c r="J93" s="180" t="s">
        <v>1867</v>
      </c>
      <c r="K93" t="str">
        <f>VLOOKUP(Broadcast_BASE[[#This Row],[Broadcast Market]],Continent_Look_Up[],2,FALSE)</f>
        <v>Asia Pacific</v>
      </c>
      <c r="L93" t="str">
        <f>IF(OR(Broadcast_BASE[[#This Row],[Broadcast Continent]]="Digital",Broadcast_BASE[[#This Row],[Programme Type]]="Digital"),"Y","N")</f>
        <v>N</v>
      </c>
      <c r="M93" s="4" t="str">
        <f>IF(ISNUMBER(SEARCH("Pan ",Broadcast_BASE[[#This Row],[Broadcast Market]]))=TRUE,"Y","N")</f>
        <v>N</v>
      </c>
      <c r="N93" t="str">
        <f>VLOOKUP(CONCATENATE(Broadcast_BASE[[#This Row],[Broadcast Market]],Broadcast_BASE[[#This Row],[Broadcaster]]),Table1[[CC]:[Pay TV vs. Free-to-Air]],3,FALSE)</f>
        <v>Pay TV</v>
      </c>
      <c r="O93" s="1">
        <f>VLOOKUP(CONCATENATE(Broadcast_BASE[[#This Row],[Broadcast Market]],Broadcast_BASE[[#This Row],[Broadcaster]]),Table1[[CC]:[Pay TV vs. Free-to-Air]],2,FALSE)</f>
        <v>1269000</v>
      </c>
      <c r="P93" s="51">
        <f>Broadcast_BASE[[#This Row],[Rolex EXP]]*86400</f>
        <v>16097.785166565211</v>
      </c>
      <c r="Q93" s="73" t="str">
        <f>IF(Broadcast_BASE[[#This Row],[Dashboard Rated?]]="No","N","Y")</f>
        <v>N</v>
      </c>
      <c r="R93" s="81"/>
      <c r="S93" s="81"/>
    </row>
    <row r="94" spans="1:19" x14ac:dyDescent="0.25">
      <c r="A94" s="72" t="e">
        <f>#REF!</f>
        <v>#REF!</v>
      </c>
      <c r="B94" s="178" t="s">
        <v>59</v>
      </c>
      <c r="C94" s="178" t="s">
        <v>795</v>
      </c>
      <c r="D94" s="178" t="s">
        <v>1644</v>
      </c>
      <c r="E94" s="179">
        <v>0.61111111111111105</v>
      </c>
      <c r="F94" s="180">
        <v>1184</v>
      </c>
      <c r="G94" s="179">
        <v>3.74335440622817E-2</v>
      </c>
      <c r="H94" s="180">
        <v>1428.9324899954188</v>
      </c>
      <c r="I94" s="180">
        <v>396.72059229948462</v>
      </c>
      <c r="J94" s="180" t="s">
        <v>1867</v>
      </c>
      <c r="K94" t="str">
        <f>VLOOKUP(Broadcast_BASE[[#This Row],[Broadcast Market]],Continent_Look_Up[],2,FALSE)</f>
        <v>Asia Pacific</v>
      </c>
      <c r="L94" t="str">
        <f>IF(OR(Broadcast_BASE[[#This Row],[Broadcast Continent]]="Digital",Broadcast_BASE[[#This Row],[Programme Type]]="Digital"),"Y","N")</f>
        <v>N</v>
      </c>
      <c r="M94" s="4" t="str">
        <f>IF(ISNUMBER(SEARCH("Pan ",Broadcast_BASE[[#This Row],[Broadcast Market]]))=TRUE,"Y","N")</f>
        <v>N</v>
      </c>
      <c r="N94" t="str">
        <f>VLOOKUP(CONCATENATE(Broadcast_BASE[[#This Row],[Broadcast Market]],Broadcast_BASE[[#This Row],[Broadcaster]]),Table1[[CC]:[Pay TV vs. Free-to-Air]],3,FALSE)</f>
        <v>Pay TV</v>
      </c>
      <c r="O94" s="1">
        <f>VLOOKUP(CONCATENATE(Broadcast_BASE[[#This Row],[Broadcast Market]],Broadcast_BASE[[#This Row],[Broadcaster]]),Table1[[CC]:[Pay TV vs. Free-to-Air]],2,FALSE)</f>
        <v>647717.41884816892</v>
      </c>
      <c r="P94" s="51">
        <f>Broadcast_BASE[[#This Row],[Rolex EXP]]*86400</f>
        <v>3234.2582069811388</v>
      </c>
      <c r="Q94" s="73" t="str">
        <f>IF(Broadcast_BASE[[#This Row],[Dashboard Rated?]]="No","N","Y")</f>
        <v>N</v>
      </c>
      <c r="R94" s="81"/>
      <c r="S94" s="81"/>
    </row>
    <row r="95" spans="1:19" x14ac:dyDescent="0.25">
      <c r="A95" s="72" t="e">
        <f>#REF!</f>
        <v>#REF!</v>
      </c>
      <c r="B95" s="178" t="s">
        <v>59</v>
      </c>
      <c r="C95" s="178" t="s">
        <v>803</v>
      </c>
      <c r="D95" s="178" t="s">
        <v>1643</v>
      </c>
      <c r="E95" s="179">
        <v>3.0833333333333335</v>
      </c>
      <c r="F95" s="180">
        <v>81172</v>
      </c>
      <c r="G95" s="179">
        <v>0.18886924504151223</v>
      </c>
      <c r="H95" s="180">
        <v>35305.187117869762</v>
      </c>
      <c r="I95" s="180">
        <v>9801.9289523540265</v>
      </c>
      <c r="J95" s="180" t="s">
        <v>1867</v>
      </c>
      <c r="K95" t="str">
        <f>VLOOKUP(Broadcast_BASE[[#This Row],[Broadcast Market]],Continent_Look_Up[],2,FALSE)</f>
        <v>Asia Pacific</v>
      </c>
      <c r="L95" t="str">
        <f>IF(OR(Broadcast_BASE[[#This Row],[Broadcast Continent]]="Digital",Broadcast_BASE[[#This Row],[Programme Type]]="Digital"),"Y","N")</f>
        <v>N</v>
      </c>
      <c r="M95" s="4" t="str">
        <f>IF(ISNUMBER(SEARCH("Pan ",Broadcast_BASE[[#This Row],[Broadcast Market]]))=TRUE,"Y","N")</f>
        <v>N</v>
      </c>
      <c r="N95" t="str">
        <f>VLOOKUP(CONCATENATE(Broadcast_BASE[[#This Row],[Broadcast Market]],Broadcast_BASE[[#This Row],[Broadcaster]]),Table1[[CC]:[Pay TV vs. Free-to-Air]],3,FALSE)</f>
        <v>Pay TV</v>
      </c>
      <c r="O95" s="1">
        <f>VLOOKUP(CONCATENATE(Broadcast_BASE[[#This Row],[Broadcast Market]],Broadcast_BASE[[#This Row],[Broadcaster]]),Table1[[CC]:[Pay TV vs. Free-to-Air]],2,FALSE)</f>
        <v>1269000</v>
      </c>
      <c r="P95" s="57">
        <f>Broadcast_BASE[[#This Row],[Rolex EXP]]*86400</f>
        <v>16318.302771586657</v>
      </c>
      <c r="Q95" s="73" t="str">
        <f>IF(Broadcast_BASE[[#This Row],[Dashboard Rated?]]="No","N","Y")</f>
        <v>N</v>
      </c>
      <c r="R95" s="81"/>
      <c r="S95" s="81"/>
    </row>
    <row r="96" spans="1:19" x14ac:dyDescent="0.25">
      <c r="A96" s="72" t="e">
        <f>#REF!</f>
        <v>#REF!</v>
      </c>
      <c r="B96" s="178" t="s">
        <v>59</v>
      </c>
      <c r="C96" s="178" t="s">
        <v>804</v>
      </c>
      <c r="D96" s="178" t="s">
        <v>1642</v>
      </c>
      <c r="E96" s="179">
        <v>1.9166666666666667</v>
      </c>
      <c r="F96" s="180">
        <v>210784</v>
      </c>
      <c r="G96" s="179">
        <v>0.11740520637715607</v>
      </c>
      <c r="H96" s="180">
        <v>8672.3387391890356</v>
      </c>
      <c r="I96" s="180">
        <v>2407.7382138913131</v>
      </c>
      <c r="J96" s="180" t="s">
        <v>1867</v>
      </c>
      <c r="K96" t="str">
        <f>VLOOKUP(Broadcast_BASE[[#This Row],[Broadcast Market]],Continent_Look_Up[],2,FALSE)</f>
        <v>Asia Pacific</v>
      </c>
      <c r="L96" t="str">
        <f>IF(OR(Broadcast_BASE[[#This Row],[Broadcast Continent]]="Digital",Broadcast_BASE[[#This Row],[Programme Type]]="Digital"),"Y","N")</f>
        <v>N</v>
      </c>
      <c r="M96" s="4" t="str">
        <f>IF(ISNUMBER(SEARCH("Pan ",Broadcast_BASE[[#This Row],[Broadcast Market]]))=TRUE,"Y","N")</f>
        <v>N</v>
      </c>
      <c r="N96" t="str">
        <f>VLOOKUP(CONCATENATE(Broadcast_BASE[[#This Row],[Broadcast Market]],Broadcast_BASE[[#This Row],[Broadcaster]]),Table1[[CC]:[Pay TV vs. Free-to-Air]],3,FALSE)</f>
        <v>Pay TV</v>
      </c>
      <c r="O96" s="1">
        <f>VLOOKUP(CONCATENATE(Broadcast_BASE[[#This Row],[Broadcast Market]],Broadcast_BASE[[#This Row],[Broadcaster]]),Table1[[CC]:[Pay TV vs. Free-to-Air]],2,FALSE)</f>
        <v>1269000</v>
      </c>
      <c r="P96" s="57">
        <f>Broadcast_BASE[[#This Row],[Rolex EXP]]*86400</f>
        <v>10143.809830986283</v>
      </c>
      <c r="Q96" s="73" t="str">
        <f>IF(Broadcast_BASE[[#This Row],[Dashboard Rated?]]="No","N","Y")</f>
        <v>N</v>
      </c>
      <c r="R96" s="81"/>
      <c r="S96" s="81"/>
    </row>
    <row r="97" spans="1:19" x14ac:dyDescent="0.25">
      <c r="A97" s="72" t="e">
        <f>#REF!</f>
        <v>#REF!</v>
      </c>
      <c r="B97" s="178" t="s">
        <v>59</v>
      </c>
      <c r="C97" s="178" t="s">
        <v>804</v>
      </c>
      <c r="D97" s="178" t="s">
        <v>1643</v>
      </c>
      <c r="E97" s="179">
        <v>6.083333333333333</v>
      </c>
      <c r="F97" s="180">
        <v>150748</v>
      </c>
      <c r="G97" s="179">
        <v>0.39464754254186468</v>
      </c>
      <c r="H97" s="180">
        <v>73771.170801183616</v>
      </c>
      <c r="I97" s="180">
        <v>20766.171433986605</v>
      </c>
      <c r="J97" s="180" t="s">
        <v>1867</v>
      </c>
      <c r="K97" t="str">
        <f>VLOOKUP(Broadcast_BASE[[#This Row],[Broadcast Market]],Continent_Look_Up[],2,FALSE)</f>
        <v>Asia Pacific</v>
      </c>
      <c r="L97" t="str">
        <f>IF(OR(Broadcast_BASE[[#This Row],[Broadcast Continent]]="Digital",Broadcast_BASE[[#This Row],[Programme Type]]="Digital"),"Y","N")</f>
        <v>N</v>
      </c>
      <c r="M97" s="4" t="str">
        <f>IF(ISNUMBER(SEARCH("Pan ",Broadcast_BASE[[#This Row],[Broadcast Market]]))=TRUE,"Y","N")</f>
        <v>N</v>
      </c>
      <c r="N97" t="str">
        <f>VLOOKUP(CONCATENATE(Broadcast_BASE[[#This Row],[Broadcast Market]],Broadcast_BASE[[#This Row],[Broadcaster]]),Table1[[CC]:[Pay TV vs. Free-to-Air]],3,FALSE)</f>
        <v>Pay TV</v>
      </c>
      <c r="O97" s="1">
        <f>VLOOKUP(CONCATENATE(Broadcast_BASE[[#This Row],[Broadcast Market]],Broadcast_BASE[[#This Row],[Broadcaster]]),Table1[[CC]:[Pay TV vs. Free-to-Air]],2,FALSE)</f>
        <v>1269000</v>
      </c>
      <c r="P97" s="57">
        <f>Broadcast_BASE[[#This Row],[Rolex EXP]]*86400</f>
        <v>34097.547675617112</v>
      </c>
      <c r="Q97" s="73" t="str">
        <f>IF(Broadcast_BASE[[#This Row],[Dashboard Rated?]]="No","N","Y")</f>
        <v>N</v>
      </c>
      <c r="R97" s="81"/>
      <c r="S97" s="81"/>
    </row>
    <row r="98" spans="1:19" x14ac:dyDescent="0.25">
      <c r="A98" s="72" t="e">
        <f>#REF!</f>
        <v>#REF!</v>
      </c>
      <c r="B98" s="178" t="s">
        <v>59</v>
      </c>
      <c r="C98" s="178" t="s">
        <v>804</v>
      </c>
      <c r="D98" s="178" t="s">
        <v>1644</v>
      </c>
      <c r="E98" s="179">
        <v>4.760416666666667</v>
      </c>
      <c r="F98" s="180">
        <v>164615</v>
      </c>
      <c r="G98" s="179">
        <v>0.31628836721997383</v>
      </c>
      <c r="H98" s="180">
        <v>27895.526253534328</v>
      </c>
      <c r="I98" s="180">
        <v>7945.5470181852634</v>
      </c>
      <c r="J98" s="180" t="s">
        <v>1867</v>
      </c>
      <c r="K98" t="str">
        <f>VLOOKUP(Broadcast_BASE[[#This Row],[Broadcast Market]],Continent_Look_Up[],2,FALSE)</f>
        <v>Asia Pacific</v>
      </c>
      <c r="L98" t="str">
        <f>IF(OR(Broadcast_BASE[[#This Row],[Broadcast Continent]]="Digital",Broadcast_BASE[[#This Row],[Programme Type]]="Digital"),"Y","N")</f>
        <v>N</v>
      </c>
      <c r="M98" s="4" t="str">
        <f>IF(ISNUMBER(SEARCH("Pan ",Broadcast_BASE[[#This Row],[Broadcast Market]]))=TRUE,"Y","N")</f>
        <v>N</v>
      </c>
      <c r="N98" t="str">
        <f>VLOOKUP(CONCATENATE(Broadcast_BASE[[#This Row],[Broadcast Market]],Broadcast_BASE[[#This Row],[Broadcaster]]),Table1[[CC]:[Pay TV vs. Free-to-Air]],3,FALSE)</f>
        <v>Pay TV</v>
      </c>
      <c r="O98" s="1">
        <f>VLOOKUP(CONCATENATE(Broadcast_BASE[[#This Row],[Broadcast Market]],Broadcast_BASE[[#This Row],[Broadcaster]]),Table1[[CC]:[Pay TV vs. Free-to-Air]],2,FALSE)</f>
        <v>1269000</v>
      </c>
      <c r="P98" s="57">
        <f>Broadcast_BASE[[#This Row],[Rolex EXP]]*86400</f>
        <v>27327.314927805739</v>
      </c>
      <c r="Q98" s="73" t="str">
        <f>IF(Broadcast_BASE[[#This Row],[Dashboard Rated?]]="No","N","Y")</f>
        <v>N</v>
      </c>
      <c r="R98" s="81"/>
      <c r="S98" s="81"/>
    </row>
    <row r="99" spans="1:19" x14ac:dyDescent="0.25">
      <c r="A99" s="72" t="e">
        <f>#REF!</f>
        <v>#REF!</v>
      </c>
      <c r="B99" s="178" t="s">
        <v>60</v>
      </c>
      <c r="C99" s="178" t="s">
        <v>268</v>
      </c>
      <c r="D99" s="178" t="s">
        <v>1642</v>
      </c>
      <c r="E99" s="179">
        <v>0.66239583333333341</v>
      </c>
      <c r="F99" s="180">
        <v>54149</v>
      </c>
      <c r="G99" s="179">
        <v>5.4609418457474163E-2</v>
      </c>
      <c r="H99" s="180">
        <v>7376.7967150200866</v>
      </c>
      <c r="I99" s="180">
        <v>2117.4583842649395</v>
      </c>
      <c r="J99" s="180" t="s">
        <v>1868</v>
      </c>
      <c r="K99" t="str">
        <f>VLOOKUP(Broadcast_BASE[[#This Row],[Broadcast Market]],Continent_Look_Up[],2,FALSE)</f>
        <v>Europe</v>
      </c>
      <c r="L99" t="str">
        <f>IF(OR(Broadcast_BASE[[#This Row],[Broadcast Continent]]="Digital",Broadcast_BASE[[#This Row],[Programme Type]]="Digital"),"Y","N")</f>
        <v>N</v>
      </c>
      <c r="M99" s="4" t="str">
        <f>IF(ISNUMBER(SEARCH("Pan ",Broadcast_BASE[[#This Row],[Broadcast Market]]))=TRUE,"Y","N")</f>
        <v>N</v>
      </c>
      <c r="N99" t="str">
        <f>VLOOKUP(CONCATENATE(Broadcast_BASE[[#This Row],[Broadcast Market]],Broadcast_BASE[[#This Row],[Broadcaster]]),Table1[[CC]:[Pay TV vs. Free-to-Air]],3,FALSE)</f>
        <v>Pay TV</v>
      </c>
      <c r="O99" s="1">
        <f>VLOOKUP(CONCATENATE(Broadcast_BASE[[#This Row],[Broadcast Market]],Broadcast_BASE[[#This Row],[Broadcaster]]),Table1[[CC]:[Pay TV vs. Free-to-Air]],2,FALSE)</f>
        <v>832000</v>
      </c>
      <c r="P99" s="51">
        <f>Broadcast_BASE[[#This Row],[Rolex EXP]]*86400</f>
        <v>4718.253754725768</v>
      </c>
      <c r="Q99" s="73" t="str">
        <f>IF(Broadcast_BASE[[#This Row],[Dashboard Rated?]]="No","N","Y")</f>
        <v>Y</v>
      </c>
      <c r="R99" s="81"/>
      <c r="S99" s="81"/>
    </row>
    <row r="100" spans="1:19" x14ac:dyDescent="0.25">
      <c r="A100" s="72" t="e">
        <f>#REF!</f>
        <v>#REF!</v>
      </c>
      <c r="B100" s="178" t="s">
        <v>60</v>
      </c>
      <c r="C100" s="178" t="s">
        <v>268</v>
      </c>
      <c r="D100" s="178" t="s">
        <v>1643</v>
      </c>
      <c r="E100" s="179">
        <v>6.1044560185185182</v>
      </c>
      <c r="F100" s="180">
        <v>370073</v>
      </c>
      <c r="G100" s="179">
        <v>0.486296116432684</v>
      </c>
      <c r="H100" s="180">
        <v>186145.38274982813</v>
      </c>
      <c r="I100" s="180">
        <v>52562.076633486584</v>
      </c>
      <c r="J100" s="180" t="s">
        <v>1868</v>
      </c>
      <c r="K100" t="str">
        <f>VLOOKUP(Broadcast_BASE[[#This Row],[Broadcast Market]],Continent_Look_Up[],2,FALSE)</f>
        <v>Europe</v>
      </c>
      <c r="L100" t="str">
        <f>IF(OR(Broadcast_BASE[[#This Row],[Broadcast Continent]]="Digital",Broadcast_BASE[[#This Row],[Programme Type]]="Digital"),"Y","N")</f>
        <v>N</v>
      </c>
      <c r="M100" s="4" t="str">
        <f>IF(ISNUMBER(SEARCH("Pan ",Broadcast_BASE[[#This Row],[Broadcast Market]]))=TRUE,"Y","N")</f>
        <v>N</v>
      </c>
      <c r="N100" t="str">
        <f>VLOOKUP(CONCATENATE(Broadcast_BASE[[#This Row],[Broadcast Market]],Broadcast_BASE[[#This Row],[Broadcaster]]),Table1[[CC]:[Pay TV vs. Free-to-Air]],3,FALSE)</f>
        <v>Pay TV</v>
      </c>
      <c r="O100" s="1">
        <f>VLOOKUP(CONCATENATE(Broadcast_BASE[[#This Row],[Broadcast Market]],Broadcast_BASE[[#This Row],[Broadcaster]]),Table1[[CC]:[Pay TV vs. Free-to-Air]],2,FALSE)</f>
        <v>832000</v>
      </c>
      <c r="P100" s="51">
        <f>Broadcast_BASE[[#This Row],[Rolex EXP]]*86400</f>
        <v>42015.984459783896</v>
      </c>
      <c r="Q100" s="73" t="str">
        <f>IF(Broadcast_BASE[[#This Row],[Dashboard Rated?]]="No","N","Y")</f>
        <v>Y</v>
      </c>
      <c r="R100" s="81"/>
      <c r="S100" s="81"/>
    </row>
    <row r="101" spans="1:19" x14ac:dyDescent="0.25">
      <c r="A101" s="72" t="e">
        <f>#REF!</f>
        <v>#REF!</v>
      </c>
      <c r="B101" s="178" t="s">
        <v>60</v>
      </c>
      <c r="C101" s="178" t="s">
        <v>268</v>
      </c>
      <c r="D101" s="178" t="s">
        <v>1644</v>
      </c>
      <c r="E101" s="179">
        <v>1.5316782407407408</v>
      </c>
      <c r="F101" s="180">
        <v>62905</v>
      </c>
      <c r="G101" s="179">
        <v>0.11753393361304386</v>
      </c>
      <c r="H101" s="180">
        <v>18716.463142845419</v>
      </c>
      <c r="I101" s="180">
        <v>5388.1130329910457</v>
      </c>
      <c r="J101" s="180" t="s">
        <v>1868</v>
      </c>
      <c r="K101" t="str">
        <f>VLOOKUP(Broadcast_BASE[[#This Row],[Broadcast Market]],Continent_Look_Up[],2,FALSE)</f>
        <v>Europe</v>
      </c>
      <c r="L101" t="str">
        <f>IF(OR(Broadcast_BASE[[#This Row],[Broadcast Continent]]="Digital",Broadcast_BASE[[#This Row],[Programme Type]]="Digital"),"Y","N")</f>
        <v>N</v>
      </c>
      <c r="M101" s="4" t="str">
        <f>IF(ISNUMBER(SEARCH("Pan ",Broadcast_BASE[[#This Row],[Broadcast Market]]))=TRUE,"Y","N")</f>
        <v>N</v>
      </c>
      <c r="N101" t="str">
        <f>VLOOKUP(CONCATENATE(Broadcast_BASE[[#This Row],[Broadcast Market]],Broadcast_BASE[[#This Row],[Broadcaster]]),Table1[[CC]:[Pay TV vs. Free-to-Air]],3,FALSE)</f>
        <v>Pay TV</v>
      </c>
      <c r="O101" s="1">
        <f>VLOOKUP(CONCATENATE(Broadcast_BASE[[#This Row],[Broadcast Market]],Broadcast_BASE[[#This Row],[Broadcaster]]),Table1[[CC]:[Pay TV vs. Free-to-Air]],2,FALSE)</f>
        <v>832000</v>
      </c>
      <c r="P101" s="57">
        <f>Broadcast_BASE[[#This Row],[Rolex EXP]]*86400</f>
        <v>10154.931864166989</v>
      </c>
      <c r="Q101" s="73" t="str">
        <f>IF(Broadcast_BASE[[#This Row],[Dashboard Rated?]]="No","N","Y")</f>
        <v>Y</v>
      </c>
      <c r="R101" s="81"/>
      <c r="S101" s="81"/>
    </row>
    <row r="102" spans="1:19" x14ac:dyDescent="0.25">
      <c r="A102" s="72" t="e">
        <f>#REF!</f>
        <v>#REF!</v>
      </c>
      <c r="B102" s="178" t="s">
        <v>60</v>
      </c>
      <c r="C102" s="178" t="s">
        <v>269</v>
      </c>
      <c r="D102" s="178" t="s">
        <v>1642</v>
      </c>
      <c r="E102" s="179">
        <v>0.83843749999999995</v>
      </c>
      <c r="F102" s="180">
        <v>59248</v>
      </c>
      <c r="G102" s="179">
        <v>6.595121621262047E-2</v>
      </c>
      <c r="H102" s="180">
        <v>8230.5624359528629</v>
      </c>
      <c r="I102" s="180">
        <v>2364.6395357164938</v>
      </c>
      <c r="J102" s="180" t="s">
        <v>1867</v>
      </c>
      <c r="K102" t="str">
        <f>VLOOKUP(Broadcast_BASE[[#This Row],[Broadcast Market]],Continent_Look_Up[],2,FALSE)</f>
        <v>Europe</v>
      </c>
      <c r="L102" t="str">
        <f>IF(OR(Broadcast_BASE[[#This Row],[Broadcast Continent]]="Digital",Broadcast_BASE[[#This Row],[Programme Type]]="Digital"),"Y","N")</f>
        <v>N</v>
      </c>
      <c r="M102" s="4" t="str">
        <f>IF(ISNUMBER(SEARCH("Pan ",Broadcast_BASE[[#This Row],[Broadcast Market]]))=TRUE,"Y","N")</f>
        <v>N</v>
      </c>
      <c r="N102" t="str">
        <f>VLOOKUP(CONCATENATE(Broadcast_BASE[[#This Row],[Broadcast Market]],Broadcast_BASE[[#This Row],[Broadcaster]]),Table1[[CC]:[Pay TV vs. Free-to-Air]],3,FALSE)</f>
        <v>Pay TV</v>
      </c>
      <c r="O102" s="1">
        <f>VLOOKUP(CONCATENATE(Broadcast_BASE[[#This Row],[Broadcast Market]],Broadcast_BASE[[#This Row],[Broadcaster]]),Table1[[CC]:[Pay TV vs. Free-to-Air]],2,FALSE)</f>
        <v>2098000</v>
      </c>
      <c r="P102" s="51">
        <f>Broadcast_BASE[[#This Row],[Rolex EXP]]*86400</f>
        <v>5698.1850807704086</v>
      </c>
      <c r="Q102" s="73" t="str">
        <f>IF(Broadcast_BASE[[#This Row],[Dashboard Rated?]]="No","N","Y")</f>
        <v>N</v>
      </c>
      <c r="R102" s="82"/>
      <c r="S102" s="82"/>
    </row>
    <row r="103" spans="1:19" x14ac:dyDescent="0.25">
      <c r="A103" s="72" t="e">
        <f>#REF!</f>
        <v>#REF!</v>
      </c>
      <c r="B103" s="178" t="s">
        <v>60</v>
      </c>
      <c r="C103" s="178" t="s">
        <v>269</v>
      </c>
      <c r="D103" s="178" t="s">
        <v>1643</v>
      </c>
      <c r="E103" s="179">
        <v>3.0458796296296295</v>
      </c>
      <c r="F103" s="180">
        <v>213495</v>
      </c>
      <c r="G103" s="179">
        <v>0.25179070981041834</v>
      </c>
      <c r="H103" s="180">
        <v>82630.458042268845</v>
      </c>
      <c r="I103" s="180">
        <v>24856.263027068195</v>
      </c>
      <c r="J103" s="180" t="s">
        <v>1867</v>
      </c>
      <c r="K103" t="str">
        <f>VLOOKUP(Broadcast_BASE[[#This Row],[Broadcast Market]],Continent_Look_Up[],2,FALSE)</f>
        <v>Europe</v>
      </c>
      <c r="L103" t="str">
        <f>IF(OR(Broadcast_BASE[[#This Row],[Broadcast Continent]]="Digital",Broadcast_BASE[[#This Row],[Programme Type]]="Digital"),"Y","N")</f>
        <v>N</v>
      </c>
      <c r="M103" s="4" t="str">
        <f>IF(ISNUMBER(SEARCH("Pan ",Broadcast_BASE[[#This Row],[Broadcast Market]]))=TRUE,"Y","N")</f>
        <v>N</v>
      </c>
      <c r="N103" t="str">
        <f>VLOOKUP(CONCATENATE(Broadcast_BASE[[#This Row],[Broadcast Market]],Broadcast_BASE[[#This Row],[Broadcaster]]),Table1[[CC]:[Pay TV vs. Free-to-Air]],3,FALSE)</f>
        <v>Pay TV</v>
      </c>
      <c r="O103" s="1">
        <f>VLOOKUP(CONCATENATE(Broadcast_BASE[[#This Row],[Broadcast Market]],Broadcast_BASE[[#This Row],[Broadcaster]]),Table1[[CC]:[Pay TV vs. Free-to-Air]],2,FALSE)</f>
        <v>2098000</v>
      </c>
      <c r="P103" s="51">
        <f>Broadcast_BASE[[#This Row],[Rolex EXP]]*86400</f>
        <v>21754.717327620147</v>
      </c>
      <c r="Q103" s="73" t="str">
        <f>IF(Broadcast_BASE[[#This Row],[Dashboard Rated?]]="No","N","Y")</f>
        <v>N</v>
      </c>
      <c r="R103" s="82"/>
      <c r="S103" s="82"/>
    </row>
    <row r="104" spans="1:19" x14ac:dyDescent="0.25">
      <c r="A104" s="72" t="e">
        <f>#REF!</f>
        <v>#REF!</v>
      </c>
      <c r="B104" s="178" t="s">
        <v>60</v>
      </c>
      <c r="C104" s="178" t="s">
        <v>269</v>
      </c>
      <c r="D104" s="178" t="s">
        <v>1644</v>
      </c>
      <c r="E104" s="179">
        <v>2.4179629629629633</v>
      </c>
      <c r="F104" s="180">
        <v>90818</v>
      </c>
      <c r="G104" s="179">
        <v>0.18174330250067053</v>
      </c>
      <c r="H104" s="180">
        <v>23672.283370127563</v>
      </c>
      <c r="I104" s="180">
        <v>6713.2659678494565</v>
      </c>
      <c r="J104" s="180" t="s">
        <v>1867</v>
      </c>
      <c r="K104" t="str">
        <f>VLOOKUP(Broadcast_BASE[[#This Row],[Broadcast Market]],Continent_Look_Up[],2,FALSE)</f>
        <v>Europe</v>
      </c>
      <c r="L104" t="str">
        <f>IF(OR(Broadcast_BASE[[#This Row],[Broadcast Continent]]="Digital",Broadcast_BASE[[#This Row],[Programme Type]]="Digital"),"Y","N")</f>
        <v>N</v>
      </c>
      <c r="M104" s="4" t="str">
        <f>IF(ISNUMBER(SEARCH("Pan ",Broadcast_BASE[[#This Row],[Broadcast Market]]))=TRUE,"Y","N")</f>
        <v>N</v>
      </c>
      <c r="N104" t="str">
        <f>VLOOKUP(CONCATENATE(Broadcast_BASE[[#This Row],[Broadcast Market]],Broadcast_BASE[[#This Row],[Broadcaster]]),Table1[[CC]:[Pay TV vs. Free-to-Air]],3,FALSE)</f>
        <v>Pay TV</v>
      </c>
      <c r="O104" s="1">
        <f>VLOOKUP(CONCATENATE(Broadcast_BASE[[#This Row],[Broadcast Market]],Broadcast_BASE[[#This Row],[Broadcaster]]),Table1[[CC]:[Pay TV vs. Free-to-Air]],2,FALSE)</f>
        <v>2098000</v>
      </c>
      <c r="P104" s="51">
        <f>Broadcast_BASE[[#This Row],[Rolex EXP]]*86400</f>
        <v>15702.621336057933</v>
      </c>
      <c r="Q104" s="73" t="str">
        <f>IF(Broadcast_BASE[[#This Row],[Dashboard Rated?]]="No","N","Y")</f>
        <v>N</v>
      </c>
      <c r="R104" s="82"/>
      <c r="S104" s="82"/>
    </row>
    <row r="105" spans="1:19" x14ac:dyDescent="0.25">
      <c r="A105" s="72" t="e">
        <f>#REF!</f>
        <v>#REF!</v>
      </c>
      <c r="B105" s="178" t="s">
        <v>62</v>
      </c>
      <c r="C105" s="178" t="s">
        <v>833</v>
      </c>
      <c r="D105" s="178" t="s">
        <v>1643</v>
      </c>
      <c r="E105" s="179">
        <v>0.23629629629629631</v>
      </c>
      <c r="F105" s="180">
        <v>132</v>
      </c>
      <c r="G105" s="179">
        <v>1.3631034046251241E-2</v>
      </c>
      <c r="H105" s="180">
        <v>49.205722509957106</v>
      </c>
      <c r="I105" s="180">
        <v>14.592685906792815</v>
      </c>
      <c r="J105" s="180" t="s">
        <v>1868</v>
      </c>
      <c r="K105" t="str">
        <f>VLOOKUP(Broadcast_BASE[[#This Row],[Broadcast Market]],Continent_Look_Up[],2,FALSE)</f>
        <v>Asia Pacific</v>
      </c>
      <c r="L105" t="str">
        <f>IF(OR(Broadcast_BASE[[#This Row],[Broadcast Continent]]="Digital",Broadcast_BASE[[#This Row],[Programme Type]]="Digital"),"Y","N")</f>
        <v>N</v>
      </c>
      <c r="M105" s="4" t="str">
        <f>IF(ISNUMBER(SEARCH("Pan ",Broadcast_BASE[[#This Row],[Broadcast Market]]))=TRUE,"Y","N")</f>
        <v>N</v>
      </c>
      <c r="N105" t="str">
        <f>VLOOKUP(CONCATENATE(Broadcast_BASE[[#This Row],[Broadcast Market]],Broadcast_BASE[[#This Row],[Broadcaster]]),Table1[[CC]:[Pay TV vs. Free-to-Air]],3,FALSE)</f>
        <v>Free-to-Air</v>
      </c>
      <c r="O105" s="1">
        <f>VLOOKUP(CONCATENATE(Broadcast_BASE[[#This Row],[Broadcast Market]],Broadcast_BASE[[#This Row],[Broadcaster]]),Table1[[CC]:[Pay TV vs. Free-to-Air]],2,FALSE)</f>
        <v>130000000</v>
      </c>
      <c r="P105" s="57">
        <f>Broadcast_BASE[[#This Row],[Rolex EXP]]*86400</f>
        <v>1177.7213415961073</v>
      </c>
      <c r="Q105" s="73" t="str">
        <f>IF(Broadcast_BASE[[#This Row],[Dashboard Rated?]]="No","N","Y")</f>
        <v>Y</v>
      </c>
      <c r="R105" s="82"/>
      <c r="S105" s="82"/>
    </row>
    <row r="106" spans="1:19" x14ac:dyDescent="0.25">
      <c r="A106" s="72" t="e">
        <f>#REF!</f>
        <v>#REF!</v>
      </c>
      <c r="B106" s="178" t="s">
        <v>62</v>
      </c>
      <c r="C106" s="178" t="s">
        <v>1646</v>
      </c>
      <c r="D106" s="178" t="s">
        <v>1642</v>
      </c>
      <c r="E106" s="179">
        <v>2.4898958333333332</v>
      </c>
      <c r="F106" s="180">
        <v>44485</v>
      </c>
      <c r="G106" s="179">
        <v>0.15251829608875903</v>
      </c>
      <c r="H106" s="180">
        <v>2872.5569926941935</v>
      </c>
      <c r="I106" s="180">
        <v>797.52019044603071</v>
      </c>
      <c r="J106" s="180" t="s">
        <v>1868</v>
      </c>
      <c r="K106" t="str">
        <f>VLOOKUP(Broadcast_BASE[[#This Row],[Broadcast Market]],Continent_Look_Up[],2,FALSE)</f>
        <v>Asia Pacific</v>
      </c>
      <c r="L106" t="str">
        <f>IF(OR(Broadcast_BASE[[#This Row],[Broadcast Continent]]="Digital",Broadcast_BASE[[#This Row],[Programme Type]]="Digital"),"Y","N")</f>
        <v>N</v>
      </c>
      <c r="M106" s="4" t="str">
        <f>IF(ISNUMBER(SEARCH("Pan ",Broadcast_BASE[[#This Row],[Broadcast Market]]))=TRUE,"Y","N")</f>
        <v>N</v>
      </c>
      <c r="N106" t="str">
        <f>VLOOKUP(CONCATENATE(Broadcast_BASE[[#This Row],[Broadcast Market]],Broadcast_BASE[[#This Row],[Broadcaster]]),Table1[[CC]:[Pay TV vs. Free-to-Air]],3,FALSE)</f>
        <v>Pay TV</v>
      </c>
      <c r="O106" s="1">
        <f>VLOOKUP(CONCATENATE(Broadcast_BASE[[#This Row],[Broadcast Market]],Broadcast_BASE[[#This Row],[Broadcaster]]),Table1[[CC]:[Pay TV vs. Free-to-Air]],2,FALSE)</f>
        <v>5000000</v>
      </c>
      <c r="P106" s="51">
        <f>Broadcast_BASE[[#This Row],[Rolex EXP]]*86400</f>
        <v>13177.580782068781</v>
      </c>
      <c r="Q106" s="73" t="str">
        <f>IF(Broadcast_BASE[[#This Row],[Dashboard Rated?]]="No","N","Y")</f>
        <v>Y</v>
      </c>
      <c r="R106" s="82"/>
      <c r="S106" s="82"/>
    </row>
    <row r="107" spans="1:19" x14ac:dyDescent="0.25">
      <c r="A107" s="72" t="e">
        <f>#REF!</f>
        <v>#REF!</v>
      </c>
      <c r="B107" s="178" t="s">
        <v>62</v>
      </c>
      <c r="C107" s="178" t="s">
        <v>1646</v>
      </c>
      <c r="D107" s="178" t="s">
        <v>1643</v>
      </c>
      <c r="E107" s="179">
        <v>6.4253240740740738</v>
      </c>
      <c r="F107" s="180">
        <v>43725</v>
      </c>
      <c r="G107" s="179">
        <v>0.40501877430794914</v>
      </c>
      <c r="H107" s="180">
        <v>26401.427506479667</v>
      </c>
      <c r="I107" s="180">
        <v>7515.1903434589767</v>
      </c>
      <c r="J107" s="180" t="s">
        <v>1868</v>
      </c>
      <c r="K107" t="str">
        <f>VLOOKUP(Broadcast_BASE[[#This Row],[Broadcast Market]],Continent_Look_Up[],2,FALSE)</f>
        <v>Asia Pacific</v>
      </c>
      <c r="L107" t="str">
        <f>IF(OR(Broadcast_BASE[[#This Row],[Broadcast Continent]]="Digital",Broadcast_BASE[[#This Row],[Programme Type]]="Digital"),"Y","N")</f>
        <v>N</v>
      </c>
      <c r="M107" s="4" t="str">
        <f>IF(ISNUMBER(SEARCH("Pan ",Broadcast_BASE[[#This Row],[Broadcast Market]]))=TRUE,"Y","N")</f>
        <v>N</v>
      </c>
      <c r="N107" t="str">
        <f>VLOOKUP(CONCATENATE(Broadcast_BASE[[#This Row],[Broadcast Market]],Broadcast_BASE[[#This Row],[Broadcaster]]),Table1[[CC]:[Pay TV vs. Free-to-Air]],3,FALSE)</f>
        <v>Pay TV</v>
      </c>
      <c r="O107" s="1">
        <f>VLOOKUP(CONCATENATE(Broadcast_BASE[[#This Row],[Broadcast Market]],Broadcast_BASE[[#This Row],[Broadcaster]]),Table1[[CC]:[Pay TV vs. Free-to-Air]],2,FALSE)</f>
        <v>5000000</v>
      </c>
      <c r="P107" s="51">
        <f>Broadcast_BASE[[#This Row],[Rolex EXP]]*86400</f>
        <v>34993.622100206805</v>
      </c>
      <c r="Q107" s="73" t="str">
        <f>IF(Broadcast_BASE[[#This Row],[Dashboard Rated?]]="No","N","Y")</f>
        <v>Y</v>
      </c>
      <c r="R107" s="82"/>
      <c r="S107" s="82"/>
    </row>
    <row r="108" spans="1:19" x14ac:dyDescent="0.25">
      <c r="A108" s="72" t="e">
        <f>#REF!</f>
        <v>#REF!</v>
      </c>
      <c r="B108" s="178" t="s">
        <v>62</v>
      </c>
      <c r="C108" s="178" t="s">
        <v>868</v>
      </c>
      <c r="D108" s="178" t="s">
        <v>1642</v>
      </c>
      <c r="E108" s="179">
        <v>2.4945601851851849</v>
      </c>
      <c r="F108" s="180">
        <v>477136</v>
      </c>
      <c r="G108" s="179">
        <v>0.15280401044968897</v>
      </c>
      <c r="H108" s="180">
        <v>30591.709569901697</v>
      </c>
      <c r="I108" s="180">
        <v>8493.3061743624639</v>
      </c>
      <c r="J108" s="180" t="s">
        <v>1868</v>
      </c>
      <c r="K108" t="str">
        <f>VLOOKUP(Broadcast_BASE[[#This Row],[Broadcast Market]],Continent_Look_Up[],2,FALSE)</f>
        <v>Asia Pacific</v>
      </c>
      <c r="L108" t="str">
        <f>IF(OR(Broadcast_BASE[[#This Row],[Broadcast Continent]]="Digital",Broadcast_BASE[[#This Row],[Programme Type]]="Digital"),"Y","N")</f>
        <v>N</v>
      </c>
      <c r="M108" s="4" t="str">
        <f>IF(ISNUMBER(SEARCH("Pan ",Broadcast_BASE[[#This Row],[Broadcast Market]]))=TRUE,"Y","N")</f>
        <v>N</v>
      </c>
      <c r="N108" t="str">
        <f>VLOOKUP(CONCATENATE(Broadcast_BASE[[#This Row],[Broadcast Market]],Broadcast_BASE[[#This Row],[Broadcaster]]),Table1[[CC]:[Pay TV vs. Free-to-Air]],3,FALSE)</f>
        <v>Pay TV</v>
      </c>
      <c r="O108" s="1">
        <f>VLOOKUP(CONCATENATE(Broadcast_BASE[[#This Row],[Broadcast Market]],Broadcast_BASE[[#This Row],[Broadcaster]]),Table1[[CC]:[Pay TV vs. Free-to-Air]],2,FALSE)</f>
        <v>40000000</v>
      </c>
      <c r="P108" s="57">
        <f>Broadcast_BASE[[#This Row],[Rolex EXP]]*86400</f>
        <v>13202.266502853126</v>
      </c>
      <c r="Q108" s="73" t="str">
        <f>IF(Broadcast_BASE[[#This Row],[Dashboard Rated?]]="No","N","Y")</f>
        <v>Y</v>
      </c>
      <c r="R108" s="82"/>
      <c r="S108" s="82"/>
    </row>
    <row r="109" spans="1:19" x14ac:dyDescent="0.25">
      <c r="A109" s="72" t="e">
        <f>#REF!</f>
        <v>#REF!</v>
      </c>
      <c r="B109" s="178" t="s">
        <v>62</v>
      </c>
      <c r="C109" s="178" t="s">
        <v>868</v>
      </c>
      <c r="D109" s="178" t="s">
        <v>1643</v>
      </c>
      <c r="E109" s="179">
        <v>6.4204629629629641</v>
      </c>
      <c r="F109" s="180">
        <v>186783</v>
      </c>
      <c r="G109" s="179">
        <v>0.40484266118142603</v>
      </c>
      <c r="H109" s="180">
        <v>147993.1690703092</v>
      </c>
      <c r="I109" s="180">
        <v>41737.793968099475</v>
      </c>
      <c r="J109" s="180" t="s">
        <v>1868</v>
      </c>
      <c r="K109" t="str">
        <f>VLOOKUP(Broadcast_BASE[[#This Row],[Broadcast Market]],Continent_Look_Up[],2,FALSE)</f>
        <v>Asia Pacific</v>
      </c>
      <c r="L109" t="str">
        <f>IF(OR(Broadcast_BASE[[#This Row],[Broadcast Continent]]="Digital",Broadcast_BASE[[#This Row],[Programme Type]]="Digital"),"Y","N")</f>
        <v>N</v>
      </c>
      <c r="M109" s="4" t="str">
        <f>IF(ISNUMBER(SEARCH("Pan ",Broadcast_BASE[[#This Row],[Broadcast Market]]))=TRUE,"Y","N")</f>
        <v>N</v>
      </c>
      <c r="N109" t="str">
        <f>VLOOKUP(CONCATENATE(Broadcast_BASE[[#This Row],[Broadcast Market]],Broadcast_BASE[[#This Row],[Broadcaster]]),Table1[[CC]:[Pay TV vs. Free-to-Air]],3,FALSE)</f>
        <v>Pay TV</v>
      </c>
      <c r="O109" s="1">
        <f>VLOOKUP(CONCATENATE(Broadcast_BASE[[#This Row],[Broadcast Market]],Broadcast_BASE[[#This Row],[Broadcaster]]),Table1[[CC]:[Pay TV vs. Free-to-Air]],2,FALSE)</f>
        <v>40000000</v>
      </c>
      <c r="P109" s="57">
        <f>Broadcast_BASE[[#This Row],[Rolex EXP]]*86400</f>
        <v>34978.405926075211</v>
      </c>
      <c r="Q109" s="73" t="str">
        <f>IF(Broadcast_BASE[[#This Row],[Dashboard Rated?]]="No","N","Y")</f>
        <v>Y</v>
      </c>
      <c r="R109" s="82"/>
      <c r="S109" s="82"/>
    </row>
    <row r="110" spans="1:19" x14ac:dyDescent="0.25">
      <c r="A110" s="72" t="e">
        <f>#REF!</f>
        <v>#REF!</v>
      </c>
      <c r="B110" s="178" t="s">
        <v>62</v>
      </c>
      <c r="C110" s="178" t="s">
        <v>1645</v>
      </c>
      <c r="D110" s="178" t="s">
        <v>1642</v>
      </c>
      <c r="E110" s="179">
        <v>3.2355555555555555</v>
      </c>
      <c r="F110" s="180">
        <v>84077</v>
      </c>
      <c r="G110" s="179">
        <v>0.19819360056248056</v>
      </c>
      <c r="H110" s="180">
        <v>5438.8293633796875</v>
      </c>
      <c r="I110" s="180">
        <v>1510.0052812591136</v>
      </c>
      <c r="J110" s="180" t="s">
        <v>1868</v>
      </c>
      <c r="K110" t="str">
        <f>VLOOKUP(Broadcast_BASE[[#This Row],[Broadcast Market]],Continent_Look_Up[],2,FALSE)</f>
        <v>Asia Pacific</v>
      </c>
      <c r="L110" t="str">
        <f>IF(OR(Broadcast_BASE[[#This Row],[Broadcast Continent]]="Digital",Broadcast_BASE[[#This Row],[Programme Type]]="Digital"),"Y","N")</f>
        <v>N</v>
      </c>
      <c r="M110" s="4" t="str">
        <f>IF(ISNUMBER(SEARCH("Pan ",Broadcast_BASE[[#This Row],[Broadcast Market]]))=TRUE,"Y","N")</f>
        <v>N</v>
      </c>
      <c r="N110" t="str">
        <f>VLOOKUP(CONCATENATE(Broadcast_BASE[[#This Row],[Broadcast Market]],Broadcast_BASE[[#This Row],[Broadcaster]]),Table1[[CC]:[Pay TV vs. Free-to-Air]],3,FALSE)</f>
        <v>Pay TV</v>
      </c>
      <c r="O110" s="1">
        <f>VLOOKUP(CONCATENATE(Broadcast_BASE[[#This Row],[Broadcast Market]],Broadcast_BASE[[#This Row],[Broadcaster]]),Table1[[CC]:[Pay TV vs. Free-to-Air]],2,FALSE)</f>
        <v>5000000</v>
      </c>
      <c r="P110" s="51">
        <f>Broadcast_BASE[[#This Row],[Rolex EXP]]*86400</f>
        <v>17123.927088598321</v>
      </c>
      <c r="Q110" s="73" t="str">
        <f>IF(Broadcast_BASE[[#This Row],[Dashboard Rated?]]="No","N","Y")</f>
        <v>Y</v>
      </c>
      <c r="R110" s="82"/>
      <c r="S110" s="82"/>
    </row>
    <row r="111" spans="1:19" x14ac:dyDescent="0.25">
      <c r="A111" s="72" t="e">
        <f>#REF!</f>
        <v>#REF!</v>
      </c>
      <c r="B111" s="178" t="s">
        <v>62</v>
      </c>
      <c r="C111" s="178" t="s">
        <v>1645</v>
      </c>
      <c r="D111" s="178" t="s">
        <v>1643</v>
      </c>
      <c r="E111" s="179">
        <v>5.2676273148148143</v>
      </c>
      <c r="F111" s="180">
        <v>17449</v>
      </c>
      <c r="G111" s="179">
        <v>0.29084470662006001</v>
      </c>
      <c r="H111" s="180">
        <v>17098.086365335537</v>
      </c>
      <c r="I111" s="180">
        <v>4775.820567587054</v>
      </c>
      <c r="J111" s="180" t="s">
        <v>1868</v>
      </c>
      <c r="K111" t="str">
        <f>VLOOKUP(Broadcast_BASE[[#This Row],[Broadcast Market]],Continent_Look_Up[],2,FALSE)</f>
        <v>Asia Pacific</v>
      </c>
      <c r="L111" t="str">
        <f>IF(OR(Broadcast_BASE[[#This Row],[Broadcast Continent]]="Digital",Broadcast_BASE[[#This Row],[Programme Type]]="Digital"),"Y","N")</f>
        <v>N</v>
      </c>
      <c r="M111" s="4" t="str">
        <f>IF(ISNUMBER(SEARCH("Pan ",Broadcast_BASE[[#This Row],[Broadcast Market]]))=TRUE,"Y","N")</f>
        <v>N</v>
      </c>
      <c r="N111" t="str">
        <f>VLOOKUP(CONCATENATE(Broadcast_BASE[[#This Row],[Broadcast Market]],Broadcast_BASE[[#This Row],[Broadcaster]]),Table1[[CC]:[Pay TV vs. Free-to-Air]],3,FALSE)</f>
        <v>Pay TV</v>
      </c>
      <c r="O111" s="1">
        <f>VLOOKUP(CONCATENATE(Broadcast_BASE[[#This Row],[Broadcast Market]],Broadcast_BASE[[#This Row],[Broadcaster]]),Table1[[CC]:[Pay TV vs. Free-to-Air]],2,FALSE)</f>
        <v>5000000</v>
      </c>
      <c r="P111" s="57">
        <f>Broadcast_BASE[[#This Row],[Rolex EXP]]*86400</f>
        <v>25128.982651973183</v>
      </c>
      <c r="Q111" s="73" t="str">
        <f>IF(Broadcast_BASE[[#This Row],[Dashboard Rated?]]="No","N","Y")</f>
        <v>Y</v>
      </c>
      <c r="R111" s="82"/>
      <c r="S111" s="82"/>
    </row>
    <row r="112" spans="1:19" x14ac:dyDescent="0.25">
      <c r="A112" s="72" t="e">
        <f>#REF!</f>
        <v>#REF!</v>
      </c>
      <c r="B112" s="178" t="s">
        <v>62</v>
      </c>
      <c r="C112" s="178" t="s">
        <v>871</v>
      </c>
      <c r="D112" s="178" t="s">
        <v>1642</v>
      </c>
      <c r="E112" s="179">
        <v>3.2478703703703702</v>
      </c>
      <c r="F112" s="180">
        <v>960408</v>
      </c>
      <c r="G112" s="179">
        <v>0.19894794319282663</v>
      </c>
      <c r="H112" s="180">
        <v>61943.401447642231</v>
      </c>
      <c r="I112" s="180">
        <v>17197.609462594104</v>
      </c>
      <c r="J112" s="180" t="s">
        <v>1868</v>
      </c>
      <c r="K112" t="str">
        <f>VLOOKUP(Broadcast_BASE[[#This Row],[Broadcast Market]],Continent_Look_Up[],2,FALSE)</f>
        <v>Asia Pacific</v>
      </c>
      <c r="L112" t="str">
        <f>IF(OR(Broadcast_BASE[[#This Row],[Broadcast Continent]]="Digital",Broadcast_BASE[[#This Row],[Programme Type]]="Digital"),"Y","N")</f>
        <v>N</v>
      </c>
      <c r="M112" s="4" t="str">
        <f>IF(ISNUMBER(SEARCH("Pan ",Broadcast_BASE[[#This Row],[Broadcast Market]]))=TRUE,"Y","N")</f>
        <v>N</v>
      </c>
      <c r="N112" t="str">
        <f>VLOOKUP(CONCATENATE(Broadcast_BASE[[#This Row],[Broadcast Market]],Broadcast_BASE[[#This Row],[Broadcaster]]),Table1[[CC]:[Pay TV vs. Free-to-Air]],3,FALSE)</f>
        <v>Pay TV</v>
      </c>
      <c r="O112" s="1">
        <f>VLOOKUP(CONCATENATE(Broadcast_BASE[[#This Row],[Broadcast Market]],Broadcast_BASE[[#This Row],[Broadcaster]]),Table1[[CC]:[Pay TV vs. Free-to-Air]],2,FALSE)</f>
        <v>29000000</v>
      </c>
      <c r="P112" s="51">
        <f>Broadcast_BASE[[#This Row],[Rolex EXP]]*86400</f>
        <v>17189.102291860221</v>
      </c>
      <c r="Q112" s="73" t="str">
        <f>IF(Broadcast_BASE[[#This Row],[Dashboard Rated?]]="No","N","Y")</f>
        <v>Y</v>
      </c>
      <c r="R112" s="82"/>
      <c r="S112" s="82"/>
    </row>
    <row r="113" spans="1:19" x14ac:dyDescent="0.25">
      <c r="A113" s="72" t="e">
        <f>#REF!</f>
        <v>#REF!</v>
      </c>
      <c r="B113" s="178" t="s">
        <v>62</v>
      </c>
      <c r="C113" s="178" t="s">
        <v>871</v>
      </c>
      <c r="D113" s="178" t="s">
        <v>1643</v>
      </c>
      <c r="E113" s="179">
        <v>5.2676967592592598</v>
      </c>
      <c r="F113" s="180">
        <v>45537</v>
      </c>
      <c r="G113" s="179">
        <v>0.29083737131073695</v>
      </c>
      <c r="H113" s="180">
        <v>32316.866829762792</v>
      </c>
      <c r="I113" s="180">
        <v>9077.6562053365142</v>
      </c>
      <c r="J113" s="180" t="s">
        <v>1868</v>
      </c>
      <c r="K113" t="str">
        <f>VLOOKUP(Broadcast_BASE[[#This Row],[Broadcast Market]],Continent_Look_Up[],2,FALSE)</f>
        <v>Asia Pacific</v>
      </c>
      <c r="L113" t="str">
        <f>IF(OR(Broadcast_BASE[[#This Row],[Broadcast Continent]]="Digital",Broadcast_BASE[[#This Row],[Programme Type]]="Digital"),"Y","N")</f>
        <v>N</v>
      </c>
      <c r="M113" s="4" t="str">
        <f>IF(ISNUMBER(SEARCH("Pan ",Broadcast_BASE[[#This Row],[Broadcast Market]]))=TRUE,"Y","N")</f>
        <v>N</v>
      </c>
      <c r="N113" t="str">
        <f>VLOOKUP(CONCATENATE(Broadcast_BASE[[#This Row],[Broadcast Market]],Broadcast_BASE[[#This Row],[Broadcaster]]),Table1[[CC]:[Pay TV vs. Free-to-Air]],3,FALSE)</f>
        <v>Pay TV</v>
      </c>
      <c r="O113" s="1">
        <f>VLOOKUP(CONCATENATE(Broadcast_BASE[[#This Row],[Broadcast Market]],Broadcast_BASE[[#This Row],[Broadcaster]]),Table1[[CC]:[Pay TV vs. Free-to-Air]],2,FALSE)</f>
        <v>29000000</v>
      </c>
      <c r="P113" s="57">
        <f>Broadcast_BASE[[#This Row],[Rolex EXP]]*86400</f>
        <v>25128.348881247672</v>
      </c>
      <c r="Q113" s="73" t="str">
        <f>IF(Broadcast_BASE[[#This Row],[Dashboard Rated?]]="No","N","Y")</f>
        <v>Y</v>
      </c>
      <c r="R113" s="82"/>
      <c r="S113" s="82"/>
    </row>
    <row r="114" spans="1:19" x14ac:dyDescent="0.25">
      <c r="A114" s="72" t="e">
        <f>#REF!</f>
        <v>#REF!</v>
      </c>
      <c r="B114" s="178" t="s">
        <v>63</v>
      </c>
      <c r="C114" s="178" t="s">
        <v>468</v>
      </c>
      <c r="D114" s="178" t="s">
        <v>1642</v>
      </c>
      <c r="E114" s="179">
        <v>2.8576388888888888</v>
      </c>
      <c r="F114" s="180">
        <v>524251</v>
      </c>
      <c r="G114" s="179">
        <v>0.18354073538611707</v>
      </c>
      <c r="H114" s="180">
        <v>7253.4821007349337</v>
      </c>
      <c r="I114" s="180">
        <v>2048.7120658147082</v>
      </c>
      <c r="J114" s="180" t="s">
        <v>1867</v>
      </c>
      <c r="K114" t="str">
        <f>VLOOKUP(Broadcast_BASE[[#This Row],[Broadcast Market]],Continent_Look_Up[],2,FALSE)</f>
        <v>Asia Pacific</v>
      </c>
      <c r="L114" t="str">
        <f>IF(OR(Broadcast_BASE[[#This Row],[Broadcast Continent]]="Digital",Broadcast_BASE[[#This Row],[Programme Type]]="Digital"),"Y","N")</f>
        <v>N</v>
      </c>
      <c r="M114" s="4" t="str">
        <f>IF(ISNUMBER(SEARCH("Pan ",Broadcast_BASE[[#This Row],[Broadcast Market]]))=TRUE,"Y","N")</f>
        <v>N</v>
      </c>
      <c r="N114" t="str">
        <f>VLOOKUP(CONCATENATE(Broadcast_BASE[[#This Row],[Broadcast Market]],Broadcast_BASE[[#This Row],[Broadcaster]]),Table1[[CC]:[Pay TV vs. Free-to-Air]],3,FALSE)</f>
        <v>Pay TV</v>
      </c>
      <c r="O114" s="1">
        <f>VLOOKUP(CONCATENATE(Broadcast_BASE[[#This Row],[Broadcast Market]],Broadcast_BASE[[#This Row],[Broadcaster]]),Table1[[CC]:[Pay TV vs. Free-to-Air]],2,FALSE)</f>
        <v>4637000</v>
      </c>
      <c r="P114" s="57">
        <f>Broadcast_BASE[[#This Row],[Rolex EXP]]*86400</f>
        <v>15857.919537360514</v>
      </c>
      <c r="Q114" s="73" t="str">
        <f>IF(Broadcast_BASE[[#This Row],[Dashboard Rated?]]="No","N","Y")</f>
        <v>N</v>
      </c>
      <c r="R114" s="82"/>
      <c r="S114" s="82"/>
    </row>
    <row r="115" spans="1:19" x14ac:dyDescent="0.25">
      <c r="A115" s="72" t="e">
        <f>#REF!</f>
        <v>#REF!</v>
      </c>
      <c r="B115" s="178" t="s">
        <v>63</v>
      </c>
      <c r="C115" s="178" t="s">
        <v>468</v>
      </c>
      <c r="D115" s="178" t="s">
        <v>1643</v>
      </c>
      <c r="E115" s="179">
        <v>3.7222222222222219</v>
      </c>
      <c r="F115" s="180">
        <v>207018</v>
      </c>
      <c r="G115" s="179">
        <v>0.22800431383389752</v>
      </c>
      <c r="H115" s="180">
        <v>23380.621571595202</v>
      </c>
      <c r="I115" s="180">
        <v>6491.2612059391931</v>
      </c>
      <c r="J115" s="180" t="s">
        <v>1867</v>
      </c>
      <c r="K115" t="str">
        <f>VLOOKUP(Broadcast_BASE[[#This Row],[Broadcast Market]],Continent_Look_Up[],2,FALSE)</f>
        <v>Asia Pacific</v>
      </c>
      <c r="L115" t="str">
        <f>IF(OR(Broadcast_BASE[[#This Row],[Broadcast Continent]]="Digital",Broadcast_BASE[[#This Row],[Programme Type]]="Digital"),"Y","N")</f>
        <v>N</v>
      </c>
      <c r="M115" s="4" t="str">
        <f>IF(ISNUMBER(SEARCH("Pan ",Broadcast_BASE[[#This Row],[Broadcast Market]]))=TRUE,"Y","N")</f>
        <v>N</v>
      </c>
      <c r="N115" t="str">
        <f>VLOOKUP(CONCATENATE(Broadcast_BASE[[#This Row],[Broadcast Market]],Broadcast_BASE[[#This Row],[Broadcaster]]),Table1[[CC]:[Pay TV vs. Free-to-Air]],3,FALSE)</f>
        <v>Pay TV</v>
      </c>
      <c r="O115" s="1">
        <f>VLOOKUP(CONCATENATE(Broadcast_BASE[[#This Row],[Broadcast Market]],Broadcast_BASE[[#This Row],[Broadcaster]]),Table1[[CC]:[Pay TV vs. Free-to-Air]],2,FALSE)</f>
        <v>4637000</v>
      </c>
      <c r="P115" s="51">
        <f>Broadcast_BASE[[#This Row],[Rolex EXP]]*86400</f>
        <v>19699.572715248745</v>
      </c>
      <c r="Q115" s="73" t="str">
        <f>IF(Broadcast_BASE[[#This Row],[Dashboard Rated?]]="No","N","Y")</f>
        <v>N</v>
      </c>
      <c r="R115" s="82"/>
      <c r="S115" s="82"/>
    </row>
    <row r="116" spans="1:19" x14ac:dyDescent="0.25">
      <c r="A116" s="72" t="e">
        <f>#REF!</f>
        <v>#REF!</v>
      </c>
      <c r="B116" s="178" t="s">
        <v>63</v>
      </c>
      <c r="C116" s="178" t="s">
        <v>225</v>
      </c>
      <c r="D116" s="178" t="s">
        <v>1642</v>
      </c>
      <c r="E116" s="179">
        <v>0.875</v>
      </c>
      <c r="F116" s="180">
        <v>77415</v>
      </c>
      <c r="G116" s="179">
        <v>5.144340926935987E-2</v>
      </c>
      <c r="H116" s="180">
        <v>1045.3235466332189</v>
      </c>
      <c r="I116" s="180">
        <v>297.22977308397276</v>
      </c>
      <c r="J116" s="180" t="s">
        <v>1867</v>
      </c>
      <c r="K116" t="str">
        <f>VLOOKUP(Broadcast_BASE[[#This Row],[Broadcast Market]],Continent_Look_Up[],2,FALSE)</f>
        <v>Asia Pacific</v>
      </c>
      <c r="L116" t="str">
        <f>IF(OR(Broadcast_BASE[[#This Row],[Broadcast Continent]]="Digital",Broadcast_BASE[[#This Row],[Programme Type]]="Digital"),"Y","N")</f>
        <v>N</v>
      </c>
      <c r="M116" s="4" t="str">
        <f>IF(ISNUMBER(SEARCH("Pan ",Broadcast_BASE[[#This Row],[Broadcast Market]]))=TRUE,"Y","N")</f>
        <v>N</v>
      </c>
      <c r="N116" t="str">
        <f>VLOOKUP(CONCATENATE(Broadcast_BASE[[#This Row],[Broadcast Market]],Broadcast_BASE[[#This Row],[Broadcaster]]),Table1[[CC]:[Pay TV vs. Free-to-Air]],3,FALSE)</f>
        <v>Pay TV</v>
      </c>
      <c r="O116" s="1">
        <f>VLOOKUP(CONCATENATE(Broadcast_BASE[[#This Row],[Broadcast Market]],Broadcast_BASE[[#This Row],[Broadcaster]]),Table1[[CC]:[Pay TV vs. Free-to-Air]],2,FALSE)</f>
        <v>4637000</v>
      </c>
      <c r="P116" s="51">
        <f>Broadcast_BASE[[#This Row],[Rolex EXP]]*86400</f>
        <v>4444.7105608726924</v>
      </c>
      <c r="Q116" s="73" t="str">
        <f>IF(Broadcast_BASE[[#This Row],[Dashboard Rated?]]="No","N","Y")</f>
        <v>N</v>
      </c>
      <c r="R116" s="82"/>
      <c r="S116" s="82"/>
    </row>
    <row r="117" spans="1:19" x14ac:dyDescent="0.25">
      <c r="A117" s="72" t="e">
        <f>#REF!</f>
        <v>#REF!</v>
      </c>
      <c r="B117" s="178" t="s">
        <v>63</v>
      </c>
      <c r="C117" s="178" t="s">
        <v>225</v>
      </c>
      <c r="D117" s="178" t="s">
        <v>1643</v>
      </c>
      <c r="E117" s="179">
        <v>2.0486111111111112</v>
      </c>
      <c r="F117" s="180">
        <v>49155</v>
      </c>
      <c r="G117" s="179">
        <v>0.12548744884514887</v>
      </c>
      <c r="H117" s="180">
        <v>5766.9116279586133</v>
      </c>
      <c r="I117" s="180">
        <v>1601.0921529188979</v>
      </c>
      <c r="J117" s="180" t="s">
        <v>1867</v>
      </c>
      <c r="K117" t="str">
        <f>VLOOKUP(Broadcast_BASE[[#This Row],[Broadcast Market]],Continent_Look_Up[],2,FALSE)</f>
        <v>Asia Pacific</v>
      </c>
      <c r="L117" t="str">
        <f>IF(OR(Broadcast_BASE[[#This Row],[Broadcast Continent]]="Digital",Broadcast_BASE[[#This Row],[Programme Type]]="Digital"),"Y","N")</f>
        <v>N</v>
      </c>
      <c r="M117" s="4" t="str">
        <f>IF(ISNUMBER(SEARCH("Pan ",Broadcast_BASE[[#This Row],[Broadcast Market]]))=TRUE,"Y","N")</f>
        <v>N</v>
      </c>
      <c r="N117" t="str">
        <f>VLOOKUP(CONCATENATE(Broadcast_BASE[[#This Row],[Broadcast Market]],Broadcast_BASE[[#This Row],[Broadcaster]]),Table1[[CC]:[Pay TV vs. Free-to-Air]],3,FALSE)</f>
        <v>Pay TV</v>
      </c>
      <c r="O117" s="1">
        <f>VLOOKUP(CONCATENATE(Broadcast_BASE[[#This Row],[Broadcast Market]],Broadcast_BASE[[#This Row],[Broadcaster]]),Table1[[CC]:[Pay TV vs. Free-to-Air]],2,FALSE)</f>
        <v>4637000</v>
      </c>
      <c r="P117" s="57">
        <f>Broadcast_BASE[[#This Row],[Rolex EXP]]*86400</f>
        <v>10842.115580220861</v>
      </c>
      <c r="Q117" s="73" t="str">
        <f>IF(Broadcast_BASE[[#This Row],[Dashboard Rated?]]="No","N","Y")</f>
        <v>N</v>
      </c>
      <c r="R117" s="82"/>
      <c r="S117" s="82"/>
    </row>
    <row r="118" spans="1:19" x14ac:dyDescent="0.25">
      <c r="A118" s="72" t="e">
        <f>#REF!</f>
        <v>#REF!</v>
      </c>
      <c r="B118" s="178" t="s">
        <v>63</v>
      </c>
      <c r="C118" s="178" t="s">
        <v>197</v>
      </c>
      <c r="D118" s="178" t="s">
        <v>1643</v>
      </c>
      <c r="E118" s="179">
        <v>2.5416666666666665</v>
      </c>
      <c r="F118" s="180">
        <v>49155</v>
      </c>
      <c r="G118" s="179">
        <v>0.15568951280448978</v>
      </c>
      <c r="H118" s="180">
        <v>7151.228735340288</v>
      </c>
      <c r="I118" s="180">
        <v>1985.4259871733964</v>
      </c>
      <c r="J118" s="180" t="s">
        <v>1867</v>
      </c>
      <c r="K118" t="str">
        <f>VLOOKUP(Broadcast_BASE[[#This Row],[Broadcast Market]],Continent_Look_Up[],2,FALSE)</f>
        <v>Asia Pacific</v>
      </c>
      <c r="L118" t="str">
        <f>IF(OR(Broadcast_BASE[[#This Row],[Broadcast Continent]]="Digital",Broadcast_BASE[[#This Row],[Programme Type]]="Digital"),"Y","N")</f>
        <v>N</v>
      </c>
      <c r="M118" s="4" t="str">
        <f>IF(ISNUMBER(SEARCH("Pan ",Broadcast_BASE[[#This Row],[Broadcast Market]]))=TRUE,"Y","N")</f>
        <v>N</v>
      </c>
      <c r="N118" t="str">
        <f>VLOOKUP(CONCATENATE(Broadcast_BASE[[#This Row],[Broadcast Market]],Broadcast_BASE[[#This Row],[Broadcaster]]),Table1[[CC]:[Pay TV vs. Free-to-Air]],3,FALSE)</f>
        <v>Pay TV</v>
      </c>
      <c r="O118" s="1">
        <f>VLOOKUP(CONCATENATE(Broadcast_BASE[[#This Row],[Broadcast Market]],Broadcast_BASE[[#This Row],[Broadcaster]]),Table1[[CC]:[Pay TV vs. Free-to-Air]],2,FALSE)</f>
        <v>4637000</v>
      </c>
      <c r="P118" s="57">
        <f>Broadcast_BASE[[#This Row],[Rolex EXP]]*86400</f>
        <v>13451.573906307916</v>
      </c>
      <c r="Q118" s="73" t="str">
        <f>IF(Broadcast_BASE[[#This Row],[Dashboard Rated?]]="No","N","Y")</f>
        <v>N</v>
      </c>
      <c r="R118" s="81"/>
      <c r="S118" s="81"/>
    </row>
    <row r="119" spans="1:19" x14ac:dyDescent="0.25">
      <c r="A119" s="72" t="e">
        <f>#REF!</f>
        <v>#REF!</v>
      </c>
      <c r="B119" s="178" t="s">
        <v>64</v>
      </c>
      <c r="C119" s="178" t="s">
        <v>907</v>
      </c>
      <c r="D119" s="178" t="s">
        <v>1643</v>
      </c>
      <c r="E119" s="179">
        <v>0.15555555555555556</v>
      </c>
      <c r="F119" s="180">
        <v>59300</v>
      </c>
      <c r="G119" s="179">
        <v>9.5285384885807952E-3</v>
      </c>
      <c r="H119" s="180">
        <v>16910.256722351078</v>
      </c>
      <c r="I119" s="180">
        <v>4694.8663493885351</v>
      </c>
      <c r="J119" s="180" t="s">
        <v>1868</v>
      </c>
      <c r="K119" t="str">
        <f>VLOOKUP(Broadcast_BASE[[#This Row],[Broadcast Market]],Continent_Look_Up[],2,FALSE)</f>
        <v>Europe</v>
      </c>
      <c r="L119" t="str">
        <f>IF(OR(Broadcast_BASE[[#This Row],[Broadcast Continent]]="Digital",Broadcast_BASE[[#This Row],[Programme Type]]="Digital"),"Y","N")</f>
        <v>N</v>
      </c>
      <c r="M119" s="4" t="str">
        <f>IF(ISNUMBER(SEARCH("Pan ",Broadcast_BASE[[#This Row],[Broadcast Market]]))=TRUE,"Y","N")</f>
        <v>N</v>
      </c>
      <c r="N119" t="str">
        <f>VLOOKUP(CONCATENATE(Broadcast_BASE[[#This Row],[Broadcast Market]],Broadcast_BASE[[#This Row],[Broadcaster]]),Table1[[CC]:[Pay TV vs. Free-to-Air]],3,FALSE)</f>
        <v>Pay TV</v>
      </c>
      <c r="O119" s="1">
        <f>VLOOKUP(CONCATENATE(Broadcast_BASE[[#This Row],[Broadcast Market]],Broadcast_BASE[[#This Row],[Broadcaster]]),Table1[[CC]:[Pay TV vs. Free-to-Air]],2,FALSE)</f>
        <v>1155000</v>
      </c>
      <c r="P119" s="51">
        <f>Broadcast_BASE[[#This Row],[Rolex EXP]]*86400</f>
        <v>823.26572541338066</v>
      </c>
      <c r="Q119" s="73" t="str">
        <f>IF(Broadcast_BASE[[#This Row],[Dashboard Rated?]]="No","N","Y")</f>
        <v>Y</v>
      </c>
      <c r="R119" s="81"/>
      <c r="S119" s="81"/>
    </row>
    <row r="120" spans="1:19" x14ac:dyDescent="0.25">
      <c r="A120" s="72" t="e">
        <f>#REF!</f>
        <v>#REF!</v>
      </c>
      <c r="B120" s="178" t="s">
        <v>66</v>
      </c>
      <c r="C120" s="178" t="s">
        <v>268</v>
      </c>
      <c r="D120" s="178" t="s">
        <v>1642</v>
      </c>
      <c r="E120" s="179">
        <v>0.91666666666666663</v>
      </c>
      <c r="F120" s="180">
        <v>249252</v>
      </c>
      <c r="G120" s="179">
        <v>6.273649492214442E-2</v>
      </c>
      <c r="H120" s="180">
        <v>24396.591269706329</v>
      </c>
      <c r="I120" s="180">
        <v>6919.7570838273969</v>
      </c>
      <c r="J120" s="180" t="s">
        <v>1867</v>
      </c>
      <c r="K120" t="str">
        <f>VLOOKUP(Broadcast_BASE[[#This Row],[Broadcast Market]],Continent_Look_Up[],2,FALSE)</f>
        <v>Europe</v>
      </c>
      <c r="L120" t="str">
        <f>IF(OR(Broadcast_BASE[[#This Row],[Broadcast Continent]]="Digital",Broadcast_BASE[[#This Row],[Programme Type]]="Digital"),"Y","N")</f>
        <v>N</v>
      </c>
      <c r="M120" s="4" t="str">
        <f>IF(ISNUMBER(SEARCH("Pan ",Broadcast_BASE[[#This Row],[Broadcast Market]]))=TRUE,"Y","N")</f>
        <v>N</v>
      </c>
      <c r="N120" t="str">
        <f>VLOOKUP(CONCATENATE(Broadcast_BASE[[#This Row],[Broadcast Market]],Broadcast_BASE[[#This Row],[Broadcaster]]),Table1[[CC]:[Pay TV vs. Free-to-Air]],3,FALSE)</f>
        <v>Pay TV</v>
      </c>
      <c r="O120" s="1">
        <f>VLOOKUP(CONCATENATE(Broadcast_BASE[[#This Row],[Broadcast Market]],Broadcast_BASE[[#This Row],[Broadcaster]]),Table1[[CC]:[Pay TV vs. Free-to-Air]],2,FALSE)</f>
        <v>6954000</v>
      </c>
      <c r="P120" s="57">
        <f>Broadcast_BASE[[#This Row],[Rolex EXP]]*86400</f>
        <v>5420.4331612732776</v>
      </c>
      <c r="Q120" s="73" t="str">
        <f>IF(Broadcast_BASE[[#This Row],[Dashboard Rated?]]="No","N","Y")</f>
        <v>N</v>
      </c>
      <c r="R120" s="81"/>
      <c r="S120" s="81"/>
    </row>
    <row r="121" spans="1:19" x14ac:dyDescent="0.25">
      <c r="A121" s="72" t="e">
        <f>#REF!</f>
        <v>#REF!</v>
      </c>
      <c r="B121" s="178" t="s">
        <v>66</v>
      </c>
      <c r="C121" s="178" t="s">
        <v>268</v>
      </c>
      <c r="D121" s="178" t="s">
        <v>1643</v>
      </c>
      <c r="E121" s="179">
        <v>6.3506944444444438</v>
      </c>
      <c r="F121" s="180">
        <v>1094638</v>
      </c>
      <c r="G121" s="179">
        <v>0.4089957634721077</v>
      </c>
      <c r="H121" s="180">
        <v>346487.80160544848</v>
      </c>
      <c r="I121" s="180">
        <v>97618.404665505805</v>
      </c>
      <c r="J121" s="180" t="s">
        <v>1867</v>
      </c>
      <c r="K121" t="str">
        <f>VLOOKUP(Broadcast_BASE[[#This Row],[Broadcast Market]],Continent_Look_Up[],2,FALSE)</f>
        <v>Europe</v>
      </c>
      <c r="L121" t="str">
        <f>IF(OR(Broadcast_BASE[[#This Row],[Broadcast Continent]]="Digital",Broadcast_BASE[[#This Row],[Programme Type]]="Digital"),"Y","N")</f>
        <v>N</v>
      </c>
      <c r="M121" s="4" t="str">
        <f>IF(ISNUMBER(SEARCH("Pan ",Broadcast_BASE[[#This Row],[Broadcast Market]]))=TRUE,"Y","N")</f>
        <v>N</v>
      </c>
      <c r="N121" t="str">
        <f>VLOOKUP(CONCATENATE(Broadcast_BASE[[#This Row],[Broadcast Market]],Broadcast_BASE[[#This Row],[Broadcaster]]),Table1[[CC]:[Pay TV vs. Free-to-Air]],3,FALSE)</f>
        <v>Pay TV</v>
      </c>
      <c r="O121" s="1">
        <f>VLOOKUP(CONCATENATE(Broadcast_BASE[[#This Row],[Broadcast Market]],Broadcast_BASE[[#This Row],[Broadcaster]]),Table1[[CC]:[Pay TV vs. Free-to-Air]],2,FALSE)</f>
        <v>6954000</v>
      </c>
      <c r="P121" s="57">
        <f>Broadcast_BASE[[#This Row],[Rolex EXP]]*86400</f>
        <v>35337.233963990104</v>
      </c>
      <c r="Q121" s="73" t="str">
        <f>IF(Broadcast_BASE[[#This Row],[Dashboard Rated?]]="No","N","Y")</f>
        <v>N</v>
      </c>
      <c r="R121" s="83"/>
      <c r="S121" s="83"/>
    </row>
    <row r="122" spans="1:19" x14ac:dyDescent="0.25">
      <c r="A122" s="72" t="e">
        <f>#REF!</f>
        <v>#REF!</v>
      </c>
      <c r="B122" s="178" t="s">
        <v>66</v>
      </c>
      <c r="C122" s="178" t="s">
        <v>268</v>
      </c>
      <c r="D122" s="178" t="s">
        <v>1644</v>
      </c>
      <c r="E122" s="179">
        <v>1.8993055555555556</v>
      </c>
      <c r="F122" s="180">
        <v>265835</v>
      </c>
      <c r="G122" s="179">
        <v>0.1198539625892993</v>
      </c>
      <c r="H122" s="180">
        <v>42340.713153265198</v>
      </c>
      <c r="I122" s="180">
        <v>12075.31654366564</v>
      </c>
      <c r="J122" s="180" t="s">
        <v>1867</v>
      </c>
      <c r="K122" t="str">
        <f>VLOOKUP(Broadcast_BASE[[#This Row],[Broadcast Market]],Continent_Look_Up[],2,FALSE)</f>
        <v>Europe</v>
      </c>
      <c r="L122" t="str">
        <f>IF(OR(Broadcast_BASE[[#This Row],[Broadcast Continent]]="Digital",Broadcast_BASE[[#This Row],[Programme Type]]="Digital"),"Y","N")</f>
        <v>N</v>
      </c>
      <c r="M122" s="4" t="str">
        <f>IF(ISNUMBER(SEARCH("Pan ",Broadcast_BASE[[#This Row],[Broadcast Market]]))=TRUE,"Y","N")</f>
        <v>N</v>
      </c>
      <c r="N122" t="str">
        <f>VLOOKUP(CONCATENATE(Broadcast_BASE[[#This Row],[Broadcast Market]],Broadcast_BASE[[#This Row],[Broadcaster]]),Table1[[CC]:[Pay TV vs. Free-to-Air]],3,FALSE)</f>
        <v>Pay TV</v>
      </c>
      <c r="O122" s="1">
        <f>VLOOKUP(CONCATENATE(Broadcast_BASE[[#This Row],[Broadcast Market]],Broadcast_BASE[[#This Row],[Broadcaster]]),Table1[[CC]:[Pay TV vs. Free-to-Air]],2,FALSE)</f>
        <v>6954000</v>
      </c>
      <c r="P122" s="57">
        <f>Broadcast_BASE[[#This Row],[Rolex EXP]]*86400</f>
        <v>10355.38236771546</v>
      </c>
      <c r="Q122" s="73" t="str">
        <f>IF(Broadcast_BASE[[#This Row],[Dashboard Rated?]]="No","N","Y")</f>
        <v>N</v>
      </c>
      <c r="R122" s="83"/>
      <c r="S122" s="83"/>
    </row>
    <row r="123" spans="1:19" x14ac:dyDescent="0.25">
      <c r="A123" s="72" t="e">
        <f>#REF!</f>
        <v>#REF!</v>
      </c>
      <c r="B123" s="178" t="s">
        <v>66</v>
      </c>
      <c r="C123" s="178" t="s">
        <v>269</v>
      </c>
      <c r="D123" s="178" t="s">
        <v>1642</v>
      </c>
      <c r="E123" s="179">
        <v>0.95138888888888884</v>
      </c>
      <c r="F123" s="180">
        <v>195805</v>
      </c>
      <c r="G123" s="179">
        <v>5.8575996228793004E-2</v>
      </c>
      <c r="H123" s="180">
        <v>18837.842535725365</v>
      </c>
      <c r="I123" s="180">
        <v>5286.1131857565288</v>
      </c>
      <c r="J123" s="180" t="s">
        <v>1867</v>
      </c>
      <c r="K123" t="str">
        <f>VLOOKUP(Broadcast_BASE[[#This Row],[Broadcast Market]],Continent_Look_Up[],2,FALSE)</f>
        <v>Europe</v>
      </c>
      <c r="L123" t="str">
        <f>IF(OR(Broadcast_BASE[[#This Row],[Broadcast Continent]]="Digital",Broadcast_BASE[[#This Row],[Programme Type]]="Digital"),"Y","N")</f>
        <v>N</v>
      </c>
      <c r="M123" s="4" t="str">
        <f>IF(ISNUMBER(SEARCH("Pan ",Broadcast_BASE[[#This Row],[Broadcast Market]]))=TRUE,"Y","N")</f>
        <v>N</v>
      </c>
      <c r="N123" t="str">
        <f>VLOOKUP(CONCATENATE(Broadcast_BASE[[#This Row],[Broadcast Market]],Broadcast_BASE[[#This Row],[Broadcaster]]),Table1[[CC]:[Pay TV vs. Free-to-Air]],3,FALSE)</f>
        <v>Pay TV</v>
      </c>
      <c r="O123" s="1">
        <f>VLOOKUP(CONCATENATE(Broadcast_BASE[[#This Row],[Broadcast Market]],Broadcast_BASE[[#This Row],[Broadcaster]]),Table1[[CC]:[Pay TV vs. Free-to-Air]],2,FALSE)</f>
        <v>6054000</v>
      </c>
      <c r="P123" s="57">
        <f>Broadcast_BASE[[#This Row],[Rolex EXP]]*86400</f>
        <v>5060.9660741677153</v>
      </c>
      <c r="Q123" s="73" t="str">
        <f>IF(Broadcast_BASE[[#This Row],[Dashboard Rated?]]="No","N","Y")</f>
        <v>N</v>
      </c>
      <c r="R123" s="83"/>
      <c r="S123" s="83"/>
    </row>
    <row r="124" spans="1:19" x14ac:dyDescent="0.25">
      <c r="A124" s="72" t="e">
        <f>#REF!</f>
        <v>#REF!</v>
      </c>
      <c r="B124" s="178" t="s">
        <v>66</v>
      </c>
      <c r="C124" s="178" t="s">
        <v>269</v>
      </c>
      <c r="D124" s="178" t="s">
        <v>1643</v>
      </c>
      <c r="E124" s="179">
        <v>3.4513888888888888</v>
      </c>
      <c r="F124" s="180">
        <v>576616</v>
      </c>
      <c r="G124" s="179">
        <v>0.21150164252284065</v>
      </c>
      <c r="H124" s="180">
        <v>161307.06404937556</v>
      </c>
      <c r="I124" s="180">
        <v>44835.094497703845</v>
      </c>
      <c r="J124" s="180" t="s">
        <v>1867</v>
      </c>
      <c r="K124" t="str">
        <f>VLOOKUP(Broadcast_BASE[[#This Row],[Broadcast Market]],Continent_Look_Up[],2,FALSE)</f>
        <v>Europe</v>
      </c>
      <c r="L124" t="str">
        <f>IF(OR(Broadcast_BASE[[#This Row],[Broadcast Continent]]="Digital",Broadcast_BASE[[#This Row],[Programme Type]]="Digital"),"Y","N")</f>
        <v>N</v>
      </c>
      <c r="M124" s="4" t="str">
        <f>IF(ISNUMBER(SEARCH("Pan ",Broadcast_BASE[[#This Row],[Broadcast Market]]))=TRUE,"Y","N")</f>
        <v>N</v>
      </c>
      <c r="N124" t="str">
        <f>VLOOKUP(CONCATENATE(Broadcast_BASE[[#This Row],[Broadcast Market]],Broadcast_BASE[[#This Row],[Broadcaster]]),Table1[[CC]:[Pay TV vs. Free-to-Air]],3,FALSE)</f>
        <v>Pay TV</v>
      </c>
      <c r="O124" s="1">
        <f>VLOOKUP(CONCATENATE(Broadcast_BASE[[#This Row],[Broadcast Market]],Broadcast_BASE[[#This Row],[Broadcaster]]),Table1[[CC]:[Pay TV vs. Free-to-Air]],2,FALSE)</f>
        <v>6054000</v>
      </c>
      <c r="P124" s="57">
        <f>Broadcast_BASE[[#This Row],[Rolex EXP]]*86400</f>
        <v>18273.741913973434</v>
      </c>
      <c r="Q124" s="73" t="str">
        <f>IF(Broadcast_BASE[[#This Row],[Dashboard Rated?]]="No","N","Y")</f>
        <v>N</v>
      </c>
      <c r="R124" s="81"/>
      <c r="S124" s="81"/>
    </row>
    <row r="125" spans="1:19" x14ac:dyDescent="0.25">
      <c r="A125" s="72" t="e">
        <f>#REF!</f>
        <v>#REF!</v>
      </c>
      <c r="B125" s="178" t="s">
        <v>66</v>
      </c>
      <c r="C125" s="178" t="s">
        <v>269</v>
      </c>
      <c r="D125" s="178" t="s">
        <v>1644</v>
      </c>
      <c r="E125" s="179">
        <v>1.9548611111111109</v>
      </c>
      <c r="F125" s="180">
        <v>230666</v>
      </c>
      <c r="G125" s="179">
        <v>0.12070994053226315</v>
      </c>
      <c r="H125" s="180">
        <v>38375.002021649532</v>
      </c>
      <c r="I125" s="180">
        <v>10913.066297232968</v>
      </c>
      <c r="J125" s="180" t="s">
        <v>1867</v>
      </c>
      <c r="K125" t="str">
        <f>VLOOKUP(Broadcast_BASE[[#This Row],[Broadcast Market]],Continent_Look_Up[],2,FALSE)</f>
        <v>Europe</v>
      </c>
      <c r="L125" t="str">
        <f>IF(OR(Broadcast_BASE[[#This Row],[Broadcast Continent]]="Digital",Broadcast_BASE[[#This Row],[Programme Type]]="Digital"),"Y","N")</f>
        <v>N</v>
      </c>
      <c r="M125" s="4" t="str">
        <f>IF(ISNUMBER(SEARCH("Pan ",Broadcast_BASE[[#This Row],[Broadcast Market]]))=TRUE,"Y","N")</f>
        <v>N</v>
      </c>
      <c r="N125" t="str">
        <f>VLOOKUP(CONCATENATE(Broadcast_BASE[[#This Row],[Broadcast Market]],Broadcast_BASE[[#This Row],[Broadcaster]]),Table1[[CC]:[Pay TV vs. Free-to-Air]],3,FALSE)</f>
        <v>Pay TV</v>
      </c>
      <c r="O125" s="1">
        <f>VLOOKUP(CONCATENATE(Broadcast_BASE[[#This Row],[Broadcast Market]],Broadcast_BASE[[#This Row],[Broadcaster]]),Table1[[CC]:[Pay TV vs. Free-to-Air]],2,FALSE)</f>
        <v>6054000</v>
      </c>
      <c r="P125" s="57">
        <f>Broadcast_BASE[[#This Row],[Rolex EXP]]*86400</f>
        <v>10429.338861987537</v>
      </c>
      <c r="Q125" s="73" t="str">
        <f>IF(Broadcast_BASE[[#This Row],[Dashboard Rated?]]="No","N","Y")</f>
        <v>N</v>
      </c>
      <c r="R125" s="81"/>
      <c r="S125" s="81"/>
    </row>
    <row r="126" spans="1:19" x14ac:dyDescent="0.25">
      <c r="A126" s="72" t="e">
        <f>#REF!</f>
        <v>#REF!</v>
      </c>
      <c r="B126" s="178" t="s">
        <v>67</v>
      </c>
      <c r="C126" s="178" t="s">
        <v>1024</v>
      </c>
      <c r="D126" s="178" t="s">
        <v>1643</v>
      </c>
      <c r="E126" s="179">
        <v>7.875</v>
      </c>
      <c r="F126" s="180">
        <v>345384</v>
      </c>
      <c r="G126" s="179">
        <v>0.50883138458644395</v>
      </c>
      <c r="H126" s="180">
        <v>62178.125691445282</v>
      </c>
      <c r="I126" s="180">
        <v>17522.339153437322</v>
      </c>
      <c r="J126" s="180" t="s">
        <v>1867</v>
      </c>
      <c r="K126" t="str">
        <f>VLOOKUP(Broadcast_BASE[[#This Row],[Broadcast Market]],Continent_Look_Up[],2,FALSE)</f>
        <v>Asia Pacific</v>
      </c>
      <c r="L126" t="str">
        <f>IF(OR(Broadcast_BASE[[#This Row],[Broadcast Continent]]="Digital",Broadcast_BASE[[#This Row],[Programme Type]]="Digital"),"Y","N")</f>
        <v>N</v>
      </c>
      <c r="M126" s="4" t="str">
        <f>IF(ISNUMBER(SEARCH("Pan ",Broadcast_BASE[[#This Row],[Broadcast Market]]))=TRUE,"Y","N")</f>
        <v>N</v>
      </c>
      <c r="N126" t="str">
        <f>VLOOKUP(CONCATENATE(Broadcast_BASE[[#This Row],[Broadcast Market]],Broadcast_BASE[[#This Row],[Broadcaster]]),Table1[[CC]:[Pay TV vs. Free-to-Air]],3,FALSE)</f>
        <v>Pay TV</v>
      </c>
      <c r="O126" s="1">
        <f>VLOOKUP(CONCATENATE(Broadcast_BASE[[#This Row],[Broadcast Market]],Broadcast_BASE[[#This Row],[Broadcaster]]),Table1[[CC]:[Pay TV vs. Free-to-Air]],2,FALSE)</f>
        <v>4513000</v>
      </c>
      <c r="P126" s="57">
        <f>Broadcast_BASE[[#This Row],[Rolex EXP]]*86400</f>
        <v>43963.031628268756</v>
      </c>
      <c r="Q126" s="73" t="str">
        <f>IF(Broadcast_BASE[[#This Row],[Dashboard Rated?]]="No","N","Y")</f>
        <v>N</v>
      </c>
      <c r="R126" s="81"/>
      <c r="S126" s="81"/>
    </row>
    <row r="127" spans="1:19" x14ac:dyDescent="0.25">
      <c r="A127" s="72" t="e">
        <f>#REF!</f>
        <v>#REF!</v>
      </c>
      <c r="B127" s="178" t="s">
        <v>67</v>
      </c>
      <c r="C127" s="178" t="s">
        <v>1024</v>
      </c>
      <c r="D127" s="178" t="s">
        <v>1644</v>
      </c>
      <c r="E127" s="179">
        <v>0.125</v>
      </c>
      <c r="F127" s="180">
        <v>5118</v>
      </c>
      <c r="G127" s="179">
        <v>7.6568612854667102E-3</v>
      </c>
      <c r="H127" s="180">
        <v>374.34871436305036</v>
      </c>
      <c r="I127" s="180">
        <v>103.93202249123476</v>
      </c>
      <c r="J127" s="180" t="s">
        <v>1867</v>
      </c>
      <c r="K127" t="str">
        <f>VLOOKUP(Broadcast_BASE[[#This Row],[Broadcast Market]],Continent_Look_Up[],2,FALSE)</f>
        <v>Asia Pacific</v>
      </c>
      <c r="L127" t="str">
        <f>IF(OR(Broadcast_BASE[[#This Row],[Broadcast Continent]]="Digital",Broadcast_BASE[[#This Row],[Programme Type]]="Digital"),"Y","N")</f>
        <v>N</v>
      </c>
      <c r="M127" s="4" t="str">
        <f>IF(ISNUMBER(SEARCH("Pan ",Broadcast_BASE[[#This Row],[Broadcast Market]]))=TRUE,"Y","N")</f>
        <v>N</v>
      </c>
      <c r="N127" t="str">
        <f>VLOOKUP(CONCATENATE(Broadcast_BASE[[#This Row],[Broadcast Market]],Broadcast_BASE[[#This Row],[Broadcaster]]),Table1[[CC]:[Pay TV vs. Free-to-Air]],3,FALSE)</f>
        <v>Pay TV</v>
      </c>
      <c r="O127" s="1">
        <f>VLOOKUP(CONCATENATE(Broadcast_BASE[[#This Row],[Broadcast Market]],Broadcast_BASE[[#This Row],[Broadcaster]]),Table1[[CC]:[Pay TV vs. Free-to-Air]],2,FALSE)</f>
        <v>4513000</v>
      </c>
      <c r="P127" s="57">
        <f>Broadcast_BASE[[#This Row],[Rolex EXP]]*86400</f>
        <v>661.5528150643238</v>
      </c>
      <c r="Q127" s="73" t="str">
        <f>IF(Broadcast_BASE[[#This Row],[Dashboard Rated?]]="No","N","Y")</f>
        <v>N</v>
      </c>
      <c r="R127" s="83"/>
      <c r="S127" s="83"/>
    </row>
    <row r="128" spans="1:19" x14ac:dyDescent="0.25">
      <c r="A128" s="72" t="e">
        <f>#REF!</f>
        <v>#REF!</v>
      </c>
      <c r="B128" s="178" t="s">
        <v>133</v>
      </c>
      <c r="C128" s="178" t="s">
        <v>1062</v>
      </c>
      <c r="D128" s="178" t="s">
        <v>1643</v>
      </c>
      <c r="E128" s="179">
        <v>1.9409722222222223</v>
      </c>
      <c r="F128" s="180">
        <v>2552</v>
      </c>
      <c r="G128" s="179">
        <v>0.14031459628587178</v>
      </c>
      <c r="H128" s="180">
        <v>1017.1952046180614</v>
      </c>
      <c r="I128" s="180">
        <v>292.1213150079609</v>
      </c>
      <c r="J128" s="180" t="s">
        <v>1867</v>
      </c>
      <c r="K128" t="str">
        <f>VLOOKUP(Broadcast_BASE[[#This Row],[Broadcast Market]],Continent_Look_Up[],2,FALSE)</f>
        <v>Asia Pacific</v>
      </c>
      <c r="L128" t="str">
        <f>IF(OR(Broadcast_BASE[[#This Row],[Broadcast Continent]]="Digital",Broadcast_BASE[[#This Row],[Programme Type]]="Digital"),"Y","N")</f>
        <v>N</v>
      </c>
      <c r="M128" s="4" t="str">
        <f>IF(ISNUMBER(SEARCH("Pan ",Broadcast_BASE[[#This Row],[Broadcast Market]]))=TRUE,"Y","N")</f>
        <v>N</v>
      </c>
      <c r="N128" t="str">
        <f>VLOOKUP(CONCATENATE(Broadcast_BASE[[#This Row],[Broadcast Market]],Broadcast_BASE[[#This Row],[Broadcaster]]),Table1[[CC]:[Pay TV vs. Free-to-Air]],3,FALSE)</f>
        <v>Free-to-Air</v>
      </c>
      <c r="O128" s="1">
        <f>VLOOKUP(CONCATENATE(Broadcast_BASE[[#This Row],[Broadcast Market]],Broadcast_BASE[[#This Row],[Broadcaster]]),Table1[[CC]:[Pay TV vs. Free-to-Air]],2,FALSE)</f>
        <v>250000</v>
      </c>
      <c r="P128" s="51">
        <f>Broadcast_BASE[[#This Row],[Rolex EXP]]*86400</f>
        <v>12123.181119099323</v>
      </c>
      <c r="Q128" s="73" t="str">
        <f>IF(Broadcast_BASE[[#This Row],[Dashboard Rated?]]="No","N","Y")</f>
        <v>N</v>
      </c>
      <c r="R128" s="81"/>
      <c r="S128" s="81"/>
    </row>
    <row r="129" spans="1:19" x14ac:dyDescent="0.25">
      <c r="A129" s="72" t="e">
        <f>#REF!</f>
        <v>#REF!</v>
      </c>
      <c r="B129" s="178" t="s">
        <v>81</v>
      </c>
      <c r="C129" s="178" t="s">
        <v>882</v>
      </c>
      <c r="D129" s="178" t="s">
        <v>1642</v>
      </c>
      <c r="E129" s="179">
        <v>0.72892361111111115</v>
      </c>
      <c r="F129" s="180">
        <v>50833</v>
      </c>
      <c r="G129" s="179">
        <v>4.3490594414247873E-2</v>
      </c>
      <c r="H129" s="180">
        <v>4044.0961975292303</v>
      </c>
      <c r="I129" s="180">
        <v>1141.3304886227113</v>
      </c>
      <c r="J129" s="180" t="s">
        <v>1868</v>
      </c>
      <c r="K129" t="str">
        <f>VLOOKUP(Broadcast_BASE[[#This Row],[Broadcast Market]],Continent_Look_Up[],2,FALSE)</f>
        <v>Asia Pacific</v>
      </c>
      <c r="L129" t="str">
        <f>IF(OR(Broadcast_BASE[[#This Row],[Broadcast Continent]]="Digital",Broadcast_BASE[[#This Row],[Programme Type]]="Digital"),"Y","N")</f>
        <v>N</v>
      </c>
      <c r="M129" s="4" t="str">
        <f>IF(ISNUMBER(SEARCH("Pan ",Broadcast_BASE[[#This Row],[Broadcast Market]]))=TRUE,"Y","N")</f>
        <v>N</v>
      </c>
      <c r="N129" t="str">
        <f>VLOOKUP(CONCATENATE(Broadcast_BASE[[#This Row],[Broadcast Market]],Broadcast_BASE[[#This Row],[Broadcaster]]),Table1[[CC]:[Pay TV vs. Free-to-Air]],3,FALSE)</f>
        <v>Pay TV</v>
      </c>
      <c r="O129" s="1">
        <f>VLOOKUP(CONCATENATE(Broadcast_BASE[[#This Row],[Broadcast Market]],Broadcast_BASE[[#This Row],[Broadcaster]]),Table1[[CC]:[Pay TV vs. Free-to-Air]],2,FALSE)</f>
        <v>4355000</v>
      </c>
      <c r="P129" s="57">
        <f>Broadcast_BASE[[#This Row],[Rolex EXP]]*86400</f>
        <v>3757.5873573910162</v>
      </c>
      <c r="Q129" s="73" t="str">
        <f>IF(Broadcast_BASE[[#This Row],[Dashboard Rated?]]="No","N","Y")</f>
        <v>Y</v>
      </c>
      <c r="R129" s="81"/>
      <c r="S129" s="81"/>
    </row>
    <row r="130" spans="1:19" x14ac:dyDescent="0.25">
      <c r="A130" s="72" t="e">
        <f>#REF!</f>
        <v>#REF!</v>
      </c>
      <c r="B130" s="178" t="s">
        <v>81</v>
      </c>
      <c r="C130" s="178" t="s">
        <v>882</v>
      </c>
      <c r="D130" s="178" t="s">
        <v>1643</v>
      </c>
      <c r="E130" s="179">
        <v>3.8540509259259257</v>
      </c>
      <c r="F130" s="180">
        <v>13035</v>
      </c>
      <c r="G130" s="179">
        <v>0.23607946661551485</v>
      </c>
      <c r="H130" s="180">
        <v>17177.235404563417</v>
      </c>
      <c r="I130" s="180">
        <v>4768.9887741218099</v>
      </c>
      <c r="J130" s="180" t="s">
        <v>1868</v>
      </c>
      <c r="K130" t="str">
        <f>VLOOKUP(Broadcast_BASE[[#This Row],[Broadcast Market]],Continent_Look_Up[],2,FALSE)</f>
        <v>Asia Pacific</v>
      </c>
      <c r="L130" t="str">
        <f>IF(OR(Broadcast_BASE[[#This Row],[Broadcast Continent]]="Digital",Broadcast_BASE[[#This Row],[Programme Type]]="Digital"),"Y","N")</f>
        <v>N</v>
      </c>
      <c r="M130" s="4" t="str">
        <f>IF(ISNUMBER(SEARCH("Pan ",Broadcast_BASE[[#This Row],[Broadcast Market]]))=TRUE,"Y","N")</f>
        <v>N</v>
      </c>
      <c r="N130" t="str">
        <f>VLOOKUP(CONCATENATE(Broadcast_BASE[[#This Row],[Broadcast Market]],Broadcast_BASE[[#This Row],[Broadcaster]]),Table1[[CC]:[Pay TV vs. Free-to-Air]],3,FALSE)</f>
        <v>Pay TV</v>
      </c>
      <c r="O130" s="1">
        <f>VLOOKUP(CONCATENATE(Broadcast_BASE[[#This Row],[Broadcast Market]],Broadcast_BASE[[#This Row],[Broadcaster]]),Table1[[CC]:[Pay TV vs. Free-to-Air]],2,FALSE)</f>
        <v>4355000</v>
      </c>
      <c r="P130" s="51">
        <f>Broadcast_BASE[[#This Row],[Rolex EXP]]*86400</f>
        <v>20397.265915580483</v>
      </c>
      <c r="Q130" s="73" t="str">
        <f>IF(Broadcast_BASE[[#This Row],[Dashboard Rated?]]="No","N","Y")</f>
        <v>Y</v>
      </c>
      <c r="R130" s="81"/>
      <c r="S130" s="81"/>
    </row>
    <row r="131" spans="1:19" x14ac:dyDescent="0.25">
      <c r="A131" s="72" t="e">
        <f>#REF!</f>
        <v>#REF!</v>
      </c>
      <c r="B131" s="178" t="s">
        <v>81</v>
      </c>
      <c r="C131" s="178" t="s">
        <v>1076</v>
      </c>
      <c r="D131" s="178" t="s">
        <v>1643</v>
      </c>
      <c r="E131" s="179">
        <v>4.206828703703704</v>
      </c>
      <c r="F131" s="180">
        <v>25879</v>
      </c>
      <c r="G131" s="179">
        <v>0.25768883068783199</v>
      </c>
      <c r="H131" s="180">
        <v>31056.574720574055</v>
      </c>
      <c r="I131" s="180">
        <v>8622.3686592631402</v>
      </c>
      <c r="J131" s="180" t="s">
        <v>1868</v>
      </c>
      <c r="K131" t="str">
        <f>VLOOKUP(Broadcast_BASE[[#This Row],[Broadcast Market]],Continent_Look_Up[],2,FALSE)</f>
        <v>Asia Pacific</v>
      </c>
      <c r="L131" t="str">
        <f>IF(OR(Broadcast_BASE[[#This Row],[Broadcast Continent]]="Digital",Broadcast_BASE[[#This Row],[Programme Type]]="Digital"),"Y","N")</f>
        <v>N</v>
      </c>
      <c r="M131" s="4" t="str">
        <f>IF(ISNUMBER(SEARCH("Pan ",Broadcast_BASE[[#This Row],[Broadcast Market]]))=TRUE,"Y","N")</f>
        <v>N</v>
      </c>
      <c r="N131" t="str">
        <f>VLOOKUP(CONCATENATE(Broadcast_BASE[[#This Row],[Broadcast Market]],Broadcast_BASE[[#This Row],[Broadcaster]]),Table1[[CC]:[Pay TV vs. Free-to-Air]],3,FALSE)</f>
        <v>Pay TV</v>
      </c>
      <c r="O131" s="1">
        <f>VLOOKUP(CONCATENATE(Broadcast_BASE[[#This Row],[Broadcast Market]],Broadcast_BASE[[#This Row],[Broadcaster]]),Table1[[CC]:[Pay TV vs. Free-to-Air]],2,FALSE)</f>
        <v>4355000</v>
      </c>
      <c r="P131" s="51">
        <f>Broadcast_BASE[[#This Row],[Rolex EXP]]*86400</f>
        <v>22264.314971428685</v>
      </c>
      <c r="Q131" s="73" t="str">
        <f>IF(Broadcast_BASE[[#This Row],[Dashboard Rated?]]="No","N","Y")</f>
        <v>Y</v>
      </c>
      <c r="R131" s="81"/>
      <c r="S131" s="81"/>
    </row>
    <row r="132" spans="1:19" x14ac:dyDescent="0.25">
      <c r="A132" s="72" t="e">
        <f>#REF!</f>
        <v>#REF!</v>
      </c>
      <c r="B132" s="178" t="s">
        <v>81</v>
      </c>
      <c r="C132" s="178" t="s">
        <v>199</v>
      </c>
      <c r="D132" s="178" t="s">
        <v>1642</v>
      </c>
      <c r="E132" s="179">
        <v>2.9435879629629631</v>
      </c>
      <c r="F132" s="180">
        <v>35087</v>
      </c>
      <c r="G132" s="179">
        <v>0.18749908594718981</v>
      </c>
      <c r="H132" s="180">
        <v>12271.250703438023</v>
      </c>
      <c r="I132" s="180">
        <v>3580.718242258497</v>
      </c>
      <c r="J132" s="180" t="s">
        <v>1868</v>
      </c>
      <c r="K132" t="str">
        <f>VLOOKUP(Broadcast_BASE[[#This Row],[Broadcast Market]],Continent_Look_Up[],2,FALSE)</f>
        <v>Asia Pacific</v>
      </c>
      <c r="L132" t="str">
        <f>IF(OR(Broadcast_BASE[[#This Row],[Broadcast Continent]]="Digital",Broadcast_BASE[[#This Row],[Programme Type]]="Digital"),"Y","N")</f>
        <v>N</v>
      </c>
      <c r="M132" s="4" t="str">
        <f>IF(ISNUMBER(SEARCH("Pan ",Broadcast_BASE[[#This Row],[Broadcast Market]]))=TRUE,"Y","N")</f>
        <v>N</v>
      </c>
      <c r="N132" t="str">
        <f>VLOOKUP(CONCATENATE(Broadcast_BASE[[#This Row],[Broadcast Market]],Broadcast_BASE[[#This Row],[Broadcaster]]),Table1[[CC]:[Pay TV vs. Free-to-Air]],3,FALSE)</f>
        <v>Pay TV</v>
      </c>
      <c r="O132" s="1">
        <f>VLOOKUP(CONCATENATE(Broadcast_BASE[[#This Row],[Broadcast Market]],Broadcast_BASE[[#This Row],[Broadcaster]]),Table1[[CC]:[Pay TV vs. Free-to-Air]],2,FALSE)</f>
        <v>4355000</v>
      </c>
      <c r="P132" s="57">
        <f>Broadcast_BASE[[#This Row],[Rolex EXP]]*86400</f>
        <v>16199.921025837199</v>
      </c>
      <c r="Q132" s="73" t="str">
        <f>IF(Broadcast_BASE[[#This Row],[Dashboard Rated?]]="No","N","Y")</f>
        <v>Y</v>
      </c>
      <c r="R132" s="81"/>
      <c r="S132" s="81"/>
    </row>
    <row r="133" spans="1:19" x14ac:dyDescent="0.25">
      <c r="A133" s="72" t="e">
        <f>#REF!</f>
        <v>#REF!</v>
      </c>
      <c r="B133" s="178" t="s">
        <v>81</v>
      </c>
      <c r="C133" s="178" t="s">
        <v>199</v>
      </c>
      <c r="D133" s="178" t="s">
        <v>1643</v>
      </c>
      <c r="E133" s="179">
        <v>3.7707291666666669</v>
      </c>
      <c r="F133" s="180">
        <v>17087</v>
      </c>
      <c r="G133" s="179">
        <v>0.23097560139384121</v>
      </c>
      <c r="H133" s="180">
        <v>19814.162394015209</v>
      </c>
      <c r="I133" s="180">
        <v>5501.0900066364175</v>
      </c>
      <c r="J133" s="180" t="s">
        <v>1868</v>
      </c>
      <c r="K133" t="str">
        <f>VLOOKUP(Broadcast_BASE[[#This Row],[Broadcast Market]],Continent_Look_Up[],2,FALSE)</f>
        <v>Asia Pacific</v>
      </c>
      <c r="L133" t="str">
        <f>IF(OR(Broadcast_BASE[[#This Row],[Broadcast Continent]]="Digital",Broadcast_BASE[[#This Row],[Programme Type]]="Digital"),"Y","N")</f>
        <v>N</v>
      </c>
      <c r="M133" s="4" t="str">
        <f>IF(ISNUMBER(SEARCH("Pan ",Broadcast_BASE[[#This Row],[Broadcast Market]]))=TRUE,"Y","N")</f>
        <v>N</v>
      </c>
      <c r="N133" t="str">
        <f>VLOOKUP(CONCATENATE(Broadcast_BASE[[#This Row],[Broadcast Market]],Broadcast_BASE[[#This Row],[Broadcaster]]),Table1[[CC]:[Pay TV vs. Free-to-Air]],3,FALSE)</f>
        <v>Pay TV</v>
      </c>
      <c r="O133" s="1">
        <f>VLOOKUP(CONCATENATE(Broadcast_BASE[[#This Row],[Broadcast Market]],Broadcast_BASE[[#This Row],[Broadcaster]]),Table1[[CC]:[Pay TV vs. Free-to-Air]],2,FALSE)</f>
        <v>4355000</v>
      </c>
      <c r="P133" s="57">
        <f>Broadcast_BASE[[#This Row],[Rolex EXP]]*86400</f>
        <v>19956.29196042788</v>
      </c>
      <c r="Q133" s="73" t="str">
        <f>IF(Broadcast_BASE[[#This Row],[Dashboard Rated?]]="No","N","Y")</f>
        <v>Y</v>
      </c>
      <c r="R133" s="81"/>
      <c r="S133" s="81"/>
    </row>
    <row r="134" spans="1:19" x14ac:dyDescent="0.25">
      <c r="A134" s="72" t="e">
        <f>#REF!</f>
        <v>#REF!</v>
      </c>
      <c r="B134" s="178" t="s">
        <v>83</v>
      </c>
      <c r="C134" s="178" t="s">
        <v>183</v>
      </c>
      <c r="D134" s="178" t="s">
        <v>1643</v>
      </c>
      <c r="E134" s="179">
        <v>4.020833333333333</v>
      </c>
      <c r="F134" s="180">
        <v>770096</v>
      </c>
      <c r="G134" s="179">
        <v>0.2521375577150346</v>
      </c>
      <c r="H134" s="180">
        <v>474858.10220833222</v>
      </c>
      <c r="I134" s="180">
        <v>132363.26905956364</v>
      </c>
      <c r="J134" s="180" t="s">
        <v>1867</v>
      </c>
      <c r="K134" t="str">
        <f>VLOOKUP(Broadcast_BASE[[#This Row],[Broadcast Market]],Continent_Look_Up[],2,FALSE)</f>
        <v>Central &amp; South America</v>
      </c>
      <c r="L134" t="str">
        <f>IF(OR(Broadcast_BASE[[#This Row],[Broadcast Continent]]="Digital",Broadcast_BASE[[#This Row],[Programme Type]]="Digital"),"Y","N")</f>
        <v>N</v>
      </c>
      <c r="M134" s="4" t="str">
        <f>IF(ISNUMBER(SEARCH("Pan ",Broadcast_BASE[[#This Row],[Broadcast Market]]))=TRUE,"Y","N")</f>
        <v>N</v>
      </c>
      <c r="N134" t="str">
        <f>VLOOKUP(CONCATENATE(Broadcast_BASE[[#This Row],[Broadcast Market]],Broadcast_BASE[[#This Row],[Broadcaster]]),Table1[[CC]:[Pay TV vs. Free-to-Air]],3,FALSE)</f>
        <v>Pay TV</v>
      </c>
      <c r="O134" s="1">
        <f>VLOOKUP(CONCATENATE(Broadcast_BASE[[#This Row],[Broadcast Market]],Broadcast_BASE[[#This Row],[Broadcaster]]),Table1[[CC]:[Pay TV vs. Free-to-Air]],2,FALSE)</f>
        <v>8173540</v>
      </c>
      <c r="P134" s="57">
        <f>Broadcast_BASE[[#This Row],[Rolex EXP]]*86400</f>
        <v>21784.684986578988</v>
      </c>
      <c r="Q134" s="73" t="str">
        <f>IF(Broadcast_BASE[[#This Row],[Dashboard Rated?]]="No","N","Y")</f>
        <v>N</v>
      </c>
      <c r="R134" s="81"/>
      <c r="S134" s="81"/>
    </row>
    <row r="135" spans="1:19" x14ac:dyDescent="0.25">
      <c r="A135" s="72" t="e">
        <f>#REF!</f>
        <v>#REF!</v>
      </c>
      <c r="B135" s="178" t="s">
        <v>83</v>
      </c>
      <c r="C135" s="178" t="s">
        <v>183</v>
      </c>
      <c r="D135" s="178" t="s">
        <v>1644</v>
      </c>
      <c r="E135" s="179">
        <v>0.5</v>
      </c>
      <c r="F135" s="180">
        <v>56544</v>
      </c>
      <c r="G135" s="179">
        <v>2.8351594999103055E-2</v>
      </c>
      <c r="H135" s="180">
        <v>18376.828203575289</v>
      </c>
      <c r="I135" s="180">
        <v>5347.408435672417</v>
      </c>
      <c r="J135" s="180" t="s">
        <v>1867</v>
      </c>
      <c r="K135" t="str">
        <f>VLOOKUP(Broadcast_BASE[[#This Row],[Broadcast Market]],Continent_Look_Up[],2,FALSE)</f>
        <v>Central &amp; South America</v>
      </c>
      <c r="L135" t="str">
        <f>IF(OR(Broadcast_BASE[[#This Row],[Broadcast Continent]]="Digital",Broadcast_BASE[[#This Row],[Programme Type]]="Digital"),"Y","N")</f>
        <v>N</v>
      </c>
      <c r="M135" s="4" t="str">
        <f>IF(ISNUMBER(SEARCH("Pan ",Broadcast_BASE[[#This Row],[Broadcast Market]]))=TRUE,"Y","N")</f>
        <v>N</v>
      </c>
      <c r="N135" t="str">
        <f>VLOOKUP(CONCATENATE(Broadcast_BASE[[#This Row],[Broadcast Market]],Broadcast_BASE[[#This Row],[Broadcaster]]),Table1[[CC]:[Pay TV vs. Free-to-Air]],3,FALSE)</f>
        <v>Pay TV</v>
      </c>
      <c r="O135" s="1">
        <f>VLOOKUP(CONCATENATE(Broadcast_BASE[[#This Row],[Broadcast Market]],Broadcast_BASE[[#This Row],[Broadcaster]]),Table1[[CC]:[Pay TV vs. Free-to-Air]],2,FALSE)</f>
        <v>8173540</v>
      </c>
      <c r="P135" s="57">
        <f>Broadcast_BASE[[#This Row],[Rolex EXP]]*86400</f>
        <v>2449.5778079225038</v>
      </c>
      <c r="Q135" s="73" t="str">
        <f>IF(Broadcast_BASE[[#This Row],[Dashboard Rated?]]="No","N","Y")</f>
        <v>N</v>
      </c>
      <c r="R135" s="81"/>
      <c r="S135" s="81"/>
    </row>
    <row r="136" spans="1:19" x14ac:dyDescent="0.25">
      <c r="A136" s="72" t="e">
        <f>#REF!</f>
        <v>#REF!</v>
      </c>
      <c r="B136" s="178" t="s">
        <v>83</v>
      </c>
      <c r="C136" s="178" t="s">
        <v>184</v>
      </c>
      <c r="D136" s="178" t="s">
        <v>1643</v>
      </c>
      <c r="E136" s="179">
        <v>0.83333333333333337</v>
      </c>
      <c r="F136" s="180">
        <v>141328</v>
      </c>
      <c r="G136" s="179">
        <v>5.1045741903111418E-2</v>
      </c>
      <c r="H136" s="180">
        <v>82697.858700275407</v>
      </c>
      <c r="I136" s="180">
        <v>22959.757521908909</v>
      </c>
      <c r="J136" s="180" t="s">
        <v>1867</v>
      </c>
      <c r="K136" t="str">
        <f>VLOOKUP(Broadcast_BASE[[#This Row],[Broadcast Market]],Continent_Look_Up[],2,FALSE)</f>
        <v>Central &amp; South America</v>
      </c>
      <c r="L136" t="str">
        <f>IF(OR(Broadcast_BASE[[#This Row],[Broadcast Continent]]="Digital",Broadcast_BASE[[#This Row],[Programme Type]]="Digital"),"Y","N")</f>
        <v>N</v>
      </c>
      <c r="M136" s="4" t="str">
        <f>IF(ISNUMBER(SEARCH("Pan ",Broadcast_BASE[[#This Row],[Broadcast Market]]))=TRUE,"Y","N")</f>
        <v>N</v>
      </c>
      <c r="N136" t="str">
        <f>VLOOKUP(CONCATENATE(Broadcast_BASE[[#This Row],[Broadcast Market]],Broadcast_BASE[[#This Row],[Broadcaster]]),Table1[[CC]:[Pay TV vs. Free-to-Air]],3,FALSE)</f>
        <v>Pay TV</v>
      </c>
      <c r="O136" s="1">
        <f>VLOOKUP(CONCATENATE(Broadcast_BASE[[#This Row],[Broadcast Market]],Broadcast_BASE[[#This Row],[Broadcaster]]),Table1[[CC]:[Pay TV vs. Free-to-Air]],2,FALSE)</f>
        <v>8173540</v>
      </c>
      <c r="P136" s="51">
        <f>Broadcast_BASE[[#This Row],[Rolex EXP]]*86400</f>
        <v>4410.3521004288268</v>
      </c>
      <c r="Q136" s="73" t="str">
        <f>IF(Broadcast_BASE[[#This Row],[Dashboard Rated?]]="No","N","Y")</f>
        <v>N</v>
      </c>
      <c r="R136" s="81"/>
      <c r="S136" s="81"/>
    </row>
    <row r="137" spans="1:19" x14ac:dyDescent="0.25">
      <c r="A137" s="72" t="e">
        <f>#REF!</f>
        <v>#REF!</v>
      </c>
      <c r="B137" s="178" t="s">
        <v>83</v>
      </c>
      <c r="C137" s="178" t="s">
        <v>184</v>
      </c>
      <c r="D137" s="178" t="s">
        <v>1644</v>
      </c>
      <c r="E137" s="179">
        <v>0.89583333333333337</v>
      </c>
      <c r="F137" s="180">
        <v>129776</v>
      </c>
      <c r="G137" s="179">
        <v>5.5063380569066733E-2</v>
      </c>
      <c r="H137" s="180">
        <v>40233.757834263219</v>
      </c>
      <c r="I137" s="180">
        <v>11505.221003004472</v>
      </c>
      <c r="J137" s="180" t="s">
        <v>1867</v>
      </c>
      <c r="K137" t="str">
        <f>VLOOKUP(Broadcast_BASE[[#This Row],[Broadcast Market]],Continent_Look_Up[],2,FALSE)</f>
        <v>Central &amp; South America</v>
      </c>
      <c r="L137" t="str">
        <f>IF(OR(Broadcast_BASE[[#This Row],[Broadcast Continent]]="Digital",Broadcast_BASE[[#This Row],[Programme Type]]="Digital"),"Y","N")</f>
        <v>N</v>
      </c>
      <c r="M137" s="4" t="str">
        <f>IF(ISNUMBER(SEARCH("Pan ",Broadcast_BASE[[#This Row],[Broadcast Market]]))=TRUE,"Y","N")</f>
        <v>N</v>
      </c>
      <c r="N137" t="str">
        <f>VLOOKUP(CONCATENATE(Broadcast_BASE[[#This Row],[Broadcast Market]],Broadcast_BASE[[#This Row],[Broadcaster]]),Table1[[CC]:[Pay TV vs. Free-to-Air]],3,FALSE)</f>
        <v>Pay TV</v>
      </c>
      <c r="O137" s="1">
        <f>VLOOKUP(CONCATENATE(Broadcast_BASE[[#This Row],[Broadcast Market]],Broadcast_BASE[[#This Row],[Broadcaster]]),Table1[[CC]:[Pay TV vs. Free-to-Air]],2,FALSE)</f>
        <v>8173540</v>
      </c>
      <c r="P137" s="57">
        <f>Broadcast_BASE[[#This Row],[Rolex EXP]]*86400</f>
        <v>4757.4760811673659</v>
      </c>
      <c r="Q137" s="73" t="str">
        <f>IF(Broadcast_BASE[[#This Row],[Dashboard Rated?]]="No","N","Y")</f>
        <v>N</v>
      </c>
      <c r="R137" s="81"/>
      <c r="S137" s="81"/>
    </row>
    <row r="138" spans="1:19" x14ac:dyDescent="0.25">
      <c r="A138" s="72" t="e">
        <f>#REF!</f>
        <v>#REF!</v>
      </c>
      <c r="B138" s="178" t="s">
        <v>83</v>
      </c>
      <c r="C138" s="178" t="s">
        <v>185</v>
      </c>
      <c r="D138" s="178" t="s">
        <v>1642</v>
      </c>
      <c r="E138" s="179">
        <v>2.0833333333333332E-2</v>
      </c>
      <c r="F138" s="180">
        <v>10720</v>
      </c>
      <c r="G138" s="179">
        <v>1.1050021561017675E-3</v>
      </c>
      <c r="H138" s="180">
        <v>543.15581475502177</v>
      </c>
      <c r="I138" s="180">
        <v>162.96091946850134</v>
      </c>
      <c r="J138" s="180" t="s">
        <v>1867</v>
      </c>
      <c r="K138" t="str">
        <f>VLOOKUP(Broadcast_BASE[[#This Row],[Broadcast Market]],Continent_Look_Up[],2,FALSE)</f>
        <v>Central &amp; South America</v>
      </c>
      <c r="L138" t="str">
        <f>IF(OR(Broadcast_BASE[[#This Row],[Broadcast Continent]]="Digital",Broadcast_BASE[[#This Row],[Programme Type]]="Digital"),"Y","N")</f>
        <v>N</v>
      </c>
      <c r="M138" s="4" t="str">
        <f>IF(ISNUMBER(SEARCH("Pan ",Broadcast_BASE[[#This Row],[Broadcast Market]]))=TRUE,"Y","N")</f>
        <v>N</v>
      </c>
      <c r="N138" t="str">
        <f>VLOOKUP(CONCATENATE(Broadcast_BASE[[#This Row],[Broadcast Market]],Broadcast_BASE[[#This Row],[Broadcaster]]),Table1[[CC]:[Pay TV vs. Free-to-Air]],3,FALSE)</f>
        <v>Pay TV</v>
      </c>
      <c r="O138" s="1">
        <f>VLOOKUP(CONCATENATE(Broadcast_BASE[[#This Row],[Broadcast Market]],Broadcast_BASE[[#This Row],[Broadcaster]]),Table1[[CC]:[Pay TV vs. Free-to-Air]],2,FALSE)</f>
        <v>8173540</v>
      </c>
      <c r="P138" s="57">
        <f>Broadcast_BASE[[#This Row],[Rolex EXP]]*86400</f>
        <v>95.472186287192713</v>
      </c>
      <c r="Q138" s="73" t="str">
        <f>IF(Broadcast_BASE[[#This Row],[Dashboard Rated?]]="No","N","Y")</f>
        <v>N</v>
      </c>
      <c r="R138" s="81"/>
      <c r="S138" s="81"/>
    </row>
    <row r="139" spans="1:19" x14ac:dyDescent="0.25">
      <c r="A139" s="72" t="e">
        <f>#REF!</f>
        <v>#REF!</v>
      </c>
      <c r="B139" s="178" t="s">
        <v>83</v>
      </c>
      <c r="C139" s="178" t="s">
        <v>185</v>
      </c>
      <c r="D139" s="178" t="s">
        <v>1643</v>
      </c>
      <c r="E139" s="179">
        <v>2.3229166666666665</v>
      </c>
      <c r="F139" s="180">
        <v>464220</v>
      </c>
      <c r="G139" s="179">
        <v>0.1523704187332455</v>
      </c>
      <c r="H139" s="180">
        <v>263947.42550599761</v>
      </c>
      <c r="I139" s="180">
        <v>74810.856216009503</v>
      </c>
      <c r="J139" s="180" t="s">
        <v>1867</v>
      </c>
      <c r="K139" t="str">
        <f>VLOOKUP(Broadcast_BASE[[#This Row],[Broadcast Market]],Continent_Look_Up[],2,FALSE)</f>
        <v>Central &amp; South America</v>
      </c>
      <c r="L139" t="str">
        <f>IF(OR(Broadcast_BASE[[#This Row],[Broadcast Continent]]="Digital",Broadcast_BASE[[#This Row],[Programme Type]]="Digital"),"Y","N")</f>
        <v>N</v>
      </c>
      <c r="M139" s="4" t="str">
        <f>IF(ISNUMBER(SEARCH("Pan ",Broadcast_BASE[[#This Row],[Broadcast Market]]))=TRUE,"Y","N")</f>
        <v>N</v>
      </c>
      <c r="N139" t="str">
        <f>VLOOKUP(CONCATENATE(Broadcast_BASE[[#This Row],[Broadcast Market]],Broadcast_BASE[[#This Row],[Broadcaster]]),Table1[[CC]:[Pay TV vs. Free-to-Air]],3,FALSE)</f>
        <v>Pay TV</v>
      </c>
      <c r="O139" s="1">
        <f>VLOOKUP(CONCATENATE(Broadcast_BASE[[#This Row],[Broadcast Market]],Broadcast_BASE[[#This Row],[Broadcaster]]),Table1[[CC]:[Pay TV vs. Free-to-Air]],2,FALSE)</f>
        <v>8173540</v>
      </c>
      <c r="P139" s="57">
        <f>Broadcast_BASE[[#This Row],[Rolex EXP]]*86400</f>
        <v>13164.804178552411</v>
      </c>
      <c r="Q139" s="73" t="str">
        <f>IF(Broadcast_BASE[[#This Row],[Dashboard Rated?]]="No","N","Y")</f>
        <v>N</v>
      </c>
      <c r="R139" s="81"/>
      <c r="S139" s="81"/>
    </row>
    <row r="140" spans="1:19" x14ac:dyDescent="0.25">
      <c r="A140" s="72" t="e">
        <f>#REF!</f>
        <v>#REF!</v>
      </c>
      <c r="B140" s="178" t="s">
        <v>83</v>
      </c>
      <c r="C140" s="178" t="s">
        <v>185</v>
      </c>
      <c r="D140" s="178" t="s">
        <v>1644</v>
      </c>
      <c r="E140" s="179">
        <v>0.84722222222222221</v>
      </c>
      <c r="F140" s="180">
        <v>98952</v>
      </c>
      <c r="G140" s="179">
        <v>5.8988041800371739E-2</v>
      </c>
      <c r="H140" s="180">
        <v>38234.642892755903</v>
      </c>
      <c r="I140" s="180">
        <v>10997.371478160649</v>
      </c>
      <c r="J140" s="180" t="s">
        <v>1867</v>
      </c>
      <c r="K140" t="str">
        <f>VLOOKUP(Broadcast_BASE[[#This Row],[Broadcast Market]],Continent_Look_Up[],2,FALSE)</f>
        <v>Central &amp; South America</v>
      </c>
      <c r="L140" t="str">
        <f>IF(OR(Broadcast_BASE[[#This Row],[Broadcast Continent]]="Digital",Broadcast_BASE[[#This Row],[Programme Type]]="Digital"),"Y","N")</f>
        <v>N</v>
      </c>
      <c r="M140" s="4" t="str">
        <f>IF(ISNUMBER(SEARCH("Pan ",Broadcast_BASE[[#This Row],[Broadcast Market]]))=TRUE,"Y","N")</f>
        <v>N</v>
      </c>
      <c r="N140" t="str">
        <f>VLOOKUP(CONCATENATE(Broadcast_BASE[[#This Row],[Broadcast Market]],Broadcast_BASE[[#This Row],[Broadcaster]]),Table1[[CC]:[Pay TV vs. Free-to-Air]],3,FALSE)</f>
        <v>Pay TV</v>
      </c>
      <c r="O140" s="1">
        <f>VLOOKUP(CONCATENATE(Broadcast_BASE[[#This Row],[Broadcast Market]],Broadcast_BASE[[#This Row],[Broadcaster]]),Table1[[CC]:[Pay TV vs. Free-to-Air]],2,FALSE)</f>
        <v>8173540</v>
      </c>
      <c r="P140" s="57">
        <f>Broadcast_BASE[[#This Row],[Rolex EXP]]*86400</f>
        <v>5096.5668115521185</v>
      </c>
      <c r="Q140" s="73" t="str">
        <f>IF(Broadcast_BASE[[#This Row],[Dashboard Rated?]]="No","N","Y")</f>
        <v>N</v>
      </c>
      <c r="R140" s="81"/>
      <c r="S140" s="81"/>
    </row>
    <row r="141" spans="1:19" x14ac:dyDescent="0.25">
      <c r="A141" s="72" t="e">
        <f>#REF!</f>
        <v>#REF!</v>
      </c>
      <c r="B141" s="178" t="s">
        <v>83</v>
      </c>
      <c r="C141" s="178" t="s">
        <v>186</v>
      </c>
      <c r="D141" s="178" t="s">
        <v>1643</v>
      </c>
      <c r="E141" s="179">
        <v>1.8125</v>
      </c>
      <c r="F141" s="180">
        <v>393556</v>
      </c>
      <c r="G141" s="179">
        <v>0.11625486264763797</v>
      </c>
      <c r="H141" s="180">
        <v>207176.65960596598</v>
      </c>
      <c r="I141" s="180">
        <v>58186.372321506336</v>
      </c>
      <c r="J141" s="180" t="s">
        <v>1867</v>
      </c>
      <c r="K141" t="str">
        <f>VLOOKUP(Broadcast_BASE[[#This Row],[Broadcast Market]],Continent_Look_Up[],2,FALSE)</f>
        <v>Central &amp; South America</v>
      </c>
      <c r="L141" t="str">
        <f>IF(OR(Broadcast_BASE[[#This Row],[Broadcast Continent]]="Digital",Broadcast_BASE[[#This Row],[Programme Type]]="Digital"),"Y","N")</f>
        <v>N</v>
      </c>
      <c r="M141" s="4" t="str">
        <f>IF(ISNUMBER(SEARCH("Pan ",Broadcast_BASE[[#This Row],[Broadcast Market]]))=TRUE,"Y","N")</f>
        <v>N</v>
      </c>
      <c r="N141" t="str">
        <f>VLOOKUP(CONCATENATE(Broadcast_BASE[[#This Row],[Broadcast Market]],Broadcast_BASE[[#This Row],[Broadcaster]]),Table1[[CC]:[Pay TV vs. Free-to-Air]],3,FALSE)</f>
        <v>Pay TV</v>
      </c>
      <c r="O141" s="1">
        <f>VLOOKUP(CONCATENATE(Broadcast_BASE[[#This Row],[Broadcast Market]],Broadcast_BASE[[#This Row],[Broadcaster]]),Table1[[CC]:[Pay TV vs. Free-to-Air]],2,FALSE)</f>
        <v>8173540</v>
      </c>
      <c r="P141" s="57">
        <f>Broadcast_BASE[[#This Row],[Rolex EXP]]*86400</f>
        <v>10044.42013275592</v>
      </c>
      <c r="Q141" s="73" t="str">
        <f>IF(Broadcast_BASE[[#This Row],[Dashboard Rated?]]="No","N","Y")</f>
        <v>N</v>
      </c>
      <c r="R141" s="81"/>
      <c r="S141" s="81"/>
    </row>
    <row r="142" spans="1:19" x14ac:dyDescent="0.25">
      <c r="A142" s="72" t="e">
        <f>#REF!</f>
        <v>#REF!</v>
      </c>
      <c r="B142" s="178" t="s">
        <v>83</v>
      </c>
      <c r="C142" s="178" t="s">
        <v>186</v>
      </c>
      <c r="D142" s="178" t="s">
        <v>1644</v>
      </c>
      <c r="E142" s="179">
        <v>0.35416666666666669</v>
      </c>
      <c r="F142" s="180">
        <v>56544</v>
      </c>
      <c r="G142" s="179">
        <v>2.3085538803348991E-2</v>
      </c>
      <c r="H142" s="180">
        <v>14963.496078070279</v>
      </c>
      <c r="I142" s="180">
        <v>4256.0185616800482</v>
      </c>
      <c r="J142" s="180" t="s">
        <v>1867</v>
      </c>
      <c r="K142" t="str">
        <f>VLOOKUP(Broadcast_BASE[[#This Row],[Broadcast Market]],Continent_Look_Up[],2,FALSE)</f>
        <v>Central &amp; South America</v>
      </c>
      <c r="L142" t="str">
        <f>IF(OR(Broadcast_BASE[[#This Row],[Broadcast Continent]]="Digital",Broadcast_BASE[[#This Row],[Programme Type]]="Digital"),"Y","N")</f>
        <v>N</v>
      </c>
      <c r="M142" s="4" t="str">
        <f>IF(ISNUMBER(SEARCH("Pan ",Broadcast_BASE[[#This Row],[Broadcast Market]]))=TRUE,"Y","N")</f>
        <v>N</v>
      </c>
      <c r="N142" t="str">
        <f>VLOOKUP(CONCATENATE(Broadcast_BASE[[#This Row],[Broadcast Market]],Broadcast_BASE[[#This Row],[Broadcaster]]),Table1[[CC]:[Pay TV vs. Free-to-Air]],3,FALSE)</f>
        <v>Pay TV</v>
      </c>
      <c r="O142" s="1">
        <f>VLOOKUP(CONCATENATE(Broadcast_BASE[[#This Row],[Broadcast Market]],Broadcast_BASE[[#This Row],[Broadcaster]]),Table1[[CC]:[Pay TV vs. Free-to-Air]],2,FALSE)</f>
        <v>8173540</v>
      </c>
      <c r="P142" s="57">
        <f>Broadcast_BASE[[#This Row],[Rolex EXP]]*86400</f>
        <v>1994.5905526093527</v>
      </c>
      <c r="Q142" s="73" t="str">
        <f>IF(Broadcast_BASE[[#This Row],[Dashboard Rated?]]="No","N","Y")</f>
        <v>N</v>
      </c>
      <c r="R142" s="81"/>
      <c r="S142" s="81"/>
    </row>
    <row r="143" spans="1:19" x14ac:dyDescent="0.25">
      <c r="A143" s="72" t="e">
        <f>#REF!</f>
        <v>#REF!</v>
      </c>
      <c r="B143" s="178" t="s">
        <v>89</v>
      </c>
      <c r="C143" s="178" t="s">
        <v>268</v>
      </c>
      <c r="D143" s="178" t="s">
        <v>1642</v>
      </c>
      <c r="E143" s="179">
        <v>1.5891319444444445</v>
      </c>
      <c r="F143" s="180">
        <v>1766528</v>
      </c>
      <c r="G143" s="179">
        <v>0.12354760768482376</v>
      </c>
      <c r="H143" s="180">
        <v>71697.481963053186</v>
      </c>
      <c r="I143" s="180">
        <v>20583.586778799301</v>
      </c>
      <c r="J143" s="180" t="s">
        <v>1868</v>
      </c>
      <c r="K143" t="str">
        <f>VLOOKUP(Broadcast_BASE[[#This Row],[Broadcast Market]],Continent_Look_Up[],2,FALSE)</f>
        <v>Europe</v>
      </c>
      <c r="L143" t="str">
        <f>IF(OR(Broadcast_BASE[[#This Row],[Broadcast Continent]]="Digital",Broadcast_BASE[[#This Row],[Programme Type]]="Digital"),"Y","N")</f>
        <v>N</v>
      </c>
      <c r="M143" s="4" t="str">
        <f>IF(ISNUMBER(SEARCH("Pan ",Broadcast_BASE[[#This Row],[Broadcast Market]]))=TRUE,"Y","N")</f>
        <v>N</v>
      </c>
      <c r="N143" t="str">
        <f>VLOOKUP(CONCATENATE(Broadcast_BASE[[#This Row],[Broadcast Market]],Broadcast_BASE[[#This Row],[Broadcaster]]),Table1[[CC]:[Pay TV vs. Free-to-Air]],3,FALSE)</f>
        <v>Pay TV</v>
      </c>
      <c r="O143" s="1">
        <f>VLOOKUP(CONCATENATE(Broadcast_BASE[[#This Row],[Broadcast Market]],Broadcast_BASE[[#This Row],[Broadcaster]]),Table1[[CC]:[Pay TV vs. Free-to-Air]],2,FALSE)</f>
        <v>7455000</v>
      </c>
      <c r="P143" s="57">
        <f>Broadcast_BASE[[#This Row],[Rolex EXP]]*86400</f>
        <v>10674.513303968773</v>
      </c>
      <c r="Q143" s="73" t="str">
        <f>IF(Broadcast_BASE[[#This Row],[Dashboard Rated?]]="No","N","Y")</f>
        <v>Y</v>
      </c>
      <c r="R143" s="83"/>
      <c r="S143" s="83"/>
    </row>
    <row r="144" spans="1:19" x14ac:dyDescent="0.25">
      <c r="A144" s="72" t="e">
        <f>#REF!</f>
        <v>#REF!</v>
      </c>
      <c r="B144" s="178" t="s">
        <v>89</v>
      </c>
      <c r="C144" s="178" t="s">
        <v>268</v>
      </c>
      <c r="D144" s="178" t="s">
        <v>1643</v>
      </c>
      <c r="E144" s="179">
        <v>5.6700925925925922</v>
      </c>
      <c r="F144" s="180">
        <v>1490619</v>
      </c>
      <c r="G144" s="179">
        <v>0.46171380012329638</v>
      </c>
      <c r="H144" s="180">
        <v>360721.37701572152</v>
      </c>
      <c r="I144" s="180">
        <v>103675.1315104314</v>
      </c>
      <c r="J144" s="180" t="s">
        <v>1868</v>
      </c>
      <c r="K144" t="str">
        <f>VLOOKUP(Broadcast_BASE[[#This Row],[Broadcast Market]],Continent_Look_Up[],2,FALSE)</f>
        <v>Europe</v>
      </c>
      <c r="L144" t="str">
        <f>IF(OR(Broadcast_BASE[[#This Row],[Broadcast Continent]]="Digital",Broadcast_BASE[[#This Row],[Programme Type]]="Digital"),"Y","N")</f>
        <v>N</v>
      </c>
      <c r="M144" s="4" t="str">
        <f>IF(ISNUMBER(SEARCH("Pan ",Broadcast_BASE[[#This Row],[Broadcast Market]]))=TRUE,"Y","N")</f>
        <v>N</v>
      </c>
      <c r="N144" t="str">
        <f>VLOOKUP(CONCATENATE(Broadcast_BASE[[#This Row],[Broadcast Market]],Broadcast_BASE[[#This Row],[Broadcaster]]),Table1[[CC]:[Pay TV vs. Free-to-Air]],3,FALSE)</f>
        <v>Pay TV</v>
      </c>
      <c r="O144" s="1">
        <f>VLOOKUP(CONCATENATE(Broadcast_BASE[[#This Row],[Broadcast Market]],Broadcast_BASE[[#This Row],[Broadcaster]]),Table1[[CC]:[Pay TV vs. Free-to-Air]],2,FALSE)</f>
        <v>7455000</v>
      </c>
      <c r="P144" s="57">
        <f>Broadcast_BASE[[#This Row],[Rolex EXP]]*86400</f>
        <v>39892.072330652809</v>
      </c>
      <c r="Q144" s="73" t="str">
        <f>IF(Broadcast_BASE[[#This Row],[Dashboard Rated?]]="No","N","Y")</f>
        <v>Y</v>
      </c>
      <c r="R144" s="81"/>
      <c r="S144" s="81"/>
    </row>
    <row r="145" spans="1:19" x14ac:dyDescent="0.25">
      <c r="A145" s="72" t="e">
        <f>#REF!</f>
        <v>#REF!</v>
      </c>
      <c r="B145" s="178" t="s">
        <v>89</v>
      </c>
      <c r="C145" s="178" t="s">
        <v>268</v>
      </c>
      <c r="D145" s="178" t="s">
        <v>1644</v>
      </c>
      <c r="E145" s="179">
        <v>1.4393171296296297</v>
      </c>
      <c r="F145" s="180">
        <v>239643</v>
      </c>
      <c r="G145" s="179">
        <v>0.11650556713188269</v>
      </c>
      <c r="H145" s="180">
        <v>32822.731216611595</v>
      </c>
      <c r="I145" s="180">
        <v>9429.8733109840869</v>
      </c>
      <c r="J145" s="180" t="s">
        <v>1868</v>
      </c>
      <c r="K145" t="str">
        <f>VLOOKUP(Broadcast_BASE[[#This Row],[Broadcast Market]],Continent_Look_Up[],2,FALSE)</f>
        <v>Europe</v>
      </c>
      <c r="L145" t="str">
        <f>IF(OR(Broadcast_BASE[[#This Row],[Broadcast Continent]]="Digital",Broadcast_BASE[[#This Row],[Programme Type]]="Digital"),"Y","N")</f>
        <v>N</v>
      </c>
      <c r="M145" s="4" t="str">
        <f>IF(ISNUMBER(SEARCH("Pan ",Broadcast_BASE[[#This Row],[Broadcast Market]]))=TRUE,"Y","N")</f>
        <v>N</v>
      </c>
      <c r="N145" t="str">
        <f>VLOOKUP(CONCATENATE(Broadcast_BASE[[#This Row],[Broadcast Market]],Broadcast_BASE[[#This Row],[Broadcaster]]),Table1[[CC]:[Pay TV vs. Free-to-Air]],3,FALSE)</f>
        <v>Pay TV</v>
      </c>
      <c r="O145" s="1">
        <f>VLOOKUP(CONCATENATE(Broadcast_BASE[[#This Row],[Broadcast Market]],Broadcast_BASE[[#This Row],[Broadcaster]]),Table1[[CC]:[Pay TV vs. Free-to-Air]],2,FALSE)</f>
        <v>7455000</v>
      </c>
      <c r="P145" s="51">
        <f>Broadcast_BASE[[#This Row],[Rolex EXP]]*86400</f>
        <v>10066.081000194665</v>
      </c>
      <c r="Q145" s="73" t="str">
        <f>IF(Broadcast_BASE[[#This Row],[Dashboard Rated?]]="No","N","Y")</f>
        <v>Y</v>
      </c>
      <c r="R145" s="81"/>
      <c r="S145" s="81"/>
    </row>
    <row r="146" spans="1:19" x14ac:dyDescent="0.25">
      <c r="A146" s="72" t="e">
        <f>#REF!</f>
        <v>#REF!</v>
      </c>
      <c r="B146" s="178" t="s">
        <v>89</v>
      </c>
      <c r="C146" s="178" t="s">
        <v>269</v>
      </c>
      <c r="D146" s="178" t="s">
        <v>1642</v>
      </c>
      <c r="E146" s="179">
        <v>0.83843749999999995</v>
      </c>
      <c r="F146" s="180">
        <v>377969</v>
      </c>
      <c r="G146" s="179">
        <v>6.5951216212620456E-2</v>
      </c>
      <c r="H146" s="180">
        <v>27226.970655167635</v>
      </c>
      <c r="I146" s="180">
        <v>7754.9489623043019</v>
      </c>
      <c r="J146" s="180" t="s">
        <v>1867</v>
      </c>
      <c r="K146" t="str">
        <f>VLOOKUP(Broadcast_BASE[[#This Row],[Broadcast Market]],Continent_Look_Up[],2,FALSE)</f>
        <v>Europe</v>
      </c>
      <c r="L146" t="str">
        <f>IF(OR(Broadcast_BASE[[#This Row],[Broadcast Continent]]="Digital",Broadcast_BASE[[#This Row],[Programme Type]]="Digital"),"Y","N")</f>
        <v>N</v>
      </c>
      <c r="M146" s="4" t="str">
        <f>IF(ISNUMBER(SEARCH("Pan ",Broadcast_BASE[[#This Row],[Broadcast Market]]))=TRUE,"Y","N")</f>
        <v>N</v>
      </c>
      <c r="N146" t="str">
        <f>VLOOKUP(CONCATENATE(Broadcast_BASE[[#This Row],[Broadcast Market]],Broadcast_BASE[[#This Row],[Broadcaster]]),Table1[[CC]:[Pay TV vs. Free-to-Air]],3,FALSE)</f>
        <v>Pay TV</v>
      </c>
      <c r="O146" s="1">
        <f>VLOOKUP(CONCATENATE(Broadcast_BASE[[#This Row],[Broadcast Market]],Broadcast_BASE[[#This Row],[Broadcaster]]),Table1[[CC]:[Pay TV vs. Free-to-Air]],2,FALSE)</f>
        <v>1871000</v>
      </c>
      <c r="P146" s="57">
        <f>Broadcast_BASE[[#This Row],[Rolex EXP]]*86400</f>
        <v>5698.1850807704077</v>
      </c>
      <c r="Q146" s="73" t="str">
        <f>IF(Broadcast_BASE[[#This Row],[Dashboard Rated?]]="No","N","Y")</f>
        <v>N</v>
      </c>
      <c r="R146" s="83"/>
      <c r="S146" s="83"/>
    </row>
    <row r="147" spans="1:19" x14ac:dyDescent="0.25">
      <c r="A147" s="72" t="e">
        <f>#REF!</f>
        <v>#REF!</v>
      </c>
      <c r="B147" s="178" t="s">
        <v>89</v>
      </c>
      <c r="C147" s="178" t="s">
        <v>269</v>
      </c>
      <c r="D147" s="178" t="s">
        <v>1643</v>
      </c>
      <c r="E147" s="179">
        <v>3.0458796296296295</v>
      </c>
      <c r="F147" s="180">
        <v>965628</v>
      </c>
      <c r="G147" s="179">
        <v>0.25179070981041834</v>
      </c>
      <c r="H147" s="180">
        <v>215496.60424875334</v>
      </c>
      <c r="I147" s="180">
        <v>64584.693160707284</v>
      </c>
      <c r="J147" s="180" t="s">
        <v>1867</v>
      </c>
      <c r="K147" t="str">
        <f>VLOOKUP(Broadcast_BASE[[#This Row],[Broadcast Market]],Continent_Look_Up[],2,FALSE)</f>
        <v>Europe</v>
      </c>
      <c r="L147" t="str">
        <f>IF(OR(Broadcast_BASE[[#This Row],[Broadcast Continent]]="Digital",Broadcast_BASE[[#This Row],[Programme Type]]="Digital"),"Y","N")</f>
        <v>N</v>
      </c>
      <c r="M147" s="4" t="str">
        <f>IF(ISNUMBER(SEARCH("Pan ",Broadcast_BASE[[#This Row],[Broadcast Market]]))=TRUE,"Y","N")</f>
        <v>N</v>
      </c>
      <c r="N147" t="str">
        <f>VLOOKUP(CONCATENATE(Broadcast_BASE[[#This Row],[Broadcast Market]],Broadcast_BASE[[#This Row],[Broadcaster]]),Table1[[CC]:[Pay TV vs. Free-to-Air]],3,FALSE)</f>
        <v>Pay TV</v>
      </c>
      <c r="O147" s="1">
        <f>VLOOKUP(CONCATENATE(Broadcast_BASE[[#This Row],[Broadcast Market]],Broadcast_BASE[[#This Row],[Broadcaster]]),Table1[[CC]:[Pay TV vs. Free-to-Air]],2,FALSE)</f>
        <v>1871000</v>
      </c>
      <c r="P147" s="51">
        <f>Broadcast_BASE[[#This Row],[Rolex EXP]]*86400</f>
        <v>21754.717327620147</v>
      </c>
      <c r="Q147" s="73" t="str">
        <f>IF(Broadcast_BASE[[#This Row],[Dashboard Rated?]]="No","N","Y")</f>
        <v>N</v>
      </c>
      <c r="R147" s="81"/>
      <c r="S147" s="81"/>
    </row>
    <row r="148" spans="1:19" x14ac:dyDescent="0.25">
      <c r="A148" s="72" t="e">
        <f>#REF!</f>
        <v>#REF!</v>
      </c>
      <c r="B148" s="178" t="s">
        <v>89</v>
      </c>
      <c r="C148" s="178" t="s">
        <v>269</v>
      </c>
      <c r="D148" s="178" t="s">
        <v>1644</v>
      </c>
      <c r="E148" s="179">
        <v>2.4179629629629633</v>
      </c>
      <c r="F148" s="180">
        <v>326951</v>
      </c>
      <c r="G148" s="179">
        <v>0.18174330250067053</v>
      </c>
      <c r="H148" s="180">
        <v>49429.296734687014</v>
      </c>
      <c r="I148" s="180">
        <v>14015.424337441078</v>
      </c>
      <c r="J148" s="180" t="s">
        <v>1867</v>
      </c>
      <c r="K148" t="str">
        <f>VLOOKUP(Broadcast_BASE[[#This Row],[Broadcast Market]],Continent_Look_Up[],2,FALSE)</f>
        <v>Europe</v>
      </c>
      <c r="L148" t="str">
        <f>IF(OR(Broadcast_BASE[[#This Row],[Broadcast Continent]]="Digital",Broadcast_BASE[[#This Row],[Programme Type]]="Digital"),"Y","N")</f>
        <v>N</v>
      </c>
      <c r="M148" s="4" t="str">
        <f>IF(ISNUMBER(SEARCH("Pan ",Broadcast_BASE[[#This Row],[Broadcast Market]]))=TRUE,"Y","N")</f>
        <v>N</v>
      </c>
      <c r="N148" t="str">
        <f>VLOOKUP(CONCATENATE(Broadcast_BASE[[#This Row],[Broadcast Market]],Broadcast_BASE[[#This Row],[Broadcaster]]),Table1[[CC]:[Pay TV vs. Free-to-Air]],3,FALSE)</f>
        <v>Pay TV</v>
      </c>
      <c r="O148" s="1">
        <f>VLOOKUP(CONCATENATE(Broadcast_BASE[[#This Row],[Broadcast Market]],Broadcast_BASE[[#This Row],[Broadcaster]]),Table1[[CC]:[Pay TV vs. Free-to-Air]],2,FALSE)</f>
        <v>1871000</v>
      </c>
      <c r="P148" s="51">
        <f>Broadcast_BASE[[#This Row],[Rolex EXP]]*86400</f>
        <v>15702.621336057933</v>
      </c>
      <c r="Q148" s="73" t="str">
        <f>IF(Broadcast_BASE[[#This Row],[Dashboard Rated?]]="No","N","Y")</f>
        <v>N</v>
      </c>
      <c r="R148" s="81"/>
      <c r="S148" s="81"/>
    </row>
    <row r="149" spans="1:19" x14ac:dyDescent="0.25">
      <c r="A149" s="72" t="e">
        <f>#REF!</f>
        <v>#REF!</v>
      </c>
      <c r="B149" s="178" t="s">
        <v>90</v>
      </c>
      <c r="C149" s="178" t="s">
        <v>183</v>
      </c>
      <c r="D149" s="178" t="s">
        <v>1642</v>
      </c>
      <c r="E149" s="179">
        <v>0.22916666666666666</v>
      </c>
      <c r="F149" s="180">
        <v>1712</v>
      </c>
      <c r="G149" s="179">
        <v>1.3695296240403601E-2</v>
      </c>
      <c r="H149" s="180">
        <v>516.94492591177448</v>
      </c>
      <c r="I149" s="180">
        <v>144.66166720581595</v>
      </c>
      <c r="J149" s="180" t="s">
        <v>1867</v>
      </c>
      <c r="K149" t="str">
        <f>VLOOKUP(Broadcast_BASE[[#This Row],[Broadcast Market]],Continent_Look_Up[],2,FALSE)</f>
        <v>Asia Pacific</v>
      </c>
      <c r="L149" t="str">
        <f>IF(OR(Broadcast_BASE[[#This Row],[Broadcast Continent]]="Digital",Broadcast_BASE[[#This Row],[Programme Type]]="Digital"),"Y","N")</f>
        <v>N</v>
      </c>
      <c r="M149" s="4" t="str">
        <f>IF(ISNUMBER(SEARCH("Pan ",Broadcast_BASE[[#This Row],[Broadcast Market]]))=TRUE,"Y","N")</f>
        <v>N</v>
      </c>
      <c r="N149" t="str">
        <f>VLOOKUP(CONCATENATE(Broadcast_BASE[[#This Row],[Broadcast Market]],Broadcast_BASE[[#This Row],[Broadcaster]]),Table1[[CC]:[Pay TV vs. Free-to-Air]],3,FALSE)</f>
        <v>Pay TV</v>
      </c>
      <c r="O149" s="1">
        <f>VLOOKUP(CONCATENATE(Broadcast_BASE[[#This Row],[Broadcast Market]],Broadcast_BASE[[#This Row],[Broadcaster]]),Table1[[CC]:[Pay TV vs. Free-to-Air]],2,FALSE)</f>
        <v>546755</v>
      </c>
      <c r="P149" s="57">
        <f>Broadcast_BASE[[#This Row],[Rolex EXP]]*86400</f>
        <v>1183.2735951708712</v>
      </c>
      <c r="Q149" s="73" t="str">
        <f>IF(Broadcast_BASE[[#This Row],[Dashboard Rated?]]="No","N","Y")</f>
        <v>N</v>
      </c>
      <c r="R149" s="81"/>
      <c r="S149" s="81"/>
    </row>
    <row r="150" spans="1:19" x14ac:dyDescent="0.25">
      <c r="A150" s="72" t="e">
        <f>#REF!</f>
        <v>#REF!</v>
      </c>
      <c r="B150" s="178" t="s">
        <v>90</v>
      </c>
      <c r="C150" s="178" t="s">
        <v>183</v>
      </c>
      <c r="D150" s="178" t="s">
        <v>1643</v>
      </c>
      <c r="E150" s="179">
        <v>5.5</v>
      </c>
      <c r="F150" s="180">
        <v>55215</v>
      </c>
      <c r="G150" s="179">
        <v>0.34262577417357565</v>
      </c>
      <c r="H150" s="180">
        <v>26035.362812372681</v>
      </c>
      <c r="I150" s="180">
        <v>7275.5139806379948</v>
      </c>
      <c r="J150" s="180" t="s">
        <v>1867</v>
      </c>
      <c r="K150" t="str">
        <f>VLOOKUP(Broadcast_BASE[[#This Row],[Broadcast Market]],Continent_Look_Up[],2,FALSE)</f>
        <v>Asia Pacific</v>
      </c>
      <c r="L150" t="str">
        <f>IF(OR(Broadcast_BASE[[#This Row],[Broadcast Continent]]="Digital",Broadcast_BASE[[#This Row],[Programme Type]]="Digital"),"Y","N")</f>
        <v>N</v>
      </c>
      <c r="M150" s="4" t="str">
        <f>IF(ISNUMBER(SEARCH("Pan ",Broadcast_BASE[[#This Row],[Broadcast Market]]))=TRUE,"Y","N")</f>
        <v>N</v>
      </c>
      <c r="N150" t="str">
        <f>VLOOKUP(CONCATENATE(Broadcast_BASE[[#This Row],[Broadcast Market]],Broadcast_BASE[[#This Row],[Broadcaster]]),Table1[[CC]:[Pay TV vs. Free-to-Air]],3,FALSE)</f>
        <v>Pay TV</v>
      </c>
      <c r="O150" s="1">
        <f>VLOOKUP(CONCATENATE(Broadcast_BASE[[#This Row],[Broadcast Market]],Broadcast_BASE[[#This Row],[Broadcaster]]),Table1[[CC]:[Pay TV vs. Free-to-Air]],2,FALSE)</f>
        <v>546755</v>
      </c>
      <c r="P150" s="51">
        <f>Broadcast_BASE[[#This Row],[Rolex EXP]]*86400</f>
        <v>29602.866888596935</v>
      </c>
      <c r="Q150" s="73" t="str">
        <f>IF(Broadcast_BASE[[#This Row],[Dashboard Rated?]]="No","N","Y")</f>
        <v>N</v>
      </c>
      <c r="R150" s="81"/>
      <c r="S150" s="81"/>
    </row>
    <row r="151" spans="1:19" x14ac:dyDescent="0.25">
      <c r="A151" s="72" t="e">
        <f>#REF!</f>
        <v>#REF!</v>
      </c>
      <c r="B151" s="178" t="s">
        <v>90</v>
      </c>
      <c r="C151" s="178" t="s">
        <v>183</v>
      </c>
      <c r="D151" s="178" t="s">
        <v>1644</v>
      </c>
      <c r="E151" s="179">
        <v>4.270833333333333</v>
      </c>
      <c r="F151" s="180">
        <v>32675</v>
      </c>
      <c r="G151" s="179">
        <v>0.29684675776579872</v>
      </c>
      <c r="H151" s="180">
        <v>10709.278803461571</v>
      </c>
      <c r="I151" s="180">
        <v>3063.9945687950089</v>
      </c>
      <c r="J151" s="180" t="s">
        <v>1867</v>
      </c>
      <c r="K151" t="str">
        <f>VLOOKUP(Broadcast_BASE[[#This Row],[Broadcast Market]],Continent_Look_Up[],2,FALSE)</f>
        <v>Asia Pacific</v>
      </c>
      <c r="L151" t="str">
        <f>IF(OR(Broadcast_BASE[[#This Row],[Broadcast Continent]]="Digital",Broadcast_BASE[[#This Row],[Programme Type]]="Digital"),"Y","N")</f>
        <v>N</v>
      </c>
      <c r="M151" s="4" t="str">
        <f>IF(ISNUMBER(SEARCH("Pan ",Broadcast_BASE[[#This Row],[Broadcast Market]]))=TRUE,"Y","N")</f>
        <v>N</v>
      </c>
      <c r="N151" t="str">
        <f>VLOOKUP(CONCATENATE(Broadcast_BASE[[#This Row],[Broadcast Market]],Broadcast_BASE[[#This Row],[Broadcaster]]),Table1[[CC]:[Pay TV vs. Free-to-Air]],3,FALSE)</f>
        <v>Pay TV</v>
      </c>
      <c r="O151" s="1">
        <f>VLOOKUP(CONCATENATE(Broadcast_BASE[[#This Row],[Broadcast Market]],Broadcast_BASE[[#This Row],[Broadcaster]]),Table1[[CC]:[Pay TV vs. Free-to-Air]],2,FALSE)</f>
        <v>546755</v>
      </c>
      <c r="P151" s="57">
        <f>Broadcast_BASE[[#This Row],[Rolex EXP]]*86400</f>
        <v>25647.559870965008</v>
      </c>
      <c r="Q151" s="73" t="str">
        <f>IF(Broadcast_BASE[[#This Row],[Dashboard Rated?]]="No","N","Y")</f>
        <v>N</v>
      </c>
      <c r="R151" s="81"/>
      <c r="S151" s="81"/>
    </row>
    <row r="152" spans="1:19" x14ac:dyDescent="0.25">
      <c r="A152" s="72" t="e">
        <f>#REF!</f>
        <v>#REF!</v>
      </c>
      <c r="B152" s="178" t="s">
        <v>90</v>
      </c>
      <c r="C152" s="178" t="s">
        <v>185</v>
      </c>
      <c r="D152" s="178" t="s">
        <v>1642</v>
      </c>
      <c r="E152" s="179">
        <v>8.3333333333333329E-2</v>
      </c>
      <c r="F152" s="180">
        <v>1092</v>
      </c>
      <c r="G152" s="179">
        <v>5.1045741903111407E-3</v>
      </c>
      <c r="H152" s="180">
        <v>207.12496619802045</v>
      </c>
      <c r="I152" s="180">
        <v>57.504983507200436</v>
      </c>
      <c r="J152" s="180" t="s">
        <v>1867</v>
      </c>
      <c r="K152" t="str">
        <f>VLOOKUP(Broadcast_BASE[[#This Row],[Broadcast Market]],Continent_Look_Up[],2,FALSE)</f>
        <v>Asia Pacific</v>
      </c>
      <c r="L152" t="str">
        <f>IF(OR(Broadcast_BASE[[#This Row],[Broadcast Continent]]="Digital",Broadcast_BASE[[#This Row],[Programme Type]]="Digital"),"Y","N")</f>
        <v>N</v>
      </c>
      <c r="M152" s="4" t="str">
        <f>IF(ISNUMBER(SEARCH("Pan ",Broadcast_BASE[[#This Row],[Broadcast Market]]))=TRUE,"Y","N")</f>
        <v>N</v>
      </c>
      <c r="N152" t="str">
        <f>VLOOKUP(CONCATENATE(Broadcast_BASE[[#This Row],[Broadcast Market]],Broadcast_BASE[[#This Row],[Broadcaster]]),Table1[[CC]:[Pay TV vs. Free-to-Air]],3,FALSE)</f>
        <v>Pay TV</v>
      </c>
      <c r="O152" s="1">
        <f>VLOOKUP(CONCATENATE(Broadcast_BASE[[#This Row],[Broadcast Market]],Broadcast_BASE[[#This Row],[Broadcaster]]),Table1[[CC]:[Pay TV vs. Free-to-Air]],2,FALSE)</f>
        <v>546755</v>
      </c>
      <c r="P152" s="51">
        <f>Broadcast_BASE[[#This Row],[Rolex EXP]]*86400</f>
        <v>441.03521004288257</v>
      </c>
      <c r="Q152" s="73" t="str">
        <f>IF(Broadcast_BASE[[#This Row],[Dashboard Rated?]]="No","N","Y")</f>
        <v>N</v>
      </c>
      <c r="R152" s="81"/>
      <c r="S152" s="81"/>
    </row>
    <row r="153" spans="1:19" x14ac:dyDescent="0.25">
      <c r="A153" s="72" t="e">
        <f>#REF!</f>
        <v>#REF!</v>
      </c>
      <c r="B153" s="178" t="s">
        <v>90</v>
      </c>
      <c r="C153" s="178" t="s">
        <v>185</v>
      </c>
      <c r="D153" s="178" t="s">
        <v>1643</v>
      </c>
      <c r="E153" s="179">
        <v>8.3333333333333329E-2</v>
      </c>
      <c r="F153" s="180">
        <v>2045</v>
      </c>
      <c r="G153" s="179">
        <v>5.1045741903111407E-3</v>
      </c>
      <c r="H153" s="180">
        <v>387.88512442761152</v>
      </c>
      <c r="I153" s="180">
        <v>107.6901934727334</v>
      </c>
      <c r="J153" s="180" t="s">
        <v>1867</v>
      </c>
      <c r="K153" t="str">
        <f>VLOOKUP(Broadcast_BASE[[#This Row],[Broadcast Market]],Continent_Look_Up[],2,FALSE)</f>
        <v>Asia Pacific</v>
      </c>
      <c r="L153" t="str">
        <f>IF(OR(Broadcast_BASE[[#This Row],[Broadcast Continent]]="Digital",Broadcast_BASE[[#This Row],[Programme Type]]="Digital"),"Y","N")</f>
        <v>N</v>
      </c>
      <c r="M153" s="4" t="str">
        <f>IF(ISNUMBER(SEARCH("Pan ",Broadcast_BASE[[#This Row],[Broadcast Market]]))=TRUE,"Y","N")</f>
        <v>N</v>
      </c>
      <c r="N153" t="str">
        <f>VLOOKUP(CONCATENATE(Broadcast_BASE[[#This Row],[Broadcast Market]],Broadcast_BASE[[#This Row],[Broadcaster]]),Table1[[CC]:[Pay TV vs. Free-to-Air]],3,FALSE)</f>
        <v>Pay TV</v>
      </c>
      <c r="O153" s="1">
        <f>VLOOKUP(CONCATENATE(Broadcast_BASE[[#This Row],[Broadcast Market]],Broadcast_BASE[[#This Row],[Broadcaster]]),Table1[[CC]:[Pay TV vs. Free-to-Air]],2,FALSE)</f>
        <v>546755</v>
      </c>
      <c r="P153" s="57">
        <f>Broadcast_BASE[[#This Row],[Rolex EXP]]*86400</f>
        <v>441.03521004288257</v>
      </c>
      <c r="Q153" s="73" t="str">
        <f>IF(Broadcast_BASE[[#This Row],[Dashboard Rated?]]="No","N","Y")</f>
        <v>N</v>
      </c>
      <c r="R153" s="81"/>
      <c r="S153" s="81"/>
    </row>
    <row r="154" spans="1:19" x14ac:dyDescent="0.25">
      <c r="A154" s="72" t="e">
        <f>#REF!</f>
        <v>#REF!</v>
      </c>
      <c r="B154" s="178" t="s">
        <v>90</v>
      </c>
      <c r="C154" s="178" t="s">
        <v>185</v>
      </c>
      <c r="D154" s="178" t="s">
        <v>1644</v>
      </c>
      <c r="E154" s="179">
        <v>0.16666666666666666</v>
      </c>
      <c r="F154" s="180">
        <v>990</v>
      </c>
      <c r="G154" s="179">
        <v>1.0209148380622281E-2</v>
      </c>
      <c r="H154" s="180">
        <v>375.55625739201508</v>
      </c>
      <c r="I154" s="180">
        <v>104.26727778778101</v>
      </c>
      <c r="J154" s="180" t="s">
        <v>1867</v>
      </c>
      <c r="K154" t="str">
        <f>VLOOKUP(Broadcast_BASE[[#This Row],[Broadcast Market]],Continent_Look_Up[],2,FALSE)</f>
        <v>Asia Pacific</v>
      </c>
      <c r="L154" t="str">
        <f>IF(OR(Broadcast_BASE[[#This Row],[Broadcast Continent]]="Digital",Broadcast_BASE[[#This Row],[Programme Type]]="Digital"),"Y","N")</f>
        <v>N</v>
      </c>
      <c r="M154" s="4" t="str">
        <f>IF(ISNUMBER(SEARCH("Pan ",Broadcast_BASE[[#This Row],[Broadcast Market]]))=TRUE,"Y","N")</f>
        <v>N</v>
      </c>
      <c r="N154" t="str">
        <f>VLOOKUP(CONCATENATE(Broadcast_BASE[[#This Row],[Broadcast Market]],Broadcast_BASE[[#This Row],[Broadcaster]]),Table1[[CC]:[Pay TV vs. Free-to-Air]],3,FALSE)</f>
        <v>Pay TV</v>
      </c>
      <c r="O154" s="1">
        <f>VLOOKUP(CONCATENATE(Broadcast_BASE[[#This Row],[Broadcast Market]],Broadcast_BASE[[#This Row],[Broadcaster]]),Table1[[CC]:[Pay TV vs. Free-to-Air]],2,FALSE)</f>
        <v>546755</v>
      </c>
      <c r="P154" s="51">
        <f>Broadcast_BASE[[#This Row],[Rolex EXP]]*86400</f>
        <v>882.07042008576514</v>
      </c>
      <c r="Q154" s="73" t="str">
        <f>IF(Broadcast_BASE[[#This Row],[Dashboard Rated?]]="No","N","Y")</f>
        <v>N</v>
      </c>
      <c r="R154" s="81"/>
      <c r="S154" s="81"/>
    </row>
    <row r="155" spans="1:19" x14ac:dyDescent="0.25">
      <c r="A155" s="72" t="e">
        <f>#REF!</f>
        <v>#REF!</v>
      </c>
      <c r="B155" s="178" t="s">
        <v>92</v>
      </c>
      <c r="C155" s="178" t="s">
        <v>1178</v>
      </c>
      <c r="D155" s="178" t="s">
        <v>1642</v>
      </c>
      <c r="E155" s="179">
        <v>2.4236111111111112</v>
      </c>
      <c r="F155" s="180">
        <v>2186224.710982658</v>
      </c>
      <c r="G155" s="179">
        <v>0.14845803270154898</v>
      </c>
      <c r="H155" s="180">
        <v>519153.25702944974</v>
      </c>
      <c r="I155" s="180">
        <v>144134.72229439631</v>
      </c>
      <c r="J155" s="180" t="s">
        <v>1868</v>
      </c>
      <c r="K155" t="str">
        <f>VLOOKUP(Broadcast_BASE[[#This Row],[Broadcast Market]],Continent_Look_Up[],2,FALSE)</f>
        <v>Asia Pacific</v>
      </c>
      <c r="L155" t="str">
        <f>IF(OR(Broadcast_BASE[[#This Row],[Broadcast Continent]]="Digital",Broadcast_BASE[[#This Row],[Programme Type]]="Digital"),"Y","N")</f>
        <v>N</v>
      </c>
      <c r="M155" s="4" t="str">
        <f>IF(ISNUMBER(SEARCH("Pan ",Broadcast_BASE[[#This Row],[Broadcast Market]]))=TRUE,"Y","N")</f>
        <v>N</v>
      </c>
      <c r="N155" t="str">
        <f>VLOOKUP(CONCATENATE(Broadcast_BASE[[#This Row],[Broadcast Market]],Broadcast_BASE[[#This Row],[Broadcaster]]),Table1[[CC]:[Pay TV vs. Free-to-Air]],3,FALSE)</f>
        <v>Pay TV</v>
      </c>
      <c r="O155" s="1">
        <f>VLOOKUP(CONCATENATE(Broadcast_BASE[[#This Row],[Broadcast Market]],Broadcast_BASE[[#This Row],[Broadcaster]]),Table1[[CC]:[Pay TV vs. Free-to-Air]],2,FALSE)</f>
        <v>9498920</v>
      </c>
      <c r="P155" s="51">
        <f>Broadcast_BASE[[#This Row],[Rolex EXP]]*86400</f>
        <v>12826.774025413832</v>
      </c>
      <c r="Q155" s="73" t="str">
        <f>IF(Broadcast_BASE[[#This Row],[Dashboard Rated?]]="No","N","Y")</f>
        <v>Y</v>
      </c>
      <c r="R155" s="81"/>
      <c r="S155" s="81"/>
    </row>
    <row r="156" spans="1:19" x14ac:dyDescent="0.25">
      <c r="A156" s="72" t="e">
        <f>#REF!</f>
        <v>#REF!</v>
      </c>
      <c r="B156" s="178" t="s">
        <v>92</v>
      </c>
      <c r="C156" s="178" t="s">
        <v>1178</v>
      </c>
      <c r="D156" s="178" t="s">
        <v>1643</v>
      </c>
      <c r="E156" s="179">
        <v>6.4291666666666671</v>
      </c>
      <c r="F156" s="180">
        <v>1080151.7341040464</v>
      </c>
      <c r="G156" s="179">
        <v>0.39381789878250445</v>
      </c>
      <c r="H156" s="180">
        <v>710853.75091836881</v>
      </c>
      <c r="I156" s="180">
        <v>197357.34408526873</v>
      </c>
      <c r="J156" s="180" t="s">
        <v>1868</v>
      </c>
      <c r="K156" t="str">
        <f>VLOOKUP(Broadcast_BASE[[#This Row],[Broadcast Market]],Continent_Look_Up[],2,FALSE)</f>
        <v>Asia Pacific</v>
      </c>
      <c r="L156" t="str">
        <f>IF(OR(Broadcast_BASE[[#This Row],[Broadcast Continent]]="Digital",Broadcast_BASE[[#This Row],[Programme Type]]="Digital"),"Y","N")</f>
        <v>N</v>
      </c>
      <c r="M156" s="4" t="str">
        <f>IF(ISNUMBER(SEARCH("Pan ",Broadcast_BASE[[#This Row],[Broadcast Market]]))=TRUE,"Y","N")</f>
        <v>N</v>
      </c>
      <c r="N156" t="str">
        <f>VLOOKUP(CONCATENATE(Broadcast_BASE[[#This Row],[Broadcast Market]],Broadcast_BASE[[#This Row],[Broadcaster]]),Table1[[CC]:[Pay TV vs. Free-to-Air]],3,FALSE)</f>
        <v>Pay TV</v>
      </c>
      <c r="O156" s="1">
        <f>VLOOKUP(CONCATENATE(Broadcast_BASE[[#This Row],[Broadcast Market]],Broadcast_BASE[[#This Row],[Broadcaster]]),Table1[[CC]:[Pay TV vs. Free-to-Air]],2,FALSE)</f>
        <v>9498920</v>
      </c>
      <c r="P156" s="57">
        <f>Broadcast_BASE[[#This Row],[Rolex EXP]]*86400</f>
        <v>34025.866454808383</v>
      </c>
      <c r="Q156" s="73" t="str">
        <f>IF(Broadcast_BASE[[#This Row],[Dashboard Rated?]]="No","N","Y")</f>
        <v>Y</v>
      </c>
      <c r="R156" s="81"/>
      <c r="S156" s="81"/>
    </row>
    <row r="157" spans="1:19" x14ac:dyDescent="0.25">
      <c r="A157" s="72" t="e">
        <f>#REF!</f>
        <v>#REF!</v>
      </c>
      <c r="B157" s="178" t="s">
        <v>15</v>
      </c>
      <c r="C157" s="178" t="s">
        <v>268</v>
      </c>
      <c r="D157" s="178" t="s">
        <v>1642</v>
      </c>
      <c r="E157" s="179">
        <v>1.1909722222222221</v>
      </c>
      <c r="F157" s="180">
        <v>449995</v>
      </c>
      <c r="G157" s="179">
        <v>7.7112516075087567E-2</v>
      </c>
      <c r="H157" s="180">
        <v>5343.1193171328277</v>
      </c>
      <c r="I157" s="180">
        <v>1508.9088570660897</v>
      </c>
      <c r="J157" s="180" t="s">
        <v>1867</v>
      </c>
      <c r="K157" t="str">
        <f>VLOOKUP(Broadcast_BASE[[#This Row],[Broadcast Market]],Continent_Look_Up[],2,FALSE)</f>
        <v>Africa &amp; Middle East</v>
      </c>
      <c r="L157" t="str">
        <f>IF(OR(Broadcast_BASE[[#This Row],[Broadcast Continent]]="Digital",Broadcast_BASE[[#This Row],[Programme Type]]="Digital"),"Y","N")</f>
        <v>N</v>
      </c>
      <c r="M157" s="4" t="str">
        <f>IF(ISNUMBER(SEARCH("Pan ",Broadcast_BASE[[#This Row],[Broadcast Market]]))=TRUE,"Y","N")</f>
        <v>Y</v>
      </c>
      <c r="N157" t="str">
        <f>VLOOKUP(CONCATENATE(Broadcast_BASE[[#This Row],[Broadcast Market]],Broadcast_BASE[[#This Row],[Broadcaster]]),Table1[[CC]:[Pay TV vs. Free-to-Air]],3,FALSE)</f>
        <v>Pay TV</v>
      </c>
      <c r="O157" s="1">
        <f>VLOOKUP(CONCATENATE(Broadcast_BASE[[#This Row],[Broadcast Market]],Broadcast_BASE[[#This Row],[Broadcaster]]),Table1[[CC]:[Pay TV vs. Free-to-Air]],2,FALSE)</f>
        <v>0</v>
      </c>
      <c r="P157" s="57">
        <f>Broadcast_BASE[[#This Row],[Rolex EXP]]*86400</f>
        <v>6662.521388887566</v>
      </c>
      <c r="Q157" s="73" t="str">
        <f>IF(Broadcast_BASE[[#This Row],[Dashboard Rated?]]="No","N","Y")</f>
        <v>N</v>
      </c>
      <c r="R157" s="83"/>
      <c r="S157" s="83"/>
    </row>
    <row r="158" spans="1:19" x14ac:dyDescent="0.25">
      <c r="A158" s="72" t="e">
        <f>#REF!</f>
        <v>#REF!</v>
      </c>
      <c r="B158" s="178" t="s">
        <v>15</v>
      </c>
      <c r="C158" s="178" t="s">
        <v>268</v>
      </c>
      <c r="D158" s="178" t="s">
        <v>1643</v>
      </c>
      <c r="E158" s="179">
        <v>5.7361111111111107</v>
      </c>
      <c r="F158" s="180">
        <v>837592</v>
      </c>
      <c r="G158" s="179">
        <v>0.36999358506157115</v>
      </c>
      <c r="H158" s="180">
        <v>19632.774291594193</v>
      </c>
      <c r="I158" s="180">
        <v>5530.8222887568863</v>
      </c>
      <c r="J158" s="180" t="s">
        <v>1867</v>
      </c>
      <c r="K158" t="str">
        <f>VLOOKUP(Broadcast_BASE[[#This Row],[Broadcast Market]],Continent_Look_Up[],2,FALSE)</f>
        <v>Africa &amp; Middle East</v>
      </c>
      <c r="L158" t="str">
        <f>IF(OR(Broadcast_BASE[[#This Row],[Broadcast Continent]]="Digital",Broadcast_BASE[[#This Row],[Programme Type]]="Digital"),"Y","N")</f>
        <v>N</v>
      </c>
      <c r="M158" s="4" t="str">
        <f>IF(ISNUMBER(SEARCH("Pan ",Broadcast_BASE[[#This Row],[Broadcast Market]]))=TRUE,"Y","N")</f>
        <v>Y</v>
      </c>
      <c r="N158" t="str">
        <f>VLOOKUP(CONCATENATE(Broadcast_BASE[[#This Row],[Broadcast Market]],Broadcast_BASE[[#This Row],[Broadcaster]]),Table1[[CC]:[Pay TV vs. Free-to-Air]],3,FALSE)</f>
        <v>Pay TV</v>
      </c>
      <c r="O158" s="1">
        <f>VLOOKUP(CONCATENATE(Broadcast_BASE[[#This Row],[Broadcast Market]],Broadcast_BASE[[#This Row],[Broadcaster]]),Table1[[CC]:[Pay TV vs. Free-to-Air]],2,FALSE)</f>
        <v>0</v>
      </c>
      <c r="P158" s="57">
        <f>Broadcast_BASE[[#This Row],[Rolex EXP]]*86400</f>
        <v>31967.445749319748</v>
      </c>
      <c r="Q158" s="73" t="str">
        <f>IF(Broadcast_BASE[[#This Row],[Dashboard Rated?]]="No","N","Y")</f>
        <v>N</v>
      </c>
      <c r="R158" s="81"/>
      <c r="S158" s="81"/>
    </row>
    <row r="159" spans="1:19" x14ac:dyDescent="0.25">
      <c r="A159" s="72" t="e">
        <f>#REF!</f>
        <v>#REF!</v>
      </c>
      <c r="B159" s="178" t="s">
        <v>15</v>
      </c>
      <c r="C159" s="178" t="s">
        <v>268</v>
      </c>
      <c r="D159" s="178" t="s">
        <v>1644</v>
      </c>
      <c r="E159" s="179">
        <v>1.7673611111111109</v>
      </c>
      <c r="F159" s="180">
        <v>383628</v>
      </c>
      <c r="G159" s="179">
        <v>0.10941298903576126</v>
      </c>
      <c r="H159" s="180">
        <v>6941.8619222498737</v>
      </c>
      <c r="I159" s="180">
        <v>1987.1932712976779</v>
      </c>
      <c r="J159" s="180" t="s">
        <v>1867</v>
      </c>
      <c r="K159" t="str">
        <f>VLOOKUP(Broadcast_BASE[[#This Row],[Broadcast Market]],Continent_Look_Up[],2,FALSE)</f>
        <v>Africa &amp; Middle East</v>
      </c>
      <c r="L159" t="str">
        <f>IF(OR(Broadcast_BASE[[#This Row],[Broadcast Continent]]="Digital",Broadcast_BASE[[#This Row],[Programme Type]]="Digital"),"Y","N")</f>
        <v>N</v>
      </c>
      <c r="M159" s="4" t="str">
        <f>IF(ISNUMBER(SEARCH("Pan ",Broadcast_BASE[[#This Row],[Broadcast Market]]))=TRUE,"Y","N")</f>
        <v>Y</v>
      </c>
      <c r="N159" t="str">
        <f>VLOOKUP(CONCATENATE(Broadcast_BASE[[#This Row],[Broadcast Market]],Broadcast_BASE[[#This Row],[Broadcaster]]),Table1[[CC]:[Pay TV vs. Free-to-Air]],3,FALSE)</f>
        <v>Pay TV</v>
      </c>
      <c r="O159" s="1">
        <f>VLOOKUP(CONCATENATE(Broadcast_BASE[[#This Row],[Broadcast Market]],Broadcast_BASE[[#This Row],[Broadcaster]]),Table1[[CC]:[Pay TV vs. Free-to-Air]],2,FALSE)</f>
        <v>0</v>
      </c>
      <c r="P159" s="57">
        <f>Broadcast_BASE[[#This Row],[Rolex EXP]]*86400</f>
        <v>9453.2822526897726</v>
      </c>
      <c r="Q159" s="73" t="str">
        <f>IF(Broadcast_BASE[[#This Row],[Dashboard Rated?]]="No","N","Y")</f>
        <v>N</v>
      </c>
      <c r="R159" s="81"/>
      <c r="S159" s="81"/>
    </row>
    <row r="160" spans="1:19" x14ac:dyDescent="0.25">
      <c r="A160" s="72" t="e">
        <f>#REF!</f>
        <v>#REF!</v>
      </c>
      <c r="B160" s="178" t="s">
        <v>15</v>
      </c>
      <c r="C160" s="178" t="s">
        <v>269</v>
      </c>
      <c r="D160" s="178" t="s">
        <v>1642</v>
      </c>
      <c r="E160" s="179">
        <v>0.86458333333333337</v>
      </c>
      <c r="F160" s="180">
        <v>314895</v>
      </c>
      <c r="G160" s="179">
        <v>5.3404809030442452E-2</v>
      </c>
      <c r="H160" s="180">
        <v>3699.4239107028507</v>
      </c>
      <c r="I160" s="180">
        <v>1046.5807906372409</v>
      </c>
      <c r="J160" s="180" t="s">
        <v>1867</v>
      </c>
      <c r="K160" t="str">
        <f>VLOOKUP(Broadcast_BASE[[#This Row],[Broadcast Market]],Continent_Look_Up[],2,FALSE)</f>
        <v>Africa &amp; Middle East</v>
      </c>
      <c r="L160" t="str">
        <f>IF(OR(Broadcast_BASE[[#This Row],[Broadcast Continent]]="Digital",Broadcast_BASE[[#This Row],[Programme Type]]="Digital"),"Y","N")</f>
        <v>N</v>
      </c>
      <c r="M160" s="4" t="str">
        <f>IF(ISNUMBER(SEARCH("Pan ",Broadcast_BASE[[#This Row],[Broadcast Market]]))=TRUE,"Y","N")</f>
        <v>Y</v>
      </c>
      <c r="N160" t="str">
        <f>VLOOKUP(CONCATENATE(Broadcast_BASE[[#This Row],[Broadcast Market]],Broadcast_BASE[[#This Row],[Broadcaster]]),Table1[[CC]:[Pay TV vs. Free-to-Air]],3,FALSE)</f>
        <v>Pay TV</v>
      </c>
      <c r="O160" s="1">
        <f>VLOOKUP(CONCATENATE(Broadcast_BASE[[#This Row],[Broadcast Market]],Broadcast_BASE[[#This Row],[Broadcaster]]),Table1[[CC]:[Pay TV vs. Free-to-Air]],2,FALSE)</f>
        <v>0</v>
      </c>
      <c r="P160" s="57">
        <f>Broadcast_BASE[[#This Row],[Rolex EXP]]*86400</f>
        <v>4614.175500230228</v>
      </c>
      <c r="Q160" s="73" t="str">
        <f>IF(Broadcast_BASE[[#This Row],[Dashboard Rated?]]="No","N","Y")</f>
        <v>N</v>
      </c>
      <c r="R160" s="83"/>
      <c r="S160" s="83"/>
    </row>
    <row r="161" spans="1:19" x14ac:dyDescent="0.25">
      <c r="A161" s="72" t="e">
        <f>#REF!</f>
        <v>#REF!</v>
      </c>
      <c r="B161" s="178" t="s">
        <v>15</v>
      </c>
      <c r="C161" s="178" t="s">
        <v>269</v>
      </c>
      <c r="D161" s="178" t="s">
        <v>1643</v>
      </c>
      <c r="E161" s="179">
        <v>4</v>
      </c>
      <c r="F161" s="180">
        <v>584430</v>
      </c>
      <c r="G161" s="179">
        <v>0.24496432541470661</v>
      </c>
      <c r="H161" s="180">
        <v>12959.066284627914</v>
      </c>
      <c r="I161" s="180">
        <v>3596.8631746237747</v>
      </c>
      <c r="J161" s="180" t="s">
        <v>1867</v>
      </c>
      <c r="K161" t="str">
        <f>VLOOKUP(Broadcast_BASE[[#This Row],[Broadcast Market]],Continent_Look_Up[],2,FALSE)</f>
        <v>Africa &amp; Middle East</v>
      </c>
      <c r="L161" t="str">
        <f>IF(OR(Broadcast_BASE[[#This Row],[Broadcast Continent]]="Digital",Broadcast_BASE[[#This Row],[Programme Type]]="Digital"),"Y","N")</f>
        <v>N</v>
      </c>
      <c r="M161" s="4" t="str">
        <f>IF(ISNUMBER(SEARCH("Pan ",Broadcast_BASE[[#This Row],[Broadcast Market]]))=TRUE,"Y","N")</f>
        <v>Y</v>
      </c>
      <c r="N161" t="str">
        <f>VLOOKUP(CONCATENATE(Broadcast_BASE[[#This Row],[Broadcast Market]],Broadcast_BASE[[#This Row],[Broadcaster]]),Table1[[CC]:[Pay TV vs. Free-to-Air]],3,FALSE)</f>
        <v>Pay TV</v>
      </c>
      <c r="O161" s="1">
        <f>VLOOKUP(CONCATENATE(Broadcast_BASE[[#This Row],[Broadcast Market]],Broadcast_BASE[[#This Row],[Broadcaster]]),Table1[[CC]:[Pay TV vs. Free-to-Air]],2,FALSE)</f>
        <v>0</v>
      </c>
      <c r="P161" s="57">
        <f>Broadcast_BASE[[#This Row],[Rolex EXP]]*86400</f>
        <v>21164.917715830652</v>
      </c>
      <c r="Q161" s="73" t="str">
        <f>IF(Broadcast_BASE[[#This Row],[Dashboard Rated?]]="No","N","Y")</f>
        <v>N</v>
      </c>
      <c r="R161" s="81"/>
      <c r="S161" s="81"/>
    </row>
    <row r="162" spans="1:19" x14ac:dyDescent="0.25">
      <c r="A162" s="72" t="e">
        <f>#REF!</f>
        <v>#REF!</v>
      </c>
      <c r="B162" s="178" t="s">
        <v>15</v>
      </c>
      <c r="C162" s="178" t="s">
        <v>269</v>
      </c>
      <c r="D162" s="178" t="s">
        <v>1644</v>
      </c>
      <c r="E162" s="179">
        <v>1.5451388888888891</v>
      </c>
      <c r="F162" s="180">
        <v>341336</v>
      </c>
      <c r="G162" s="179">
        <v>9.5880263025902149E-2</v>
      </c>
      <c r="H162" s="180">
        <v>6056.1995122479593</v>
      </c>
      <c r="I162" s="180">
        <v>1731.4401493383787</v>
      </c>
      <c r="J162" s="180" t="s">
        <v>1867</v>
      </c>
      <c r="K162" t="str">
        <f>VLOOKUP(Broadcast_BASE[[#This Row],[Broadcast Market]],Continent_Look_Up[],2,FALSE)</f>
        <v>Africa &amp; Middle East</v>
      </c>
      <c r="L162" t="str">
        <f>IF(OR(Broadcast_BASE[[#This Row],[Broadcast Continent]]="Digital",Broadcast_BASE[[#This Row],[Programme Type]]="Digital"),"Y","N")</f>
        <v>N</v>
      </c>
      <c r="M162" s="4" t="str">
        <f>IF(ISNUMBER(SEARCH("Pan ",Broadcast_BASE[[#This Row],[Broadcast Market]]))=TRUE,"Y","N")</f>
        <v>Y</v>
      </c>
      <c r="N162" t="str">
        <f>VLOOKUP(CONCATENATE(Broadcast_BASE[[#This Row],[Broadcast Market]],Broadcast_BASE[[#This Row],[Broadcaster]]),Table1[[CC]:[Pay TV vs. Free-to-Air]],3,FALSE)</f>
        <v>Pay TV</v>
      </c>
      <c r="O162" s="1">
        <f>VLOOKUP(CONCATENATE(Broadcast_BASE[[#This Row],[Broadcast Market]],Broadcast_BASE[[#This Row],[Broadcaster]]),Table1[[CC]:[Pay TV vs. Free-to-Air]],2,FALSE)</f>
        <v>0</v>
      </c>
      <c r="P162" s="51">
        <f>Broadcast_BASE[[#This Row],[Rolex EXP]]*86400</f>
        <v>8284.0547254379453</v>
      </c>
      <c r="Q162" s="73" t="str">
        <f>IF(Broadcast_BASE[[#This Row],[Dashboard Rated?]]="No","N","Y")</f>
        <v>N</v>
      </c>
      <c r="R162" s="81"/>
      <c r="S162" s="81"/>
    </row>
    <row r="163" spans="1:19" x14ac:dyDescent="0.25">
      <c r="A163" s="72" t="e">
        <f>#REF!</f>
        <v>#REF!</v>
      </c>
      <c r="B163" s="178" t="s">
        <v>15</v>
      </c>
      <c r="C163" s="178" t="s">
        <v>1196</v>
      </c>
      <c r="D163" s="178" t="s">
        <v>1642</v>
      </c>
      <c r="E163" s="179">
        <v>0.28561342592592592</v>
      </c>
      <c r="F163" s="180">
        <v>9575</v>
      </c>
      <c r="G163" s="179">
        <v>1.7495219068653891E-2</v>
      </c>
      <c r="H163" s="180">
        <v>73.741512965338885</v>
      </c>
      <c r="I163" s="180">
        <v>20.47316924032091</v>
      </c>
      <c r="J163" s="180" t="s">
        <v>1867</v>
      </c>
      <c r="K163" t="str">
        <f>VLOOKUP(Broadcast_BASE[[#This Row],[Broadcast Market]],Continent_Look_Up[],2,FALSE)</f>
        <v>Africa &amp; Middle East</v>
      </c>
      <c r="L163" t="str">
        <f>IF(OR(Broadcast_BASE[[#This Row],[Broadcast Continent]]="Digital",Broadcast_BASE[[#This Row],[Programme Type]]="Digital"),"Y","N")</f>
        <v>N</v>
      </c>
      <c r="M163" s="4" t="str">
        <f>IF(ISNUMBER(SEARCH("Pan ",Broadcast_BASE[[#This Row],[Broadcast Market]]))=TRUE,"Y","N")</f>
        <v>Y</v>
      </c>
      <c r="N163" t="str">
        <f>VLOOKUP(CONCATENATE(Broadcast_BASE[[#This Row],[Broadcast Market]],Broadcast_BASE[[#This Row],[Broadcaster]]),Table1[[CC]:[Pay TV vs. Free-to-Air]],3,FALSE)</f>
        <v>Pay TV</v>
      </c>
      <c r="O163" s="1">
        <f>VLOOKUP(CONCATENATE(Broadcast_BASE[[#This Row],[Broadcast Market]],Broadcast_BASE[[#This Row],[Broadcaster]]),Table1[[CC]:[Pay TV vs. Free-to-Air]],2,FALSE)</f>
        <v>3100000</v>
      </c>
      <c r="P163" s="57">
        <f>Broadcast_BASE[[#This Row],[Rolex EXP]]*86400</f>
        <v>1511.5869275316961</v>
      </c>
      <c r="Q163" s="73" t="str">
        <f>IF(Broadcast_BASE[[#This Row],[Dashboard Rated?]]="No","N","Y")</f>
        <v>N</v>
      </c>
      <c r="R163" s="81"/>
      <c r="S163" s="81"/>
    </row>
    <row r="164" spans="1:19" x14ac:dyDescent="0.25">
      <c r="A164" s="72" t="e">
        <f>#REF!</f>
        <v>#REF!</v>
      </c>
      <c r="B164" s="178" t="s">
        <v>15</v>
      </c>
      <c r="C164" s="178" t="s">
        <v>1196</v>
      </c>
      <c r="D164" s="178" t="s">
        <v>1643</v>
      </c>
      <c r="E164" s="179">
        <v>6.0157175925925932</v>
      </c>
      <c r="F164" s="180">
        <v>38326</v>
      </c>
      <c r="G164" s="179">
        <v>0.36849212111218582</v>
      </c>
      <c r="H164" s="180">
        <v>2824.0740732624067</v>
      </c>
      <c r="I164" s="180">
        <v>784.0596717384966</v>
      </c>
      <c r="J164" s="180" t="s">
        <v>1867</v>
      </c>
      <c r="K164" t="str">
        <f>VLOOKUP(Broadcast_BASE[[#This Row],[Broadcast Market]],Continent_Look_Up[],2,FALSE)</f>
        <v>Africa &amp; Middle East</v>
      </c>
      <c r="L164" t="str">
        <f>IF(OR(Broadcast_BASE[[#This Row],[Broadcast Continent]]="Digital",Broadcast_BASE[[#This Row],[Programme Type]]="Digital"),"Y","N")</f>
        <v>N</v>
      </c>
      <c r="M164" s="4" t="str">
        <f>IF(ISNUMBER(SEARCH("Pan ",Broadcast_BASE[[#This Row],[Broadcast Market]]))=TRUE,"Y","N")</f>
        <v>Y</v>
      </c>
      <c r="N164" t="str">
        <f>VLOOKUP(CONCATENATE(Broadcast_BASE[[#This Row],[Broadcast Market]],Broadcast_BASE[[#This Row],[Broadcaster]]),Table1[[CC]:[Pay TV vs. Free-to-Air]],3,FALSE)</f>
        <v>Pay TV</v>
      </c>
      <c r="O164" s="1">
        <f>VLOOKUP(CONCATENATE(Broadcast_BASE[[#This Row],[Broadcast Market]],Broadcast_BASE[[#This Row],[Broadcaster]]),Table1[[CC]:[Pay TV vs. Free-to-Air]],2,FALSE)</f>
        <v>3100000</v>
      </c>
      <c r="P164" s="57">
        <f>Broadcast_BASE[[#This Row],[Rolex EXP]]*86400</f>
        <v>31837.719264092855</v>
      </c>
      <c r="Q164" s="73" t="str">
        <f>IF(Broadcast_BASE[[#This Row],[Dashboard Rated?]]="No","N","Y")</f>
        <v>N</v>
      </c>
      <c r="R164" s="81"/>
      <c r="S164" s="81"/>
    </row>
    <row r="165" spans="1:19" x14ac:dyDescent="0.25">
      <c r="A165" s="72" t="e">
        <f>#REF!</f>
        <v>#REF!</v>
      </c>
      <c r="B165" s="178" t="s">
        <v>15</v>
      </c>
      <c r="C165" s="178" t="s">
        <v>1196</v>
      </c>
      <c r="D165" s="178" t="s">
        <v>1644</v>
      </c>
      <c r="E165" s="179">
        <v>0.17097222222222222</v>
      </c>
      <c r="F165" s="180">
        <v>49</v>
      </c>
      <c r="G165" s="179">
        <v>1.0472884713788357E-2</v>
      </c>
      <c r="H165" s="180">
        <v>2.3706621486728188</v>
      </c>
      <c r="I165" s="180">
        <v>0.65817699460837709</v>
      </c>
      <c r="J165" s="180" t="s">
        <v>1867</v>
      </c>
      <c r="K165" t="str">
        <f>VLOOKUP(Broadcast_BASE[[#This Row],[Broadcast Market]],Continent_Look_Up[],2,FALSE)</f>
        <v>Africa &amp; Middle East</v>
      </c>
      <c r="L165" t="str">
        <f>IF(OR(Broadcast_BASE[[#This Row],[Broadcast Continent]]="Digital",Broadcast_BASE[[#This Row],[Programme Type]]="Digital"),"Y","N")</f>
        <v>N</v>
      </c>
      <c r="M165" s="4" t="str">
        <f>IF(ISNUMBER(SEARCH("Pan ",Broadcast_BASE[[#This Row],[Broadcast Market]]))=TRUE,"Y","N")</f>
        <v>Y</v>
      </c>
      <c r="N165" t="str">
        <f>VLOOKUP(CONCATENATE(Broadcast_BASE[[#This Row],[Broadcast Market]],Broadcast_BASE[[#This Row],[Broadcaster]]),Table1[[CC]:[Pay TV vs. Free-to-Air]],3,FALSE)</f>
        <v>Pay TV</v>
      </c>
      <c r="O165" s="1">
        <f>VLOOKUP(CONCATENATE(Broadcast_BASE[[#This Row],[Broadcast Market]],Broadcast_BASE[[#This Row],[Broadcaster]]),Table1[[CC]:[Pay TV vs. Free-to-Air]],2,FALSE)</f>
        <v>3100000</v>
      </c>
      <c r="P165" s="57">
        <f>Broadcast_BASE[[#This Row],[Rolex EXP]]*86400</f>
        <v>904.85723927131403</v>
      </c>
      <c r="Q165" s="73" t="str">
        <f>IF(Broadcast_BASE[[#This Row],[Dashboard Rated?]]="No","N","Y")</f>
        <v>N</v>
      </c>
      <c r="R165" s="81"/>
      <c r="S165" s="81"/>
    </row>
    <row r="166" spans="1:19" x14ac:dyDescent="0.25">
      <c r="A166" s="72" t="e">
        <f>#REF!</f>
        <v>#REF!</v>
      </c>
      <c r="B166" s="178" t="s">
        <v>15</v>
      </c>
      <c r="C166" s="178" t="s">
        <v>1197</v>
      </c>
      <c r="D166" s="178" t="s">
        <v>1643</v>
      </c>
      <c r="E166" s="179">
        <v>0.16015046296296295</v>
      </c>
      <c r="F166" s="180">
        <v>49</v>
      </c>
      <c r="G166" s="179">
        <v>9.8099990376854535E-3</v>
      </c>
      <c r="H166" s="180">
        <v>2.2206100833459108</v>
      </c>
      <c r="I166" s="180">
        <v>0.61651740281587564</v>
      </c>
      <c r="J166" s="180" t="s">
        <v>1867</v>
      </c>
      <c r="K166" t="str">
        <f>VLOOKUP(Broadcast_BASE[[#This Row],[Broadcast Market]],Continent_Look_Up[],2,FALSE)</f>
        <v>Africa &amp; Middle East</v>
      </c>
      <c r="L166" t="str">
        <f>IF(OR(Broadcast_BASE[[#This Row],[Broadcast Continent]]="Digital",Broadcast_BASE[[#This Row],[Programme Type]]="Digital"),"Y","N")</f>
        <v>N</v>
      </c>
      <c r="M166" s="4" t="str">
        <f>IF(ISNUMBER(SEARCH("Pan ",Broadcast_BASE[[#This Row],[Broadcast Market]]))=TRUE,"Y","N")</f>
        <v>Y</v>
      </c>
      <c r="N166" t="str">
        <f>VLOOKUP(CONCATENATE(Broadcast_BASE[[#This Row],[Broadcast Market]],Broadcast_BASE[[#This Row],[Broadcaster]]),Table1[[CC]:[Pay TV vs. Free-to-Air]],3,FALSE)</f>
        <v>Pay TV</v>
      </c>
      <c r="O166" s="1">
        <f>VLOOKUP(CONCATENATE(Broadcast_BASE[[#This Row],[Broadcast Market]],Broadcast_BASE[[#This Row],[Broadcaster]]),Table1[[CC]:[Pay TV vs. Free-to-Air]],2,FALSE)</f>
        <v>3100000</v>
      </c>
      <c r="P166" s="57">
        <f>Broadcast_BASE[[#This Row],[Rolex EXP]]*86400</f>
        <v>847.58391685602317</v>
      </c>
      <c r="Q166" s="73" t="str">
        <f>IF(Broadcast_BASE[[#This Row],[Dashboard Rated?]]="No","N","Y")</f>
        <v>N</v>
      </c>
      <c r="R166" s="80"/>
      <c r="S166" s="80"/>
    </row>
    <row r="167" spans="1:19" x14ac:dyDescent="0.25">
      <c r="A167" s="72" t="e">
        <f>#REF!</f>
        <v>#REF!</v>
      </c>
      <c r="B167" s="178" t="s">
        <v>15</v>
      </c>
      <c r="C167" s="178" t="s">
        <v>1198</v>
      </c>
      <c r="D167" s="178" t="s">
        <v>1642</v>
      </c>
      <c r="E167" s="179">
        <v>1.5881134259259257</v>
      </c>
      <c r="F167" s="180">
        <v>332783</v>
      </c>
      <c r="G167" s="179">
        <v>9.7279713663217041E-2</v>
      </c>
      <c r="H167" s="180">
        <v>2335.882772122507</v>
      </c>
      <c r="I167" s="180">
        <v>648.52104867569608</v>
      </c>
      <c r="J167" s="180" t="s">
        <v>1867</v>
      </c>
      <c r="K167" t="str">
        <f>VLOOKUP(Broadcast_BASE[[#This Row],[Broadcast Market]],Continent_Look_Up[],2,FALSE)</f>
        <v>Africa &amp; Middle East</v>
      </c>
      <c r="L167" t="str">
        <f>IF(OR(Broadcast_BASE[[#This Row],[Broadcast Continent]]="Digital",Broadcast_BASE[[#This Row],[Programme Type]]="Digital"),"Y","N")</f>
        <v>N</v>
      </c>
      <c r="M167" s="4" t="str">
        <f>IF(ISNUMBER(SEARCH("Pan ",Broadcast_BASE[[#This Row],[Broadcast Market]]))=TRUE,"Y","N")</f>
        <v>Y</v>
      </c>
      <c r="N167" t="str">
        <f>VLOOKUP(CONCATENATE(Broadcast_BASE[[#This Row],[Broadcast Market]],Broadcast_BASE[[#This Row],[Broadcaster]]),Table1[[CC]:[Pay TV vs. Free-to-Air]],3,FALSE)</f>
        <v>Pay TV</v>
      </c>
      <c r="O167" s="1">
        <f>VLOOKUP(CONCATENATE(Broadcast_BASE[[#This Row],[Broadcast Market]],Broadcast_BASE[[#This Row],[Broadcaster]]),Table1[[CC]:[Pay TV vs. Free-to-Air]],2,FALSE)</f>
        <v>3100000</v>
      </c>
      <c r="P167" s="51">
        <f>Broadcast_BASE[[#This Row],[Rolex EXP]]*86400</f>
        <v>8404.9672605019532</v>
      </c>
      <c r="Q167" s="73" t="str">
        <f>IF(Broadcast_BASE[[#This Row],[Dashboard Rated?]]="No","N","Y")</f>
        <v>N</v>
      </c>
      <c r="R167" s="80"/>
      <c r="S167" s="80"/>
    </row>
    <row r="168" spans="1:19" x14ac:dyDescent="0.25">
      <c r="A168" s="72" t="e">
        <f>#REF!</f>
        <v>#REF!</v>
      </c>
      <c r="B168" s="178" t="s">
        <v>15</v>
      </c>
      <c r="C168" s="178" t="s">
        <v>1198</v>
      </c>
      <c r="D168" s="178" t="s">
        <v>1643</v>
      </c>
      <c r="E168" s="179">
        <v>7.6190046296296297</v>
      </c>
      <c r="F168" s="180">
        <v>201198</v>
      </c>
      <c r="G168" s="179">
        <v>0.466701292659222</v>
      </c>
      <c r="H168" s="180">
        <v>15683.085041111168</v>
      </c>
      <c r="I168" s="180">
        <v>4354.1614667973272</v>
      </c>
      <c r="J168" s="180" t="s">
        <v>1867</v>
      </c>
      <c r="K168" t="str">
        <f>VLOOKUP(Broadcast_BASE[[#This Row],[Broadcast Market]],Continent_Look_Up[],2,FALSE)</f>
        <v>Africa &amp; Middle East</v>
      </c>
      <c r="L168" t="str">
        <f>IF(OR(Broadcast_BASE[[#This Row],[Broadcast Continent]]="Digital",Broadcast_BASE[[#This Row],[Programme Type]]="Digital"),"Y","N")</f>
        <v>N</v>
      </c>
      <c r="M168" s="4" t="str">
        <f>IF(ISNUMBER(SEARCH("Pan ",Broadcast_BASE[[#This Row],[Broadcast Market]]))=TRUE,"Y","N")</f>
        <v>Y</v>
      </c>
      <c r="N168" t="str">
        <f>VLOOKUP(CONCATENATE(Broadcast_BASE[[#This Row],[Broadcast Market]],Broadcast_BASE[[#This Row],[Broadcaster]]),Table1[[CC]:[Pay TV vs. Free-to-Air]],3,FALSE)</f>
        <v>Pay TV</v>
      </c>
      <c r="O168" s="1">
        <f>VLOOKUP(CONCATENATE(Broadcast_BASE[[#This Row],[Broadcast Market]],Broadcast_BASE[[#This Row],[Broadcaster]]),Table1[[CC]:[Pay TV vs. Free-to-Air]],2,FALSE)</f>
        <v>3100000</v>
      </c>
      <c r="P168" s="57">
        <f>Broadcast_BASE[[#This Row],[Rolex EXP]]*86400</f>
        <v>40322.99168575678</v>
      </c>
      <c r="Q168" s="73" t="str">
        <f>IF(Broadcast_BASE[[#This Row],[Dashboard Rated?]]="No","N","Y")</f>
        <v>N</v>
      </c>
      <c r="R168" s="81"/>
      <c r="S168" s="81"/>
    </row>
    <row r="169" spans="1:19" x14ac:dyDescent="0.25">
      <c r="A169" s="72" t="e">
        <f>#REF!</f>
        <v>#REF!</v>
      </c>
      <c r="B169" s="178" t="s">
        <v>15</v>
      </c>
      <c r="C169" s="178" t="s">
        <v>1198</v>
      </c>
      <c r="D169" s="178" t="s">
        <v>1644</v>
      </c>
      <c r="E169" s="179">
        <v>6.1840972222222232</v>
      </c>
      <c r="F169" s="180">
        <v>233087</v>
      </c>
      <c r="G169" s="179">
        <v>0.37880619685116451</v>
      </c>
      <c r="H169" s="180">
        <v>8119.0370965138218</v>
      </c>
      <c r="I169" s="180">
        <v>2254.1227303473097</v>
      </c>
      <c r="J169" s="180" t="s">
        <v>1867</v>
      </c>
      <c r="K169" t="str">
        <f>VLOOKUP(Broadcast_BASE[[#This Row],[Broadcast Market]],Continent_Look_Up[],2,FALSE)</f>
        <v>Africa &amp; Middle East</v>
      </c>
      <c r="L169" t="str">
        <f>IF(OR(Broadcast_BASE[[#This Row],[Broadcast Continent]]="Digital",Broadcast_BASE[[#This Row],[Programme Type]]="Digital"),"Y","N")</f>
        <v>N</v>
      </c>
      <c r="M169" s="4" t="str">
        <f>IF(ISNUMBER(SEARCH("Pan ",Broadcast_BASE[[#This Row],[Broadcast Market]]))=TRUE,"Y","N")</f>
        <v>Y</v>
      </c>
      <c r="N169" t="str">
        <f>VLOOKUP(CONCATENATE(Broadcast_BASE[[#This Row],[Broadcast Market]],Broadcast_BASE[[#This Row],[Broadcaster]]),Table1[[CC]:[Pay TV vs. Free-to-Air]],3,FALSE)</f>
        <v>Pay TV</v>
      </c>
      <c r="O169" s="1">
        <f>VLOOKUP(CONCATENATE(Broadcast_BASE[[#This Row],[Broadcast Market]],Broadcast_BASE[[#This Row],[Broadcaster]]),Table1[[CC]:[Pay TV vs. Free-to-Air]],2,FALSE)</f>
        <v>3100000</v>
      </c>
      <c r="P169" s="51">
        <f>Broadcast_BASE[[#This Row],[Rolex EXP]]*86400</f>
        <v>32728.855407940613</v>
      </c>
      <c r="Q169" s="73" t="str">
        <f>IF(Broadcast_BASE[[#This Row],[Dashboard Rated?]]="No","N","Y")</f>
        <v>N</v>
      </c>
      <c r="R169" s="81"/>
      <c r="S169" s="81"/>
    </row>
    <row r="170" spans="1:19" x14ac:dyDescent="0.25">
      <c r="A170" s="72" t="e">
        <f>#REF!</f>
        <v>#REF!</v>
      </c>
      <c r="B170" s="178" t="s">
        <v>15</v>
      </c>
      <c r="C170" s="178" t="s">
        <v>1199</v>
      </c>
      <c r="D170" s="178" t="s">
        <v>1643</v>
      </c>
      <c r="E170" s="179">
        <v>2.4234722222222222</v>
      </c>
      <c r="F170" s="180">
        <v>7417</v>
      </c>
      <c r="G170" s="179">
        <v>0.14844952507789849</v>
      </c>
      <c r="H170" s="180">
        <v>798.58987794641757</v>
      </c>
      <c r="I170" s="180">
        <v>221.71589742794055</v>
      </c>
      <c r="J170" s="180" t="s">
        <v>1867</v>
      </c>
      <c r="K170" t="str">
        <f>VLOOKUP(Broadcast_BASE[[#This Row],[Broadcast Market]],Continent_Look_Up[],2,FALSE)</f>
        <v>Africa &amp; Middle East</v>
      </c>
      <c r="L170" t="str">
        <f>IF(OR(Broadcast_BASE[[#This Row],[Broadcast Continent]]="Digital",Broadcast_BASE[[#This Row],[Programme Type]]="Digital"),"Y","N")</f>
        <v>N</v>
      </c>
      <c r="M170" s="4" t="str">
        <f>IF(ISNUMBER(SEARCH("Pan ",Broadcast_BASE[[#This Row],[Broadcast Market]]))=TRUE,"Y","N")</f>
        <v>Y</v>
      </c>
      <c r="N170" t="str">
        <f>VLOOKUP(CONCATENATE(Broadcast_BASE[[#This Row],[Broadcast Market]],Broadcast_BASE[[#This Row],[Broadcaster]]),Table1[[CC]:[Pay TV vs. Free-to-Air]],3,FALSE)</f>
        <v>Pay TV</v>
      </c>
      <c r="O170" s="1">
        <f>VLOOKUP(CONCATENATE(Broadcast_BASE[[#This Row],[Broadcast Market]],Broadcast_BASE[[#This Row],[Broadcaster]]),Table1[[CC]:[Pay TV vs. Free-to-Air]],2,FALSE)</f>
        <v>3100000</v>
      </c>
      <c r="P170" s="57">
        <f>Broadcast_BASE[[#This Row],[Rolex EXP]]*86400</f>
        <v>12826.03896673043</v>
      </c>
      <c r="Q170" s="73" t="str">
        <f>IF(Broadcast_BASE[[#This Row],[Dashboard Rated?]]="No","N","Y")</f>
        <v>N</v>
      </c>
      <c r="R170" s="81"/>
      <c r="S170" s="81"/>
    </row>
    <row r="171" spans="1:19" x14ac:dyDescent="0.25">
      <c r="A171" s="72" t="e">
        <f>#REF!</f>
        <v>#REF!</v>
      </c>
      <c r="B171" s="178" t="s">
        <v>15</v>
      </c>
      <c r="C171" s="178" t="s">
        <v>1199</v>
      </c>
      <c r="D171" s="178" t="s">
        <v>1644</v>
      </c>
      <c r="E171" s="179">
        <v>0.22556712962962963</v>
      </c>
      <c r="F171" s="180">
        <v>87</v>
      </c>
      <c r="G171" s="179">
        <v>1.3817089777079699E-2</v>
      </c>
      <c r="H171" s="180">
        <v>5.5531971843409682</v>
      </c>
      <c r="I171" s="180">
        <v>1.5417577048266586</v>
      </c>
      <c r="J171" s="180" t="s">
        <v>1867</v>
      </c>
      <c r="K171" t="str">
        <f>VLOOKUP(Broadcast_BASE[[#This Row],[Broadcast Market]],Continent_Look_Up[],2,FALSE)</f>
        <v>Africa &amp; Middle East</v>
      </c>
      <c r="L171" t="str">
        <f>IF(OR(Broadcast_BASE[[#This Row],[Broadcast Continent]]="Digital",Broadcast_BASE[[#This Row],[Programme Type]]="Digital"),"Y","N")</f>
        <v>N</v>
      </c>
      <c r="M171" s="4" t="str">
        <f>IF(ISNUMBER(SEARCH("Pan ",Broadcast_BASE[[#This Row],[Broadcast Market]]))=TRUE,"Y","N")</f>
        <v>Y</v>
      </c>
      <c r="N171" t="str">
        <f>VLOOKUP(CONCATENATE(Broadcast_BASE[[#This Row],[Broadcast Market]],Broadcast_BASE[[#This Row],[Broadcaster]]),Table1[[CC]:[Pay TV vs. Free-to-Air]],3,FALSE)</f>
        <v>Pay TV</v>
      </c>
      <c r="O171" s="1">
        <f>VLOOKUP(CONCATENATE(Broadcast_BASE[[#This Row],[Broadcast Market]],Broadcast_BASE[[#This Row],[Broadcaster]]),Table1[[CC]:[Pay TV vs. Free-to-Air]],2,FALSE)</f>
        <v>3100000</v>
      </c>
      <c r="P171" s="57">
        <f>Broadcast_BASE[[#This Row],[Rolex EXP]]*86400</f>
        <v>1193.7965567396859</v>
      </c>
      <c r="Q171" s="73" t="str">
        <f>IF(Broadcast_BASE[[#This Row],[Dashboard Rated?]]="No","N","Y")</f>
        <v>N</v>
      </c>
      <c r="R171" s="81"/>
      <c r="S171" s="81"/>
    </row>
    <row r="172" spans="1:19" x14ac:dyDescent="0.25">
      <c r="A172" s="72" t="e">
        <f>#REF!</f>
        <v>#REF!</v>
      </c>
      <c r="B172" s="178" t="s">
        <v>15</v>
      </c>
      <c r="C172" s="178" t="s">
        <v>1200</v>
      </c>
      <c r="D172" s="178" t="s">
        <v>1642</v>
      </c>
      <c r="E172" s="179">
        <v>0.12510416666666666</v>
      </c>
      <c r="F172" s="180">
        <v>8805</v>
      </c>
      <c r="G172" s="179">
        <v>7.6632420032045996E-3</v>
      </c>
      <c r="H172" s="180">
        <v>48.39034835408355</v>
      </c>
      <c r="I172" s="180">
        <v>13.434817806313555</v>
      </c>
      <c r="J172" s="180" t="s">
        <v>1867</v>
      </c>
      <c r="K172" t="str">
        <f>VLOOKUP(Broadcast_BASE[[#This Row],[Broadcast Market]],Continent_Look_Up[],2,FALSE)</f>
        <v>Africa &amp; Middle East</v>
      </c>
      <c r="L172" t="str">
        <f>IF(OR(Broadcast_BASE[[#This Row],[Broadcast Continent]]="Digital",Broadcast_BASE[[#This Row],[Programme Type]]="Digital"),"Y","N")</f>
        <v>N</v>
      </c>
      <c r="M172" s="4" t="str">
        <f>IF(ISNUMBER(SEARCH("Pan ",Broadcast_BASE[[#This Row],[Broadcast Market]]))=TRUE,"Y","N")</f>
        <v>Y</v>
      </c>
      <c r="N172" t="str">
        <f>VLOOKUP(CONCATENATE(Broadcast_BASE[[#This Row],[Broadcast Market]],Broadcast_BASE[[#This Row],[Broadcaster]]),Table1[[CC]:[Pay TV vs. Free-to-Air]],3,FALSE)</f>
        <v>Pay TV</v>
      </c>
      <c r="O172" s="1">
        <f>VLOOKUP(CONCATENATE(Broadcast_BASE[[#This Row],[Broadcast Market]],Broadcast_BASE[[#This Row],[Broadcaster]]),Table1[[CC]:[Pay TV vs. Free-to-Air]],2,FALSE)</f>
        <v>3100000</v>
      </c>
      <c r="P172" s="57">
        <f>Broadcast_BASE[[#This Row],[Rolex EXP]]*86400</f>
        <v>662.10410907687742</v>
      </c>
      <c r="Q172" s="73" t="str">
        <f>IF(Broadcast_BASE[[#This Row],[Dashboard Rated?]]="No","N","Y")</f>
        <v>N</v>
      </c>
      <c r="R172" s="83"/>
      <c r="S172" s="83"/>
    </row>
    <row r="173" spans="1:19" x14ac:dyDescent="0.25">
      <c r="A173" s="72" t="e">
        <f>#REF!</f>
        <v>#REF!</v>
      </c>
      <c r="B173" s="178" t="s">
        <v>15</v>
      </c>
      <c r="C173" s="178" t="s">
        <v>1200</v>
      </c>
      <c r="D173" s="178" t="s">
        <v>1644</v>
      </c>
      <c r="E173" s="179">
        <v>0.25158564814814816</v>
      </c>
      <c r="F173" s="180">
        <v>1294</v>
      </c>
      <c r="G173" s="179">
        <v>1.5410851274276842E-2</v>
      </c>
      <c r="H173" s="180">
        <v>46.991823148122442</v>
      </c>
      <c r="I173" s="180">
        <v>13.046539317344189</v>
      </c>
      <c r="J173" s="180" t="s">
        <v>1867</v>
      </c>
      <c r="K173" t="str">
        <f>VLOOKUP(Broadcast_BASE[[#This Row],[Broadcast Market]],Continent_Look_Up[],2,FALSE)</f>
        <v>Africa &amp; Middle East</v>
      </c>
      <c r="L173" t="str">
        <f>IF(OR(Broadcast_BASE[[#This Row],[Broadcast Continent]]="Digital",Broadcast_BASE[[#This Row],[Programme Type]]="Digital"),"Y","N")</f>
        <v>N</v>
      </c>
      <c r="M173" s="4" t="str">
        <f>IF(ISNUMBER(SEARCH("Pan ",Broadcast_BASE[[#This Row],[Broadcast Market]]))=TRUE,"Y","N")</f>
        <v>Y</v>
      </c>
      <c r="N173" t="str">
        <f>VLOOKUP(CONCATENATE(Broadcast_BASE[[#This Row],[Broadcast Market]],Broadcast_BASE[[#This Row],[Broadcaster]]),Table1[[CC]:[Pay TV vs. Free-to-Air]],3,FALSE)</f>
        <v>Pay TV</v>
      </c>
      <c r="O173" s="1">
        <f>VLOOKUP(CONCATENATE(Broadcast_BASE[[#This Row],[Broadcast Market]],Broadcast_BASE[[#This Row],[Broadcaster]]),Table1[[CC]:[Pay TV vs. Free-to-Air]],2,FALSE)</f>
        <v>3100000</v>
      </c>
      <c r="P173" s="57">
        <f>Broadcast_BASE[[#This Row],[Rolex EXP]]*86400</f>
        <v>1331.4975500975193</v>
      </c>
      <c r="Q173" s="73" t="str">
        <f>IF(Broadcast_BASE[[#This Row],[Dashboard Rated?]]="No","N","Y")</f>
        <v>N</v>
      </c>
      <c r="R173" s="83"/>
      <c r="S173" s="83"/>
    </row>
    <row r="174" spans="1:19" x14ac:dyDescent="0.25">
      <c r="A174" s="72" t="e">
        <f>#REF!</f>
        <v>#REF!</v>
      </c>
      <c r="B174" s="178" t="s">
        <v>15</v>
      </c>
      <c r="C174" s="178" t="s">
        <v>1201</v>
      </c>
      <c r="D174" s="178" t="s">
        <v>1642</v>
      </c>
      <c r="E174" s="179">
        <v>0.23393518518518519</v>
      </c>
      <c r="F174" s="180">
        <v>119909</v>
      </c>
      <c r="G174" s="179">
        <v>1.4329674102023446E-2</v>
      </c>
      <c r="H174" s="180">
        <v>658.60451959590307</v>
      </c>
      <c r="I174" s="180">
        <v>182.85116822141953</v>
      </c>
      <c r="J174" s="180" t="s">
        <v>1867</v>
      </c>
      <c r="K174" t="str">
        <f>VLOOKUP(Broadcast_BASE[[#This Row],[Broadcast Market]],Continent_Look_Up[],2,FALSE)</f>
        <v>Africa &amp; Middle East</v>
      </c>
      <c r="L174" t="str">
        <f>IF(OR(Broadcast_BASE[[#This Row],[Broadcast Continent]]="Digital",Broadcast_BASE[[#This Row],[Programme Type]]="Digital"),"Y","N")</f>
        <v>N</v>
      </c>
      <c r="M174" s="4" t="str">
        <f>IF(ISNUMBER(SEARCH("Pan ",Broadcast_BASE[[#This Row],[Broadcast Market]]))=TRUE,"Y","N")</f>
        <v>Y</v>
      </c>
      <c r="N174" t="str">
        <f>VLOOKUP(CONCATENATE(Broadcast_BASE[[#This Row],[Broadcast Market]],Broadcast_BASE[[#This Row],[Broadcaster]]),Table1[[CC]:[Pay TV vs. Free-to-Air]],3,FALSE)</f>
        <v>Pay TV</v>
      </c>
      <c r="O174" s="1">
        <f>VLOOKUP(CONCATENATE(Broadcast_BASE[[#This Row],[Broadcast Market]],Broadcast_BASE[[#This Row],[Broadcaster]]),Table1[[CC]:[Pay TV vs. Free-to-Air]],2,FALSE)</f>
        <v>3100000</v>
      </c>
      <c r="P174" s="57">
        <f>Broadcast_BASE[[#This Row],[Rolex EXP]]*86400</f>
        <v>1238.0838424148258</v>
      </c>
      <c r="Q174" s="73" t="str">
        <f>IF(Broadcast_BASE[[#This Row],[Dashboard Rated?]]="No","N","Y")</f>
        <v>N</v>
      </c>
      <c r="R174" s="83"/>
      <c r="S174" s="83"/>
    </row>
    <row r="175" spans="1:19" x14ac:dyDescent="0.25">
      <c r="A175" s="72" t="e">
        <f>#REF!</f>
        <v>#REF!</v>
      </c>
      <c r="B175" s="178" t="s">
        <v>15</v>
      </c>
      <c r="C175" s="178" t="s">
        <v>1203</v>
      </c>
      <c r="D175" s="178" t="s">
        <v>1642</v>
      </c>
      <c r="E175" s="179">
        <v>0.14736111111111111</v>
      </c>
      <c r="F175" s="180">
        <v>2737</v>
      </c>
      <c r="G175" s="179">
        <v>9.0265886932002024E-3</v>
      </c>
      <c r="H175" s="180">
        <v>25.848126309049562</v>
      </c>
      <c r="I175" s="180">
        <v>7.1763250195192301</v>
      </c>
      <c r="J175" s="180" t="s">
        <v>1867</v>
      </c>
      <c r="K175" t="str">
        <f>VLOOKUP(Broadcast_BASE[[#This Row],[Broadcast Market]],Continent_Look_Up[],2,FALSE)</f>
        <v>Africa &amp; Middle East</v>
      </c>
      <c r="L175" t="str">
        <f>IF(OR(Broadcast_BASE[[#This Row],[Broadcast Continent]]="Digital",Broadcast_BASE[[#This Row],[Programme Type]]="Digital"),"Y","N")</f>
        <v>N</v>
      </c>
      <c r="M175" s="4" t="str">
        <f>IF(ISNUMBER(SEARCH("Pan ",Broadcast_BASE[[#This Row],[Broadcast Market]]))=TRUE,"Y","N")</f>
        <v>Y</v>
      </c>
      <c r="N175" t="str">
        <f>VLOOKUP(CONCATENATE(Broadcast_BASE[[#This Row],[Broadcast Market]],Broadcast_BASE[[#This Row],[Broadcaster]]),Table1[[CC]:[Pay TV vs. Free-to-Air]],3,FALSE)</f>
        <v>Pay TV</v>
      </c>
      <c r="O175" s="1">
        <f>VLOOKUP(CONCATENATE(Broadcast_BASE[[#This Row],[Broadcast Market]],Broadcast_BASE[[#This Row],[Broadcaster]]),Table1[[CC]:[Pay TV vs. Free-to-Air]],2,FALSE)</f>
        <v>3100000</v>
      </c>
      <c r="P175" s="57">
        <f>Broadcast_BASE[[#This Row],[Rolex EXP]]*86400</f>
        <v>779.8972630924975</v>
      </c>
      <c r="Q175" s="73" t="str">
        <f>IF(Broadcast_BASE[[#This Row],[Dashboard Rated?]]="No","N","Y")</f>
        <v>N</v>
      </c>
      <c r="R175" s="81"/>
      <c r="S175" s="81"/>
    </row>
    <row r="176" spans="1:19" x14ac:dyDescent="0.25">
      <c r="A176" s="72" t="e">
        <f>#REF!</f>
        <v>#REF!</v>
      </c>
      <c r="B176" s="178" t="s">
        <v>15</v>
      </c>
      <c r="C176" s="178" t="s">
        <v>1203</v>
      </c>
      <c r="D176" s="178" t="s">
        <v>1643</v>
      </c>
      <c r="E176" s="179">
        <v>3.7275462962962966</v>
      </c>
      <c r="F176" s="180">
        <v>9366</v>
      </c>
      <c r="G176" s="179">
        <v>0.22833043940716749</v>
      </c>
      <c r="H176" s="180">
        <v>811.63480154653212</v>
      </c>
      <c r="I176" s="180">
        <v>225.33761493620111</v>
      </c>
      <c r="J176" s="180" t="s">
        <v>1867</v>
      </c>
      <c r="K176" t="str">
        <f>VLOOKUP(Broadcast_BASE[[#This Row],[Broadcast Market]],Continent_Look_Up[],2,FALSE)</f>
        <v>Africa &amp; Middle East</v>
      </c>
      <c r="L176" t="str">
        <f>IF(OR(Broadcast_BASE[[#This Row],[Broadcast Continent]]="Digital",Broadcast_BASE[[#This Row],[Programme Type]]="Digital"),"Y","N")</f>
        <v>N</v>
      </c>
      <c r="M176" s="4" t="str">
        <f>IF(ISNUMBER(SEARCH("Pan ",Broadcast_BASE[[#This Row],[Broadcast Market]]))=TRUE,"Y","N")</f>
        <v>Y</v>
      </c>
      <c r="N176" t="str">
        <f>VLOOKUP(CONCATENATE(Broadcast_BASE[[#This Row],[Broadcast Market]],Broadcast_BASE[[#This Row],[Broadcaster]]),Table1[[CC]:[Pay TV vs. Free-to-Air]],3,FALSE)</f>
        <v>Pay TV</v>
      </c>
      <c r="O176" s="1">
        <f>VLOOKUP(CONCATENATE(Broadcast_BASE[[#This Row],[Broadcast Market]],Broadcast_BASE[[#This Row],[Broadcaster]]),Table1[[CC]:[Pay TV vs. Free-to-Air]],2,FALSE)</f>
        <v>3100000</v>
      </c>
      <c r="P176" s="57">
        <f>Broadcast_BASE[[#This Row],[Rolex EXP]]*86400</f>
        <v>19727.749964779272</v>
      </c>
      <c r="Q176" s="73" t="str">
        <f>IF(Broadcast_BASE[[#This Row],[Dashboard Rated?]]="No","N","Y")</f>
        <v>N</v>
      </c>
      <c r="R176" s="81"/>
      <c r="S176" s="81"/>
    </row>
    <row r="177" spans="1:19" x14ac:dyDescent="0.25">
      <c r="A177" s="72" t="e">
        <f>#REF!</f>
        <v>#REF!</v>
      </c>
      <c r="B177" s="178" t="s">
        <v>8</v>
      </c>
      <c r="C177" s="178" t="s">
        <v>882</v>
      </c>
      <c r="D177" s="178" t="s">
        <v>1642</v>
      </c>
      <c r="E177" s="179">
        <v>0.72892361111111115</v>
      </c>
      <c r="F177" s="180">
        <v>169901</v>
      </c>
      <c r="G177" s="179">
        <v>4.3490594414247831E-2</v>
      </c>
      <c r="H177" s="180">
        <v>10664.988295276475</v>
      </c>
      <c r="I177" s="180">
        <v>3034.6893540104556</v>
      </c>
      <c r="J177" s="180" t="s">
        <v>1867</v>
      </c>
      <c r="K177" t="str">
        <f>VLOOKUP(Broadcast_BASE[[#This Row],[Broadcast Market]],Continent_Look_Up[],2,FALSE)</f>
        <v>Asia Pacific</v>
      </c>
      <c r="L177" t="str">
        <f>IF(OR(Broadcast_BASE[[#This Row],[Broadcast Continent]]="Digital",Broadcast_BASE[[#This Row],[Programme Type]]="Digital"),"Y","N")</f>
        <v>N</v>
      </c>
      <c r="M177" s="4" t="str">
        <f>IF(ISNUMBER(SEARCH("Pan ",Broadcast_BASE[[#This Row],[Broadcast Market]]))=TRUE,"Y","N")</f>
        <v>Y</v>
      </c>
      <c r="N177" t="str">
        <f>VLOOKUP(CONCATENATE(Broadcast_BASE[[#This Row],[Broadcast Market]],Broadcast_BASE[[#This Row],[Broadcaster]]),Table1[[CC]:[Pay TV vs. Free-to-Air]],3,FALSE)</f>
        <v>Pay TV</v>
      </c>
      <c r="O177" s="1">
        <f>VLOOKUP(CONCATENATE(Broadcast_BASE[[#This Row],[Broadcast Market]],Broadcast_BASE[[#This Row],[Broadcaster]]),Table1[[CC]:[Pay TV vs. Free-to-Air]],2,FALSE)</f>
        <v>41686315</v>
      </c>
      <c r="P177" s="57">
        <f>Broadcast_BASE[[#This Row],[Rolex EXP]]*86400</f>
        <v>3757.5873573910126</v>
      </c>
      <c r="Q177" s="73" t="str">
        <f>IF(Broadcast_BASE[[#This Row],[Dashboard Rated?]]="No","N","Y")</f>
        <v>N</v>
      </c>
      <c r="R177" s="83"/>
      <c r="S177" s="83"/>
    </row>
    <row r="178" spans="1:19" x14ac:dyDescent="0.25">
      <c r="A178" s="72" t="e">
        <f>#REF!</f>
        <v>#REF!</v>
      </c>
      <c r="B178" s="178" t="s">
        <v>8</v>
      </c>
      <c r="C178" s="178" t="s">
        <v>882</v>
      </c>
      <c r="D178" s="178" t="s">
        <v>1643</v>
      </c>
      <c r="E178" s="179">
        <v>3.8540509259259257</v>
      </c>
      <c r="F178" s="180">
        <v>186850</v>
      </c>
      <c r="G178" s="179">
        <v>0.23607946661551485</v>
      </c>
      <c r="H178" s="180">
        <v>143199.83100024454</v>
      </c>
      <c r="I178" s="180">
        <v>39757.176892090429</v>
      </c>
      <c r="J178" s="180" t="s">
        <v>1867</v>
      </c>
      <c r="K178" t="str">
        <f>VLOOKUP(Broadcast_BASE[[#This Row],[Broadcast Market]],Continent_Look_Up[],2,FALSE)</f>
        <v>Asia Pacific</v>
      </c>
      <c r="L178" t="str">
        <f>IF(OR(Broadcast_BASE[[#This Row],[Broadcast Continent]]="Digital",Broadcast_BASE[[#This Row],[Programme Type]]="Digital"),"Y","N")</f>
        <v>N</v>
      </c>
      <c r="M178" s="4" t="str">
        <f>IF(ISNUMBER(SEARCH("Pan ",Broadcast_BASE[[#This Row],[Broadcast Market]]))=TRUE,"Y","N")</f>
        <v>Y</v>
      </c>
      <c r="N178" t="str">
        <f>VLOOKUP(CONCATENATE(Broadcast_BASE[[#This Row],[Broadcast Market]],Broadcast_BASE[[#This Row],[Broadcaster]]),Table1[[CC]:[Pay TV vs. Free-to-Air]],3,FALSE)</f>
        <v>Pay TV</v>
      </c>
      <c r="O178" s="1">
        <f>VLOOKUP(CONCATENATE(Broadcast_BASE[[#This Row],[Broadcast Market]],Broadcast_BASE[[#This Row],[Broadcaster]]),Table1[[CC]:[Pay TV vs. Free-to-Air]],2,FALSE)</f>
        <v>41686315</v>
      </c>
      <c r="P178" s="57">
        <f>Broadcast_BASE[[#This Row],[Rolex EXP]]*86400</f>
        <v>20397.265915580483</v>
      </c>
      <c r="Q178" s="73" t="str">
        <f>IF(Broadcast_BASE[[#This Row],[Dashboard Rated?]]="No","N","Y")</f>
        <v>N</v>
      </c>
      <c r="R178" s="83"/>
      <c r="S178" s="83"/>
    </row>
    <row r="179" spans="1:19" x14ac:dyDescent="0.25">
      <c r="A179" s="72" t="e">
        <f>#REF!</f>
        <v>#REF!</v>
      </c>
      <c r="B179" s="178" t="s">
        <v>8</v>
      </c>
      <c r="C179" s="178" t="s">
        <v>1076</v>
      </c>
      <c r="D179" s="178" t="s">
        <v>1643</v>
      </c>
      <c r="E179" s="179">
        <v>4.206828703703704</v>
      </c>
      <c r="F179" s="180">
        <v>186850</v>
      </c>
      <c r="G179" s="179">
        <v>0.25768883068783199</v>
      </c>
      <c r="H179" s="180">
        <v>156307.52447118194</v>
      </c>
      <c r="I179" s="180">
        <v>43396.321466014328</v>
      </c>
      <c r="J179" s="180" t="s">
        <v>1867</v>
      </c>
      <c r="K179" t="str">
        <f>VLOOKUP(Broadcast_BASE[[#This Row],[Broadcast Market]],Continent_Look_Up[],2,FALSE)</f>
        <v>Asia Pacific</v>
      </c>
      <c r="L179" t="str">
        <f>IF(OR(Broadcast_BASE[[#This Row],[Broadcast Continent]]="Digital",Broadcast_BASE[[#This Row],[Programme Type]]="Digital"),"Y","N")</f>
        <v>N</v>
      </c>
      <c r="M179" s="4" t="str">
        <f>IF(ISNUMBER(SEARCH("Pan ",Broadcast_BASE[[#This Row],[Broadcast Market]]))=TRUE,"Y","N")</f>
        <v>Y</v>
      </c>
      <c r="N179" t="str">
        <f>VLOOKUP(CONCATENATE(Broadcast_BASE[[#This Row],[Broadcast Market]],Broadcast_BASE[[#This Row],[Broadcaster]]),Table1[[CC]:[Pay TV vs. Free-to-Air]],3,FALSE)</f>
        <v>Pay TV</v>
      </c>
      <c r="O179" s="1">
        <f>VLOOKUP(CONCATENATE(Broadcast_BASE[[#This Row],[Broadcast Market]],Broadcast_BASE[[#This Row],[Broadcaster]]),Table1[[CC]:[Pay TV vs. Free-to-Air]],2,FALSE)</f>
        <v>41686315</v>
      </c>
      <c r="P179" s="57">
        <f>Broadcast_BASE[[#This Row],[Rolex EXP]]*86400</f>
        <v>22264.314971428685</v>
      </c>
      <c r="Q179" s="73" t="str">
        <f>IF(Broadcast_BASE[[#This Row],[Dashboard Rated?]]="No","N","Y")</f>
        <v>N</v>
      </c>
      <c r="R179" s="83"/>
      <c r="S179" s="83"/>
    </row>
    <row r="180" spans="1:19" x14ac:dyDescent="0.25">
      <c r="A180" s="72" t="e">
        <f>#REF!</f>
        <v>#REF!</v>
      </c>
      <c r="B180" s="178" t="s">
        <v>8</v>
      </c>
      <c r="C180" s="178" t="s">
        <v>199</v>
      </c>
      <c r="D180" s="178" t="s">
        <v>1642</v>
      </c>
      <c r="E180" s="179">
        <v>2.9435879629629631</v>
      </c>
      <c r="F180" s="180">
        <v>1217081</v>
      </c>
      <c r="G180" s="179">
        <v>0.18749908594718981</v>
      </c>
      <c r="H180" s="180">
        <v>91343.004073495482</v>
      </c>
      <c r="I180" s="180">
        <v>25837.175265953883</v>
      </c>
      <c r="J180" s="180" t="s">
        <v>1867</v>
      </c>
      <c r="K180" t="str">
        <f>VLOOKUP(Broadcast_BASE[[#This Row],[Broadcast Market]],Continent_Look_Up[],2,FALSE)</f>
        <v>Asia Pacific</v>
      </c>
      <c r="L180" t="str">
        <f>IF(OR(Broadcast_BASE[[#This Row],[Broadcast Continent]]="Digital",Broadcast_BASE[[#This Row],[Programme Type]]="Digital"),"Y","N")</f>
        <v>N</v>
      </c>
      <c r="M180" s="4" t="str">
        <f>IF(ISNUMBER(SEARCH("Pan ",Broadcast_BASE[[#This Row],[Broadcast Market]]))=TRUE,"Y","N")</f>
        <v>Y</v>
      </c>
      <c r="N180" t="str">
        <f>VLOOKUP(CONCATENATE(Broadcast_BASE[[#This Row],[Broadcast Market]],Broadcast_BASE[[#This Row],[Broadcaster]]),Table1[[CC]:[Pay TV vs. Free-to-Air]],3,FALSE)</f>
        <v>Pay TV</v>
      </c>
      <c r="O180" s="1">
        <f>VLOOKUP(CONCATENATE(Broadcast_BASE[[#This Row],[Broadcast Market]],Broadcast_BASE[[#This Row],[Broadcaster]]),Table1[[CC]:[Pay TV vs. Free-to-Air]],2,FALSE)</f>
        <v>41686315</v>
      </c>
      <c r="P180" s="57">
        <f>Broadcast_BASE[[#This Row],[Rolex EXP]]*86400</f>
        <v>16199.921025837199</v>
      </c>
      <c r="Q180" s="73" t="str">
        <f>IF(Broadcast_BASE[[#This Row],[Dashboard Rated?]]="No","N","Y")</f>
        <v>N</v>
      </c>
      <c r="R180" s="83"/>
      <c r="S180" s="83"/>
    </row>
    <row r="181" spans="1:19" x14ac:dyDescent="0.25">
      <c r="A181" s="72" t="e">
        <f>#REF!</f>
        <v>#REF!</v>
      </c>
      <c r="B181" s="178" t="s">
        <v>8</v>
      </c>
      <c r="C181" s="178" t="s">
        <v>199</v>
      </c>
      <c r="D181" s="178" t="s">
        <v>1643</v>
      </c>
      <c r="E181" s="179">
        <v>3.7707291666666669</v>
      </c>
      <c r="F181" s="180">
        <v>375696</v>
      </c>
      <c r="G181" s="179">
        <v>0.23097560139384118</v>
      </c>
      <c r="H181" s="180">
        <v>313005.05851344665</v>
      </c>
      <c r="I181" s="180">
        <v>86900.922944643447</v>
      </c>
      <c r="J181" s="180" t="s">
        <v>1867</v>
      </c>
      <c r="K181" t="str">
        <f>VLOOKUP(Broadcast_BASE[[#This Row],[Broadcast Market]],Continent_Look_Up[],2,FALSE)</f>
        <v>Asia Pacific</v>
      </c>
      <c r="L181" t="str">
        <f>IF(OR(Broadcast_BASE[[#This Row],[Broadcast Continent]]="Digital",Broadcast_BASE[[#This Row],[Programme Type]]="Digital"),"Y","N")</f>
        <v>N</v>
      </c>
      <c r="M181" s="4" t="str">
        <f>IF(ISNUMBER(SEARCH("Pan ",Broadcast_BASE[[#This Row],[Broadcast Market]]))=TRUE,"Y","N")</f>
        <v>Y</v>
      </c>
      <c r="N181" t="str">
        <f>VLOOKUP(CONCATENATE(Broadcast_BASE[[#This Row],[Broadcast Market]],Broadcast_BASE[[#This Row],[Broadcaster]]),Table1[[CC]:[Pay TV vs. Free-to-Air]],3,FALSE)</f>
        <v>Pay TV</v>
      </c>
      <c r="O181" s="1">
        <f>VLOOKUP(CONCATENATE(Broadcast_BASE[[#This Row],[Broadcast Market]],Broadcast_BASE[[#This Row],[Broadcaster]]),Table1[[CC]:[Pay TV vs. Free-to-Air]],2,FALSE)</f>
        <v>41686315</v>
      </c>
      <c r="P181" s="57">
        <f>Broadcast_BASE[[#This Row],[Rolex EXP]]*86400</f>
        <v>19956.29196042788</v>
      </c>
      <c r="Q181" s="73" t="str">
        <f>IF(Broadcast_BASE[[#This Row],[Dashboard Rated?]]="No","N","Y")</f>
        <v>N</v>
      </c>
      <c r="R181" s="83"/>
      <c r="S181" s="83"/>
    </row>
    <row r="182" spans="1:19" x14ac:dyDescent="0.25">
      <c r="A182" s="72" t="e">
        <f>#REF!</f>
        <v>#REF!</v>
      </c>
      <c r="B182" s="178" t="s">
        <v>19</v>
      </c>
      <c r="C182" s="178" t="s">
        <v>833</v>
      </c>
      <c r="D182" s="178" t="s">
        <v>1643</v>
      </c>
      <c r="E182" s="179">
        <v>0.23629629629629631</v>
      </c>
      <c r="F182" s="180">
        <v>84</v>
      </c>
      <c r="G182" s="179">
        <v>1.3631034046251241E-2</v>
      </c>
      <c r="H182" s="180">
        <v>31.647745489143123</v>
      </c>
      <c r="I182" s="180">
        <v>9.3248345801727073</v>
      </c>
      <c r="J182" s="180" t="s">
        <v>1867</v>
      </c>
      <c r="K182" t="str">
        <f>VLOOKUP(Broadcast_BASE[[#This Row],[Broadcast Market]],Continent_Look_Up[],2,FALSE)</f>
        <v>Asia Pacific</v>
      </c>
      <c r="L182" t="str">
        <f>IF(OR(Broadcast_BASE[[#This Row],[Broadcast Continent]]="Digital",Broadcast_BASE[[#This Row],[Programme Type]]="Digital"),"Y","N")</f>
        <v>N</v>
      </c>
      <c r="M182" s="4" t="str">
        <f>IF(ISNUMBER(SEARCH("Pan ",Broadcast_BASE[[#This Row],[Broadcast Market]]))=TRUE,"Y","N")</f>
        <v>Y</v>
      </c>
      <c r="N182" t="str">
        <f>VLOOKUP(CONCATENATE(Broadcast_BASE[[#This Row],[Broadcast Market]],Broadcast_BASE[[#This Row],[Broadcaster]]),Table1[[CC]:[Pay TV vs. Free-to-Air]],3,FALSE)</f>
        <v>Pay TV</v>
      </c>
      <c r="O182" s="1">
        <f>VLOOKUP(CONCATENATE(Broadcast_BASE[[#This Row],[Broadcast Market]],Broadcast_BASE[[#This Row],[Broadcaster]]),Table1[[CC]:[Pay TV vs. Free-to-Air]],2,FALSE)</f>
        <v>30800000</v>
      </c>
      <c r="P182" s="57">
        <f>Broadcast_BASE[[#This Row],[Rolex EXP]]*86400</f>
        <v>1177.7213415961073</v>
      </c>
      <c r="Q182" s="73" t="str">
        <f>IF(Broadcast_BASE[[#This Row],[Dashboard Rated?]]="No","N","Y")</f>
        <v>N</v>
      </c>
      <c r="R182" s="83"/>
      <c r="S182" s="83"/>
    </row>
    <row r="183" spans="1:19" x14ac:dyDescent="0.25">
      <c r="A183" s="72" t="e">
        <f>#REF!</f>
        <v>#REF!</v>
      </c>
      <c r="B183" s="178" t="s">
        <v>19</v>
      </c>
      <c r="C183" s="178" t="s">
        <v>1646</v>
      </c>
      <c r="D183" s="178" t="s">
        <v>1642</v>
      </c>
      <c r="E183" s="179">
        <v>2.4898958333333332</v>
      </c>
      <c r="F183" s="180">
        <v>21134</v>
      </c>
      <c r="G183" s="179">
        <v>0.15251829608875903</v>
      </c>
      <c r="H183" s="180">
        <v>1364.8361638285439</v>
      </c>
      <c r="I183" s="180">
        <v>378.92525720900375</v>
      </c>
      <c r="J183" s="180" t="s">
        <v>1867</v>
      </c>
      <c r="K183" t="str">
        <f>VLOOKUP(Broadcast_BASE[[#This Row],[Broadcast Market]],Continent_Look_Up[],2,FALSE)</f>
        <v>Asia Pacific</v>
      </c>
      <c r="L183" t="str">
        <f>IF(OR(Broadcast_BASE[[#This Row],[Broadcast Continent]]="Digital",Broadcast_BASE[[#This Row],[Programme Type]]="Digital"),"Y","N")</f>
        <v>N</v>
      </c>
      <c r="M183" s="4" t="str">
        <f>IF(ISNUMBER(SEARCH("Pan ",Broadcast_BASE[[#This Row],[Broadcast Market]]))=TRUE,"Y","N")</f>
        <v>Y</v>
      </c>
      <c r="N183" t="str">
        <f>VLOOKUP(CONCATENATE(Broadcast_BASE[[#This Row],[Broadcast Market]],Broadcast_BASE[[#This Row],[Broadcaster]]),Table1[[CC]:[Pay TV vs. Free-to-Air]],3,FALSE)</f>
        <v>Pay TV</v>
      </c>
      <c r="O183" s="1">
        <f>VLOOKUP(CONCATENATE(Broadcast_BASE[[#This Row],[Broadcast Market]],Broadcast_BASE[[#This Row],[Broadcaster]]),Table1[[CC]:[Pay TV vs. Free-to-Air]],2,FALSE)</f>
        <v>4400000</v>
      </c>
      <c r="P183" s="57">
        <f>Broadcast_BASE[[#This Row],[Rolex EXP]]*86400</f>
        <v>13177.580782068781</v>
      </c>
      <c r="Q183" s="73" t="str">
        <f>IF(Broadcast_BASE[[#This Row],[Dashboard Rated?]]="No","N","Y")</f>
        <v>N</v>
      </c>
      <c r="R183" s="81"/>
      <c r="S183" s="81"/>
    </row>
    <row r="184" spans="1:19" x14ac:dyDescent="0.25">
      <c r="A184" s="72" t="e">
        <f>#REF!</f>
        <v>#REF!</v>
      </c>
      <c r="B184" s="178" t="s">
        <v>19</v>
      </c>
      <c r="C184" s="178" t="s">
        <v>1646</v>
      </c>
      <c r="D184" s="178" t="s">
        <v>1643</v>
      </c>
      <c r="E184" s="179">
        <v>6.4253240740740738</v>
      </c>
      <c r="F184" s="180">
        <v>18318</v>
      </c>
      <c r="G184" s="179">
        <v>0.40501877430794919</v>
      </c>
      <c r="H184" s="180">
        <v>10978.929339360166</v>
      </c>
      <c r="I184" s="180">
        <v>3125.2606205507323</v>
      </c>
      <c r="J184" s="180" t="s">
        <v>1867</v>
      </c>
      <c r="K184" t="str">
        <f>VLOOKUP(Broadcast_BASE[[#This Row],[Broadcast Market]],Continent_Look_Up[],2,FALSE)</f>
        <v>Asia Pacific</v>
      </c>
      <c r="L184" t="str">
        <f>IF(OR(Broadcast_BASE[[#This Row],[Broadcast Continent]]="Digital",Broadcast_BASE[[#This Row],[Programme Type]]="Digital"),"Y","N")</f>
        <v>N</v>
      </c>
      <c r="M184" s="4" t="str">
        <f>IF(ISNUMBER(SEARCH("Pan ",Broadcast_BASE[[#This Row],[Broadcast Market]]))=TRUE,"Y","N")</f>
        <v>Y</v>
      </c>
      <c r="N184" t="str">
        <f>VLOOKUP(CONCATENATE(Broadcast_BASE[[#This Row],[Broadcast Market]],Broadcast_BASE[[#This Row],[Broadcaster]]),Table1[[CC]:[Pay TV vs. Free-to-Air]],3,FALSE)</f>
        <v>Pay TV</v>
      </c>
      <c r="O184" s="1">
        <f>VLOOKUP(CONCATENATE(Broadcast_BASE[[#This Row],[Broadcast Market]],Broadcast_BASE[[#This Row],[Broadcaster]]),Table1[[CC]:[Pay TV vs. Free-to-Air]],2,FALSE)</f>
        <v>4400000</v>
      </c>
      <c r="P184" s="57">
        <f>Broadcast_BASE[[#This Row],[Rolex EXP]]*86400</f>
        <v>34993.622100206812</v>
      </c>
      <c r="Q184" s="73" t="str">
        <f>IF(Broadcast_BASE[[#This Row],[Dashboard Rated?]]="No","N","Y")</f>
        <v>N</v>
      </c>
      <c r="R184" s="81"/>
      <c r="S184" s="81"/>
    </row>
    <row r="185" spans="1:19" x14ac:dyDescent="0.25">
      <c r="A185" s="72" t="e">
        <f>#REF!</f>
        <v>#REF!</v>
      </c>
      <c r="B185" s="178" t="s">
        <v>19</v>
      </c>
      <c r="C185" s="178" t="s">
        <v>868</v>
      </c>
      <c r="D185" s="178" t="s">
        <v>1642</v>
      </c>
      <c r="E185" s="179">
        <v>2.4945601851851849</v>
      </c>
      <c r="F185" s="180">
        <v>199254</v>
      </c>
      <c r="G185" s="179">
        <v>0.15280401044968892</v>
      </c>
      <c r="H185" s="180">
        <v>12776.022211618245</v>
      </c>
      <c r="I185" s="180">
        <v>3547.061274420887</v>
      </c>
      <c r="J185" s="180" t="s">
        <v>1867</v>
      </c>
      <c r="K185" t="str">
        <f>VLOOKUP(Broadcast_BASE[[#This Row],[Broadcast Market]],Continent_Look_Up[],2,FALSE)</f>
        <v>Asia Pacific</v>
      </c>
      <c r="L185" t="str">
        <f>IF(OR(Broadcast_BASE[[#This Row],[Broadcast Continent]]="Digital",Broadcast_BASE[[#This Row],[Programme Type]]="Digital"),"Y","N")</f>
        <v>N</v>
      </c>
      <c r="M185" s="4" t="str">
        <f>IF(ISNUMBER(SEARCH("Pan ",Broadcast_BASE[[#This Row],[Broadcast Market]]))=TRUE,"Y","N")</f>
        <v>Y</v>
      </c>
      <c r="N185" t="str">
        <f>VLOOKUP(CONCATENATE(Broadcast_BASE[[#This Row],[Broadcast Market]],Broadcast_BASE[[#This Row],[Broadcaster]]),Table1[[CC]:[Pay TV vs. Free-to-Air]],3,FALSE)</f>
        <v>Pay TV</v>
      </c>
      <c r="O185" s="1">
        <f>VLOOKUP(CONCATENATE(Broadcast_BASE[[#This Row],[Broadcast Market]],Broadcast_BASE[[#This Row],[Broadcaster]]),Table1[[CC]:[Pay TV vs. Free-to-Air]],2,FALSE)</f>
        <v>35200000</v>
      </c>
      <c r="P185" s="57">
        <f>Broadcast_BASE[[#This Row],[Rolex EXP]]*86400</f>
        <v>13202.266502853123</v>
      </c>
      <c r="Q185" s="73" t="str">
        <f>IF(Broadcast_BASE[[#This Row],[Dashboard Rated?]]="No","N","Y")</f>
        <v>N</v>
      </c>
      <c r="R185" s="81"/>
      <c r="S185" s="81"/>
    </row>
    <row r="186" spans="1:19" x14ac:dyDescent="0.25">
      <c r="A186" s="72" t="e">
        <f>#REF!</f>
        <v>#REF!</v>
      </c>
      <c r="B186" s="178" t="s">
        <v>19</v>
      </c>
      <c r="C186" s="178" t="s">
        <v>868</v>
      </c>
      <c r="D186" s="178" t="s">
        <v>1643</v>
      </c>
      <c r="E186" s="179">
        <v>6.4204629629629641</v>
      </c>
      <c r="F186" s="180">
        <v>77513</v>
      </c>
      <c r="G186" s="179">
        <v>0.40484266118142598</v>
      </c>
      <c r="H186" s="180">
        <v>61305.732903593918</v>
      </c>
      <c r="I186" s="180">
        <v>17290.198216702738</v>
      </c>
      <c r="J186" s="180" t="s">
        <v>1867</v>
      </c>
      <c r="K186" t="str">
        <f>VLOOKUP(Broadcast_BASE[[#This Row],[Broadcast Market]],Continent_Look_Up[],2,FALSE)</f>
        <v>Asia Pacific</v>
      </c>
      <c r="L186" t="str">
        <f>IF(OR(Broadcast_BASE[[#This Row],[Broadcast Continent]]="Digital",Broadcast_BASE[[#This Row],[Programme Type]]="Digital"),"Y","N")</f>
        <v>N</v>
      </c>
      <c r="M186" s="4" t="str">
        <f>IF(ISNUMBER(SEARCH("Pan ",Broadcast_BASE[[#This Row],[Broadcast Market]]))=TRUE,"Y","N")</f>
        <v>Y</v>
      </c>
      <c r="N186" t="str">
        <f>VLOOKUP(CONCATENATE(Broadcast_BASE[[#This Row],[Broadcast Market]],Broadcast_BASE[[#This Row],[Broadcaster]]),Table1[[CC]:[Pay TV vs. Free-to-Air]],3,FALSE)</f>
        <v>Pay TV</v>
      </c>
      <c r="O186" s="1">
        <f>VLOOKUP(CONCATENATE(Broadcast_BASE[[#This Row],[Broadcast Market]],Broadcast_BASE[[#This Row],[Broadcaster]]),Table1[[CC]:[Pay TV vs. Free-to-Air]],2,FALSE)</f>
        <v>35200000</v>
      </c>
      <c r="P186" s="57">
        <f>Broadcast_BASE[[#This Row],[Rolex EXP]]*86400</f>
        <v>34978.405926075204</v>
      </c>
      <c r="Q186" s="73" t="str">
        <f>IF(Broadcast_BASE[[#This Row],[Dashboard Rated?]]="No","N","Y")</f>
        <v>N</v>
      </c>
      <c r="R186" s="81"/>
      <c r="S186" s="81"/>
    </row>
    <row r="187" spans="1:19" x14ac:dyDescent="0.25">
      <c r="A187" s="72" t="e">
        <f>#REF!</f>
        <v>#REF!</v>
      </c>
      <c r="B187" s="178" t="s">
        <v>19</v>
      </c>
      <c r="C187" s="178" t="s">
        <v>1645</v>
      </c>
      <c r="D187" s="178" t="s">
        <v>1642</v>
      </c>
      <c r="E187" s="179">
        <v>3.2355555555555555</v>
      </c>
      <c r="F187" s="180">
        <v>38032</v>
      </c>
      <c r="G187" s="179">
        <v>0.1981936005624805</v>
      </c>
      <c r="H187" s="180">
        <v>2458.1785690702222</v>
      </c>
      <c r="I187" s="180">
        <v>682.47454986663899</v>
      </c>
      <c r="J187" s="180" t="s">
        <v>1867</v>
      </c>
      <c r="K187" t="str">
        <f>VLOOKUP(Broadcast_BASE[[#This Row],[Broadcast Market]],Continent_Look_Up[],2,FALSE)</f>
        <v>Asia Pacific</v>
      </c>
      <c r="L187" t="str">
        <f>IF(OR(Broadcast_BASE[[#This Row],[Broadcast Continent]]="Digital",Broadcast_BASE[[#This Row],[Programme Type]]="Digital"),"Y","N")</f>
        <v>N</v>
      </c>
      <c r="M187" s="4" t="str">
        <f>IF(ISNUMBER(SEARCH("Pan ",Broadcast_BASE[[#This Row],[Broadcast Market]]))=TRUE,"Y","N")</f>
        <v>Y</v>
      </c>
      <c r="N187" t="str">
        <f>VLOOKUP(CONCATENATE(Broadcast_BASE[[#This Row],[Broadcast Market]],Broadcast_BASE[[#This Row],[Broadcaster]]),Table1[[CC]:[Pay TV vs. Free-to-Air]],3,FALSE)</f>
        <v>Pay TV</v>
      </c>
      <c r="O187" s="1">
        <f>VLOOKUP(CONCATENATE(Broadcast_BASE[[#This Row],[Broadcast Market]],Broadcast_BASE[[#This Row],[Broadcaster]]),Table1[[CC]:[Pay TV vs. Free-to-Air]],2,FALSE)</f>
        <v>4400000</v>
      </c>
      <c r="P187" s="57">
        <f>Broadcast_BASE[[#This Row],[Rolex EXP]]*86400</f>
        <v>17123.927088598317</v>
      </c>
      <c r="Q187" s="73" t="str">
        <f>IF(Broadcast_BASE[[#This Row],[Dashboard Rated?]]="No","N","Y")</f>
        <v>N</v>
      </c>
      <c r="R187" s="83"/>
      <c r="S187" s="83"/>
    </row>
    <row r="188" spans="1:19" x14ac:dyDescent="0.25">
      <c r="A188" s="72" t="e">
        <f>#REF!</f>
        <v>#REF!</v>
      </c>
      <c r="B188" s="178" t="s">
        <v>19</v>
      </c>
      <c r="C188" s="178" t="s">
        <v>1645</v>
      </c>
      <c r="D188" s="178" t="s">
        <v>1643</v>
      </c>
      <c r="E188" s="179">
        <v>5.2676273148148143</v>
      </c>
      <c r="F188" s="180">
        <v>7336</v>
      </c>
      <c r="G188" s="179">
        <v>0.29084470662005996</v>
      </c>
      <c r="H188" s="180">
        <v>7093.3255616506312</v>
      </c>
      <c r="I188" s="180">
        <v>1981.4235716469382</v>
      </c>
      <c r="J188" s="180" t="s">
        <v>1867</v>
      </c>
      <c r="K188" t="str">
        <f>VLOOKUP(Broadcast_BASE[[#This Row],[Broadcast Market]],Continent_Look_Up[],2,FALSE)</f>
        <v>Asia Pacific</v>
      </c>
      <c r="L188" t="str">
        <f>IF(OR(Broadcast_BASE[[#This Row],[Broadcast Continent]]="Digital",Broadcast_BASE[[#This Row],[Programme Type]]="Digital"),"Y","N")</f>
        <v>N</v>
      </c>
      <c r="M188" s="4" t="str">
        <f>IF(ISNUMBER(SEARCH("Pan ",Broadcast_BASE[[#This Row],[Broadcast Market]]))=TRUE,"Y","N")</f>
        <v>Y</v>
      </c>
      <c r="N188" t="str">
        <f>VLOOKUP(CONCATENATE(Broadcast_BASE[[#This Row],[Broadcast Market]],Broadcast_BASE[[#This Row],[Broadcaster]]),Table1[[CC]:[Pay TV vs. Free-to-Air]],3,FALSE)</f>
        <v>Pay TV</v>
      </c>
      <c r="O188" s="1">
        <f>VLOOKUP(CONCATENATE(Broadcast_BASE[[#This Row],[Broadcast Market]],Broadcast_BASE[[#This Row],[Broadcaster]]),Table1[[CC]:[Pay TV vs. Free-to-Air]],2,FALSE)</f>
        <v>4400000</v>
      </c>
      <c r="P188" s="51">
        <f>Broadcast_BASE[[#This Row],[Rolex EXP]]*86400</f>
        <v>25128.98265197318</v>
      </c>
      <c r="Q188" s="73" t="str">
        <f>IF(Broadcast_BASE[[#This Row],[Dashboard Rated?]]="No","N","Y")</f>
        <v>N</v>
      </c>
      <c r="R188" s="81"/>
      <c r="S188" s="81"/>
    </row>
    <row r="189" spans="1:19" x14ac:dyDescent="0.25">
      <c r="A189" s="72" t="e">
        <f>#REF!</f>
        <v>#REF!</v>
      </c>
      <c r="B189" s="178" t="s">
        <v>19</v>
      </c>
      <c r="C189" s="178" t="s">
        <v>871</v>
      </c>
      <c r="D189" s="178" t="s">
        <v>1642</v>
      </c>
      <c r="E189" s="179">
        <v>3.2478703703703702</v>
      </c>
      <c r="F189" s="180">
        <v>399726</v>
      </c>
      <c r="G189" s="179">
        <v>0.19894794319282663</v>
      </c>
      <c r="H189" s="180">
        <v>25781.325658863898</v>
      </c>
      <c r="I189" s="180">
        <v>7157.7788714729195</v>
      </c>
      <c r="J189" s="180" t="s">
        <v>1867</v>
      </c>
      <c r="K189" t="str">
        <f>VLOOKUP(Broadcast_BASE[[#This Row],[Broadcast Market]],Continent_Look_Up[],2,FALSE)</f>
        <v>Asia Pacific</v>
      </c>
      <c r="L189" t="str">
        <f>IF(OR(Broadcast_BASE[[#This Row],[Broadcast Continent]]="Digital",Broadcast_BASE[[#This Row],[Programme Type]]="Digital"),"Y","N")</f>
        <v>N</v>
      </c>
      <c r="M189" s="4" t="str">
        <f>IF(ISNUMBER(SEARCH("Pan ",Broadcast_BASE[[#This Row],[Broadcast Market]]))=TRUE,"Y","N")</f>
        <v>Y</v>
      </c>
      <c r="N189" t="str">
        <f>VLOOKUP(CONCATENATE(Broadcast_BASE[[#This Row],[Broadcast Market]],Broadcast_BASE[[#This Row],[Broadcaster]]),Table1[[CC]:[Pay TV vs. Free-to-Air]],3,FALSE)</f>
        <v>Pay TV</v>
      </c>
      <c r="O189" s="1">
        <f>VLOOKUP(CONCATENATE(Broadcast_BASE[[#This Row],[Broadcast Market]],Broadcast_BASE[[#This Row],[Broadcaster]]),Table1[[CC]:[Pay TV vs. Free-to-Air]],2,FALSE)</f>
        <v>25520000</v>
      </c>
      <c r="P189" s="57">
        <f>Broadcast_BASE[[#This Row],[Rolex EXP]]*86400</f>
        <v>17189.102291860221</v>
      </c>
      <c r="Q189" s="73" t="str">
        <f>IF(Broadcast_BASE[[#This Row],[Dashboard Rated?]]="No","N","Y")</f>
        <v>N</v>
      </c>
      <c r="R189" s="81"/>
      <c r="S189" s="81"/>
    </row>
    <row r="190" spans="1:19" x14ac:dyDescent="0.25">
      <c r="A190" s="72" t="e">
        <f>#REF!</f>
        <v>#REF!</v>
      </c>
      <c r="B190" s="178" t="s">
        <v>19</v>
      </c>
      <c r="C190" s="178" t="s">
        <v>871</v>
      </c>
      <c r="D190" s="178" t="s">
        <v>1643</v>
      </c>
      <c r="E190" s="179">
        <v>5.2676967592592598</v>
      </c>
      <c r="F190" s="180">
        <v>19012</v>
      </c>
      <c r="G190" s="179">
        <v>0.29083737131073711</v>
      </c>
      <c r="H190" s="180">
        <v>13411.552225586476</v>
      </c>
      <c r="I190" s="180">
        <v>3767.3429979475172</v>
      </c>
      <c r="J190" s="180" t="s">
        <v>1867</v>
      </c>
      <c r="K190" t="str">
        <f>VLOOKUP(Broadcast_BASE[[#This Row],[Broadcast Market]],Continent_Look_Up[],2,FALSE)</f>
        <v>Asia Pacific</v>
      </c>
      <c r="L190" t="str">
        <f>IF(OR(Broadcast_BASE[[#This Row],[Broadcast Continent]]="Digital",Broadcast_BASE[[#This Row],[Programme Type]]="Digital"),"Y","N")</f>
        <v>N</v>
      </c>
      <c r="M190" s="4" t="str">
        <f>IF(ISNUMBER(SEARCH("Pan ",Broadcast_BASE[[#This Row],[Broadcast Market]]))=TRUE,"Y","N")</f>
        <v>Y</v>
      </c>
      <c r="N190" t="str">
        <f>VLOOKUP(CONCATENATE(Broadcast_BASE[[#This Row],[Broadcast Market]],Broadcast_BASE[[#This Row],[Broadcaster]]),Table1[[CC]:[Pay TV vs. Free-to-Air]],3,FALSE)</f>
        <v>Pay TV</v>
      </c>
      <c r="O190" s="1">
        <f>VLOOKUP(CONCATENATE(Broadcast_BASE[[#This Row],[Broadcast Market]],Broadcast_BASE[[#This Row],[Broadcaster]]),Table1[[CC]:[Pay TV vs. Free-to-Air]],2,FALSE)</f>
        <v>25520000</v>
      </c>
      <c r="P190" s="57">
        <f>Broadcast_BASE[[#This Row],[Rolex EXP]]*86400</f>
        <v>25128.348881247686</v>
      </c>
      <c r="Q190" s="73" t="str">
        <f>IF(Broadcast_BASE[[#This Row],[Dashboard Rated?]]="No","N","Y")</f>
        <v>N</v>
      </c>
      <c r="R190" s="83"/>
      <c r="S190" s="83"/>
    </row>
    <row r="191" spans="1:19" x14ac:dyDescent="0.25">
      <c r="A191" s="72" t="e">
        <f>#REF!</f>
        <v>#REF!</v>
      </c>
      <c r="B191" s="178" t="s">
        <v>95</v>
      </c>
      <c r="C191" s="178" t="s">
        <v>183</v>
      </c>
      <c r="D191" s="178" t="s">
        <v>1644</v>
      </c>
      <c r="E191" s="179">
        <v>0.16666666666666666</v>
      </c>
      <c r="F191" s="180">
        <v>3488</v>
      </c>
      <c r="G191" s="179">
        <v>9.664094506645059E-3</v>
      </c>
      <c r="H191" s="180">
        <v>626.82976221050933</v>
      </c>
      <c r="I191" s="180">
        <v>184.99121748567148</v>
      </c>
      <c r="J191" s="180" t="s">
        <v>1867</v>
      </c>
      <c r="K191" t="str">
        <f>VLOOKUP(Broadcast_BASE[[#This Row],[Broadcast Market]],Continent_Look_Up[],2,FALSE)</f>
        <v>Central &amp; South America</v>
      </c>
      <c r="L191" t="str">
        <f>IF(OR(Broadcast_BASE[[#This Row],[Broadcast Continent]]="Digital",Broadcast_BASE[[#This Row],[Programme Type]]="Digital"),"Y","N")</f>
        <v>N</v>
      </c>
      <c r="M191" s="4" t="str">
        <f>IF(ISNUMBER(SEARCH("Pan ",Broadcast_BASE[[#This Row],[Broadcast Market]]))=TRUE,"Y","N")</f>
        <v>Y</v>
      </c>
      <c r="N191" t="str">
        <f>VLOOKUP(CONCATENATE(Broadcast_BASE[[#This Row],[Broadcast Market]],Broadcast_BASE[[#This Row],[Broadcaster]]),Table1[[CC]:[Pay TV vs. Free-to-Air]],3,FALSE)</f>
        <v>Pay TV</v>
      </c>
      <c r="O191" s="1">
        <f>VLOOKUP(CONCATENATE(Broadcast_BASE[[#This Row],[Broadcast Market]],Broadcast_BASE[[#This Row],[Broadcaster]]),Table1[[CC]:[Pay TV vs. Free-to-Air]],2,FALSE)</f>
        <v>954000</v>
      </c>
      <c r="P191" s="57">
        <f>Broadcast_BASE[[#This Row],[Rolex EXP]]*86400</f>
        <v>834.97776537413313</v>
      </c>
      <c r="Q191" s="73" t="str">
        <f>IF(Broadcast_BASE[[#This Row],[Dashboard Rated?]]="No","N","Y")</f>
        <v>N</v>
      </c>
      <c r="R191" s="83"/>
      <c r="S191" s="83"/>
    </row>
    <row r="192" spans="1:19" x14ac:dyDescent="0.25">
      <c r="A192" s="72" t="e">
        <f>#REF!</f>
        <v>#REF!</v>
      </c>
      <c r="B192" s="178" t="s">
        <v>95</v>
      </c>
      <c r="C192" s="178" t="s">
        <v>185</v>
      </c>
      <c r="D192" s="178" t="s">
        <v>1643</v>
      </c>
      <c r="E192" s="179">
        <v>5.25</v>
      </c>
      <c r="F192" s="180">
        <v>180180</v>
      </c>
      <c r="G192" s="179">
        <v>0.34008304542546636</v>
      </c>
      <c r="H192" s="180">
        <v>71154.728274441062</v>
      </c>
      <c r="I192" s="180">
        <v>20013.757239117105</v>
      </c>
      <c r="J192" s="180" t="s">
        <v>1867</v>
      </c>
      <c r="K192" t="str">
        <f>VLOOKUP(Broadcast_BASE[[#This Row],[Broadcast Market]],Continent_Look_Up[],2,FALSE)</f>
        <v>Central &amp; South America</v>
      </c>
      <c r="L192" t="str">
        <f>IF(OR(Broadcast_BASE[[#This Row],[Broadcast Continent]]="Digital",Broadcast_BASE[[#This Row],[Programme Type]]="Digital"),"Y","N")</f>
        <v>N</v>
      </c>
      <c r="M192" s="4" t="str">
        <f>IF(ISNUMBER(SEARCH("Pan ",Broadcast_BASE[[#This Row],[Broadcast Market]]))=TRUE,"Y","N")</f>
        <v>Y</v>
      </c>
      <c r="N192" t="str">
        <f>VLOOKUP(CONCATENATE(Broadcast_BASE[[#This Row],[Broadcast Market]],Broadcast_BASE[[#This Row],[Broadcaster]]),Table1[[CC]:[Pay TV vs. Free-to-Air]],3,FALSE)</f>
        <v>Pay TV</v>
      </c>
      <c r="O192" s="1">
        <f>VLOOKUP(CONCATENATE(Broadcast_BASE[[#This Row],[Broadcast Market]],Broadcast_BASE[[#This Row],[Broadcaster]]),Table1[[CC]:[Pay TV vs. Free-to-Air]],2,FALSE)</f>
        <v>954000</v>
      </c>
      <c r="P192" s="57">
        <f>Broadcast_BASE[[#This Row],[Rolex EXP]]*86400</f>
        <v>29383.175124760292</v>
      </c>
      <c r="Q192" s="73" t="str">
        <f>IF(Broadcast_BASE[[#This Row],[Dashboard Rated?]]="No","N","Y")</f>
        <v>N</v>
      </c>
      <c r="R192" s="83"/>
      <c r="S192" s="83"/>
    </row>
    <row r="193" spans="1:19" x14ac:dyDescent="0.25">
      <c r="A193" s="72" t="e">
        <f>#REF!</f>
        <v>#REF!</v>
      </c>
      <c r="B193" s="178" t="s">
        <v>95</v>
      </c>
      <c r="C193" s="178" t="s">
        <v>185</v>
      </c>
      <c r="D193" s="178" t="s">
        <v>1644</v>
      </c>
      <c r="E193" s="179">
        <v>0.20833333333333334</v>
      </c>
      <c r="F193" s="180">
        <v>5546</v>
      </c>
      <c r="G193" s="179">
        <v>1.2761435475777851E-2</v>
      </c>
      <c r="H193" s="180">
        <v>1316.1074830324053</v>
      </c>
      <c r="I193" s="180">
        <v>365.39650673075096</v>
      </c>
      <c r="J193" s="180" t="s">
        <v>1867</v>
      </c>
      <c r="K193" t="str">
        <f>VLOOKUP(Broadcast_BASE[[#This Row],[Broadcast Market]],Continent_Look_Up[],2,FALSE)</f>
        <v>Central &amp; South America</v>
      </c>
      <c r="L193" t="str">
        <f>IF(OR(Broadcast_BASE[[#This Row],[Broadcast Continent]]="Digital",Broadcast_BASE[[#This Row],[Programme Type]]="Digital"),"Y","N")</f>
        <v>N</v>
      </c>
      <c r="M193" s="4" t="str">
        <f>IF(ISNUMBER(SEARCH("Pan ",Broadcast_BASE[[#This Row],[Broadcast Market]]))=TRUE,"Y","N")</f>
        <v>Y</v>
      </c>
      <c r="N193" t="str">
        <f>VLOOKUP(CONCATENATE(Broadcast_BASE[[#This Row],[Broadcast Market]],Broadcast_BASE[[#This Row],[Broadcaster]]),Table1[[CC]:[Pay TV vs. Free-to-Air]],3,FALSE)</f>
        <v>Pay TV</v>
      </c>
      <c r="O193" s="1">
        <f>VLOOKUP(CONCATENATE(Broadcast_BASE[[#This Row],[Broadcast Market]],Broadcast_BASE[[#This Row],[Broadcaster]]),Table1[[CC]:[Pay TV vs. Free-to-Air]],2,FALSE)</f>
        <v>954000</v>
      </c>
      <c r="P193" s="57">
        <f>Broadcast_BASE[[#This Row],[Rolex EXP]]*86400</f>
        <v>1102.5880251072062</v>
      </c>
      <c r="Q193" s="73" t="str">
        <f>IF(Broadcast_BASE[[#This Row],[Dashboard Rated?]]="No","N","Y")</f>
        <v>N</v>
      </c>
      <c r="R193" s="83"/>
      <c r="S193" s="83"/>
    </row>
    <row r="194" spans="1:19" x14ac:dyDescent="0.25">
      <c r="A194" s="72" t="e">
        <f>#REF!</f>
        <v>#REF!</v>
      </c>
      <c r="B194" s="178" t="s">
        <v>11</v>
      </c>
      <c r="C194" s="178" t="s">
        <v>183</v>
      </c>
      <c r="D194" s="178" t="s">
        <v>1643</v>
      </c>
      <c r="E194" s="179">
        <v>4.020833333333333</v>
      </c>
      <c r="F194" s="180">
        <v>1391158</v>
      </c>
      <c r="G194" s="179">
        <v>0.2521375577150346</v>
      </c>
      <c r="H194" s="180">
        <v>695777.60951188079</v>
      </c>
      <c r="I194" s="180">
        <v>193942.99041471886</v>
      </c>
      <c r="J194" s="180" t="s">
        <v>1867</v>
      </c>
      <c r="K194" t="str">
        <f>VLOOKUP(Broadcast_BASE[[#This Row],[Broadcast Market]],Continent_Look_Up[],2,FALSE)</f>
        <v>Central &amp; South America</v>
      </c>
      <c r="L194" t="str">
        <f>IF(OR(Broadcast_BASE[[#This Row],[Broadcast Continent]]="Digital",Broadcast_BASE[[#This Row],[Programme Type]]="Digital"),"Y","N")</f>
        <v>N</v>
      </c>
      <c r="M194" s="4" t="str">
        <f>IF(ISNUMBER(SEARCH("Pan ",Broadcast_BASE[[#This Row],[Broadcast Market]]))=TRUE,"Y","N")</f>
        <v>Y</v>
      </c>
      <c r="N194" t="str">
        <f>VLOOKUP(CONCATENATE(Broadcast_BASE[[#This Row],[Broadcast Market]],Broadcast_BASE[[#This Row],[Broadcaster]]),Table1[[CC]:[Pay TV vs. Free-to-Air]],3,FALSE)</f>
        <v>Pay TV</v>
      </c>
      <c r="O194" s="1">
        <f>VLOOKUP(CONCATENATE(Broadcast_BASE[[#This Row],[Broadcast Market]],Broadcast_BASE[[#This Row],[Broadcaster]]),Table1[[CC]:[Pay TV vs. Free-to-Air]],2,FALSE)</f>
        <v>47600000</v>
      </c>
      <c r="P194" s="57">
        <f>Broadcast_BASE[[#This Row],[Rolex EXP]]*86400</f>
        <v>21784.684986578988</v>
      </c>
      <c r="Q194" s="73" t="str">
        <f>IF(Broadcast_BASE[[#This Row],[Dashboard Rated?]]="No","N","Y")</f>
        <v>N</v>
      </c>
      <c r="R194" s="81"/>
      <c r="S194" s="81"/>
    </row>
    <row r="195" spans="1:19" x14ac:dyDescent="0.25">
      <c r="A195" s="72" t="e">
        <f>#REF!</f>
        <v>#REF!</v>
      </c>
      <c r="B195" s="178" t="s">
        <v>11</v>
      </c>
      <c r="C195" s="178" t="s">
        <v>183</v>
      </c>
      <c r="D195" s="178" t="s">
        <v>1644</v>
      </c>
      <c r="E195" s="179">
        <v>0.5</v>
      </c>
      <c r="F195" s="180">
        <v>102144</v>
      </c>
      <c r="G195" s="179">
        <v>2.8351594999103055E-2</v>
      </c>
      <c r="H195" s="180">
        <v>26926.030037935867</v>
      </c>
      <c r="I195" s="180">
        <v>7835.1105299016936</v>
      </c>
      <c r="J195" s="180" t="s">
        <v>1867</v>
      </c>
      <c r="K195" t="str">
        <f>VLOOKUP(Broadcast_BASE[[#This Row],[Broadcast Market]],Continent_Look_Up[],2,FALSE)</f>
        <v>Central &amp; South America</v>
      </c>
      <c r="L195" t="str">
        <f>IF(OR(Broadcast_BASE[[#This Row],[Broadcast Continent]]="Digital",Broadcast_BASE[[#This Row],[Programme Type]]="Digital"),"Y","N")</f>
        <v>N</v>
      </c>
      <c r="M195" s="4" t="str">
        <f>IF(ISNUMBER(SEARCH("Pan ",Broadcast_BASE[[#This Row],[Broadcast Market]]))=TRUE,"Y","N")</f>
        <v>Y</v>
      </c>
      <c r="N195" t="str">
        <f>VLOOKUP(CONCATENATE(Broadcast_BASE[[#This Row],[Broadcast Market]],Broadcast_BASE[[#This Row],[Broadcaster]]),Table1[[CC]:[Pay TV vs. Free-to-Air]],3,FALSE)</f>
        <v>Pay TV</v>
      </c>
      <c r="O195" s="1">
        <f>VLOOKUP(CONCATENATE(Broadcast_BASE[[#This Row],[Broadcast Market]],Broadcast_BASE[[#This Row],[Broadcaster]]),Table1[[CC]:[Pay TV vs. Free-to-Air]],2,FALSE)</f>
        <v>47600000</v>
      </c>
      <c r="P195" s="57">
        <f>Broadcast_BASE[[#This Row],[Rolex EXP]]*86400</f>
        <v>2449.5778079225038</v>
      </c>
      <c r="Q195" s="73" t="str">
        <f>IF(Broadcast_BASE[[#This Row],[Dashboard Rated?]]="No","N","Y")</f>
        <v>N</v>
      </c>
      <c r="R195" s="81"/>
      <c r="S195" s="81"/>
    </row>
    <row r="196" spans="1:19" x14ac:dyDescent="0.25">
      <c r="A196" s="72" t="e">
        <f>#REF!</f>
        <v>#REF!</v>
      </c>
      <c r="B196" s="178" t="s">
        <v>11</v>
      </c>
      <c r="C196" s="178" t="s">
        <v>184</v>
      </c>
      <c r="D196" s="178" t="s">
        <v>1643</v>
      </c>
      <c r="E196" s="179">
        <v>0.83333333333333337</v>
      </c>
      <c r="F196" s="180">
        <v>255304</v>
      </c>
      <c r="G196" s="179">
        <v>5.1045741903111418E-2</v>
      </c>
      <c r="H196" s="180">
        <v>121171.11606494954</v>
      </c>
      <c r="I196" s="180">
        <v>33641.251263753191</v>
      </c>
      <c r="J196" s="180" t="s">
        <v>1867</v>
      </c>
      <c r="K196" t="str">
        <f>VLOOKUP(Broadcast_BASE[[#This Row],[Broadcast Market]],Continent_Look_Up[],2,FALSE)</f>
        <v>Central &amp; South America</v>
      </c>
      <c r="L196" t="str">
        <f>IF(OR(Broadcast_BASE[[#This Row],[Broadcast Continent]]="Digital",Broadcast_BASE[[#This Row],[Programme Type]]="Digital"),"Y","N")</f>
        <v>N</v>
      </c>
      <c r="M196" s="4" t="str">
        <f>IF(ISNUMBER(SEARCH("Pan ",Broadcast_BASE[[#This Row],[Broadcast Market]]))=TRUE,"Y","N")</f>
        <v>Y</v>
      </c>
      <c r="N196" t="str">
        <f>VLOOKUP(CONCATENATE(Broadcast_BASE[[#This Row],[Broadcast Market]],Broadcast_BASE[[#This Row],[Broadcaster]]),Table1[[CC]:[Pay TV vs. Free-to-Air]],3,FALSE)</f>
        <v>Pay TV</v>
      </c>
      <c r="O196" s="1">
        <f>VLOOKUP(CONCATENATE(Broadcast_BASE[[#This Row],[Broadcast Market]],Broadcast_BASE[[#This Row],[Broadcaster]]),Table1[[CC]:[Pay TV vs. Free-to-Air]],2,FALSE)</f>
        <v>47600000</v>
      </c>
      <c r="P196" s="51">
        <f>Broadcast_BASE[[#This Row],[Rolex EXP]]*86400</f>
        <v>4410.3521004288268</v>
      </c>
      <c r="Q196" s="73" t="str">
        <f>IF(Broadcast_BASE[[#This Row],[Dashboard Rated?]]="No","N","Y")</f>
        <v>N</v>
      </c>
      <c r="R196" s="81"/>
      <c r="S196" s="81"/>
    </row>
    <row r="197" spans="1:19" x14ac:dyDescent="0.25">
      <c r="A197" s="72" t="e">
        <f>#REF!</f>
        <v>#REF!</v>
      </c>
      <c r="B197" s="178" t="s">
        <v>11</v>
      </c>
      <c r="C197" s="178" t="s">
        <v>184</v>
      </c>
      <c r="D197" s="178" t="s">
        <v>1644</v>
      </c>
      <c r="E197" s="179">
        <v>0.89583333333333337</v>
      </c>
      <c r="F197" s="180">
        <v>234434</v>
      </c>
      <c r="G197" s="179">
        <v>5.5063380569066733E-2</v>
      </c>
      <c r="H197" s="180">
        <v>58951.147510025148</v>
      </c>
      <c r="I197" s="180">
        <v>16857.634265801862</v>
      </c>
      <c r="J197" s="180" t="s">
        <v>1867</v>
      </c>
      <c r="K197" t="str">
        <f>VLOOKUP(Broadcast_BASE[[#This Row],[Broadcast Market]],Continent_Look_Up[],2,FALSE)</f>
        <v>Central &amp; South America</v>
      </c>
      <c r="L197" t="str">
        <f>IF(OR(Broadcast_BASE[[#This Row],[Broadcast Continent]]="Digital",Broadcast_BASE[[#This Row],[Programme Type]]="Digital"),"Y","N")</f>
        <v>N</v>
      </c>
      <c r="M197" s="4" t="str">
        <f>IF(ISNUMBER(SEARCH("Pan ",Broadcast_BASE[[#This Row],[Broadcast Market]]))=TRUE,"Y","N")</f>
        <v>Y</v>
      </c>
      <c r="N197" t="str">
        <f>VLOOKUP(CONCATENATE(Broadcast_BASE[[#This Row],[Broadcast Market]],Broadcast_BASE[[#This Row],[Broadcaster]]),Table1[[CC]:[Pay TV vs. Free-to-Air]],3,FALSE)</f>
        <v>Pay TV</v>
      </c>
      <c r="O197" s="1">
        <f>VLOOKUP(CONCATENATE(Broadcast_BASE[[#This Row],[Broadcast Market]],Broadcast_BASE[[#This Row],[Broadcaster]]),Table1[[CC]:[Pay TV vs. Free-to-Air]],2,FALSE)</f>
        <v>47600000</v>
      </c>
      <c r="P197" s="57">
        <f>Broadcast_BASE[[#This Row],[Rolex EXP]]*86400</f>
        <v>4757.4760811673659</v>
      </c>
      <c r="Q197" s="73" t="str">
        <f>IF(Broadcast_BASE[[#This Row],[Dashboard Rated?]]="No","N","Y")</f>
        <v>N</v>
      </c>
      <c r="R197" s="83"/>
      <c r="S197" s="83"/>
    </row>
    <row r="198" spans="1:19" x14ac:dyDescent="0.25">
      <c r="A198" s="72" t="e">
        <f>#REF!</f>
        <v>#REF!</v>
      </c>
      <c r="B198" s="178" t="s">
        <v>11</v>
      </c>
      <c r="C198" s="178" t="s">
        <v>185</v>
      </c>
      <c r="D198" s="178" t="s">
        <v>1642</v>
      </c>
      <c r="E198" s="179">
        <v>2.0833333333333332E-2</v>
      </c>
      <c r="F198" s="180">
        <v>19366</v>
      </c>
      <c r="G198" s="179">
        <v>1.1050021561017675E-3</v>
      </c>
      <c r="H198" s="180">
        <v>795.87527482015958</v>
      </c>
      <c r="I198" s="180">
        <v>238.78335284956154</v>
      </c>
      <c r="J198" s="180" t="s">
        <v>1867</v>
      </c>
      <c r="K198" t="str">
        <f>VLOOKUP(Broadcast_BASE[[#This Row],[Broadcast Market]],Continent_Look_Up[],2,FALSE)</f>
        <v>Central &amp; South America</v>
      </c>
      <c r="L198" t="str">
        <f>IF(OR(Broadcast_BASE[[#This Row],[Broadcast Continent]]="Digital",Broadcast_BASE[[#This Row],[Programme Type]]="Digital"),"Y","N")</f>
        <v>N</v>
      </c>
      <c r="M198" s="4" t="str">
        <f>IF(ISNUMBER(SEARCH("Pan ",Broadcast_BASE[[#This Row],[Broadcast Market]]))=TRUE,"Y","N")</f>
        <v>Y</v>
      </c>
      <c r="N198" t="str">
        <f>VLOOKUP(CONCATENATE(Broadcast_BASE[[#This Row],[Broadcast Market]],Broadcast_BASE[[#This Row],[Broadcaster]]),Table1[[CC]:[Pay TV vs. Free-to-Air]],3,FALSE)</f>
        <v>Pay TV</v>
      </c>
      <c r="O198" s="1">
        <f>VLOOKUP(CONCATENATE(Broadcast_BASE[[#This Row],[Broadcast Market]],Broadcast_BASE[[#This Row],[Broadcaster]]),Table1[[CC]:[Pay TV vs. Free-to-Air]],2,FALSE)</f>
        <v>47600000</v>
      </c>
      <c r="P198" s="57">
        <f>Broadcast_BASE[[#This Row],[Rolex EXP]]*86400</f>
        <v>95.472186287192713</v>
      </c>
      <c r="Q198" s="73" t="str">
        <f>IF(Broadcast_BASE[[#This Row],[Dashboard Rated?]]="No","N","Y")</f>
        <v>N</v>
      </c>
      <c r="R198" s="81"/>
      <c r="S198" s="81"/>
    </row>
    <row r="199" spans="1:19" x14ac:dyDescent="0.25">
      <c r="A199" s="72" t="e">
        <f>#REF!</f>
        <v>#REF!</v>
      </c>
      <c r="B199" s="178" t="s">
        <v>11</v>
      </c>
      <c r="C199" s="178" t="s">
        <v>185</v>
      </c>
      <c r="D199" s="178" t="s">
        <v>1643</v>
      </c>
      <c r="E199" s="179">
        <v>2.3229166666666665</v>
      </c>
      <c r="F199" s="180">
        <v>838599</v>
      </c>
      <c r="G199" s="179">
        <v>0.1523704187332455</v>
      </c>
      <c r="H199" s="180">
        <v>386743.55594084534</v>
      </c>
      <c r="I199" s="180">
        <v>109615.07327495735</v>
      </c>
      <c r="J199" s="180" t="s">
        <v>1867</v>
      </c>
      <c r="K199" t="str">
        <f>VLOOKUP(Broadcast_BASE[[#This Row],[Broadcast Market]],Continent_Look_Up[],2,FALSE)</f>
        <v>Central &amp; South America</v>
      </c>
      <c r="L199" t="str">
        <f>IF(OR(Broadcast_BASE[[#This Row],[Broadcast Continent]]="Digital",Broadcast_BASE[[#This Row],[Programme Type]]="Digital"),"Y","N")</f>
        <v>N</v>
      </c>
      <c r="M199" s="4" t="str">
        <f>IF(ISNUMBER(SEARCH("Pan ",Broadcast_BASE[[#This Row],[Broadcast Market]]))=TRUE,"Y","N")</f>
        <v>Y</v>
      </c>
      <c r="N199" t="str">
        <f>VLOOKUP(CONCATENATE(Broadcast_BASE[[#This Row],[Broadcast Market]],Broadcast_BASE[[#This Row],[Broadcaster]]),Table1[[CC]:[Pay TV vs. Free-to-Air]],3,FALSE)</f>
        <v>Pay TV</v>
      </c>
      <c r="O199" s="1">
        <f>VLOOKUP(CONCATENATE(Broadcast_BASE[[#This Row],[Broadcast Market]],Broadcast_BASE[[#This Row],[Broadcaster]]),Table1[[CC]:[Pay TV vs. Free-to-Air]],2,FALSE)</f>
        <v>47600000</v>
      </c>
      <c r="P199" s="57">
        <f>Broadcast_BASE[[#This Row],[Rolex EXP]]*86400</f>
        <v>13164.804178552411</v>
      </c>
      <c r="Q199" s="73" t="str">
        <f>IF(Broadcast_BASE[[#This Row],[Dashboard Rated?]]="No","N","Y")</f>
        <v>N</v>
      </c>
      <c r="R199" s="81"/>
      <c r="S199" s="81"/>
    </row>
    <row r="200" spans="1:19" x14ac:dyDescent="0.25">
      <c r="A200" s="72" t="e">
        <f>#REF!</f>
        <v>#REF!</v>
      </c>
      <c r="B200" s="178" t="s">
        <v>11</v>
      </c>
      <c r="C200" s="178" t="s">
        <v>185</v>
      </c>
      <c r="D200" s="178" t="s">
        <v>1644</v>
      </c>
      <c r="E200" s="179">
        <v>0.84722222222222221</v>
      </c>
      <c r="F200" s="180">
        <v>178752</v>
      </c>
      <c r="G200" s="179">
        <v>5.8988041800371739E-2</v>
      </c>
      <c r="H200" s="180">
        <v>56022.025760669712</v>
      </c>
      <c r="I200" s="180">
        <v>16113.529031178641</v>
      </c>
      <c r="J200" s="180" t="s">
        <v>1867</v>
      </c>
      <c r="K200" s="233" t="str">
        <f>VLOOKUP(Broadcast_BASE[[#This Row],[Broadcast Market]],Continent_Look_Up[],2,FALSE)</f>
        <v>Central &amp; South America</v>
      </c>
      <c r="L200" t="str">
        <f>IF(OR(Broadcast_BASE[[#This Row],[Broadcast Continent]]="Digital",Broadcast_BASE[[#This Row],[Programme Type]]="Digital"),"Y","N")</f>
        <v>N</v>
      </c>
      <c r="M200" s="4" t="str">
        <f>IF(ISNUMBER(SEARCH("Pan ",Broadcast_BASE[[#This Row],[Broadcast Market]]))=TRUE,"Y","N")</f>
        <v>Y</v>
      </c>
      <c r="N200" t="str">
        <f>VLOOKUP(CONCATENATE(Broadcast_BASE[[#This Row],[Broadcast Market]],Broadcast_BASE[[#This Row],[Broadcaster]]),Table1[[CC]:[Pay TV vs. Free-to-Air]],3,FALSE)</f>
        <v>Pay TV</v>
      </c>
      <c r="O200" s="1">
        <f>VLOOKUP(CONCATENATE(Broadcast_BASE[[#This Row],[Broadcast Market]],Broadcast_BASE[[#This Row],[Broadcaster]]),Table1[[CC]:[Pay TV vs. Free-to-Air]],2,FALSE)</f>
        <v>47600000</v>
      </c>
      <c r="P200" s="234">
        <f>Broadcast_BASE[[#This Row],[Rolex EXP]]*86400</f>
        <v>5096.5668115521185</v>
      </c>
      <c r="Q200" s="235" t="str">
        <f>IF(Broadcast_BASE[[#This Row],[Dashboard Rated?]]="No","N","Y")</f>
        <v>N</v>
      </c>
      <c r="R200" s="236"/>
      <c r="S200" s="236"/>
    </row>
    <row r="201" spans="1:19" x14ac:dyDescent="0.25">
      <c r="A201" s="72" t="e">
        <f>#REF!</f>
        <v>#REF!</v>
      </c>
      <c r="B201" s="178" t="s">
        <v>11</v>
      </c>
      <c r="C201" s="178" t="s">
        <v>186</v>
      </c>
      <c r="D201" s="178" t="s">
        <v>1643</v>
      </c>
      <c r="E201" s="179">
        <v>1.8125</v>
      </c>
      <c r="F201" s="180">
        <v>710947</v>
      </c>
      <c r="G201" s="179">
        <v>0.11625486264763797</v>
      </c>
      <c r="H201" s="180">
        <v>303561.58378574584</v>
      </c>
      <c r="I201" s="180">
        <v>85256.451372206153</v>
      </c>
      <c r="J201" s="180" t="s">
        <v>1867</v>
      </c>
      <c r="K201" s="233" t="str">
        <f>VLOOKUP(Broadcast_BASE[[#This Row],[Broadcast Market]],Continent_Look_Up[],2,FALSE)</f>
        <v>Central &amp; South America</v>
      </c>
      <c r="L201" t="str">
        <f>IF(OR(Broadcast_BASE[[#This Row],[Broadcast Continent]]="Digital",Broadcast_BASE[[#This Row],[Programme Type]]="Digital"),"Y","N")</f>
        <v>N</v>
      </c>
      <c r="M201" s="4" t="str">
        <f>IF(ISNUMBER(SEARCH("Pan ",Broadcast_BASE[[#This Row],[Broadcast Market]]))=TRUE,"Y","N")</f>
        <v>Y</v>
      </c>
      <c r="N201" t="str">
        <f>VLOOKUP(CONCATENATE(Broadcast_BASE[[#This Row],[Broadcast Market]],Broadcast_BASE[[#This Row],[Broadcaster]]),Table1[[CC]:[Pay TV vs. Free-to-Air]],3,FALSE)</f>
        <v>Pay TV</v>
      </c>
      <c r="O201" s="1">
        <f>VLOOKUP(CONCATENATE(Broadcast_BASE[[#This Row],[Broadcast Market]],Broadcast_BASE[[#This Row],[Broadcaster]]),Table1[[CC]:[Pay TV vs. Free-to-Air]],2,FALSE)</f>
        <v>47600000</v>
      </c>
      <c r="P201" s="234">
        <f>Broadcast_BASE[[#This Row],[Rolex EXP]]*86400</f>
        <v>10044.42013275592</v>
      </c>
      <c r="Q201" s="235" t="str">
        <f>IF(Broadcast_BASE[[#This Row],[Dashboard Rated?]]="No","N","Y")</f>
        <v>N</v>
      </c>
      <c r="R201" s="236"/>
      <c r="S201" s="236"/>
    </row>
    <row r="202" spans="1:19" x14ac:dyDescent="0.25">
      <c r="A202" s="72" t="e">
        <f>#REF!</f>
        <v>#REF!</v>
      </c>
      <c r="B202" s="178" t="s">
        <v>11</v>
      </c>
      <c r="C202" s="178" t="s">
        <v>186</v>
      </c>
      <c r="D202" s="178" t="s">
        <v>1644</v>
      </c>
      <c r="E202" s="179">
        <v>0.35416666666666669</v>
      </c>
      <c r="F202" s="180">
        <v>102144</v>
      </c>
      <c r="G202" s="179">
        <v>2.3085538803348991E-2</v>
      </c>
      <c r="H202" s="180">
        <v>21924.759833814438</v>
      </c>
      <c r="I202" s="180">
        <v>6235.9881892738231</v>
      </c>
      <c r="J202" s="180" t="s">
        <v>1867</v>
      </c>
      <c r="K202" s="233" t="str">
        <f>VLOOKUP(Broadcast_BASE[[#This Row],[Broadcast Market]],Continent_Look_Up[],2,FALSE)</f>
        <v>Central &amp; South America</v>
      </c>
      <c r="L202" t="str">
        <f>IF(OR(Broadcast_BASE[[#This Row],[Broadcast Continent]]="Digital",Broadcast_BASE[[#This Row],[Programme Type]]="Digital"),"Y","N")</f>
        <v>N</v>
      </c>
      <c r="M202" s="4" t="str">
        <f>IF(ISNUMBER(SEARCH("Pan ",Broadcast_BASE[[#This Row],[Broadcast Market]]))=TRUE,"Y","N")</f>
        <v>Y</v>
      </c>
      <c r="N202" t="str">
        <f>VLOOKUP(CONCATENATE(Broadcast_BASE[[#This Row],[Broadcast Market]],Broadcast_BASE[[#This Row],[Broadcaster]]),Table1[[CC]:[Pay TV vs. Free-to-Air]],3,FALSE)</f>
        <v>Pay TV</v>
      </c>
      <c r="O202" s="1">
        <f>VLOOKUP(CONCATENATE(Broadcast_BASE[[#This Row],[Broadcast Market]],Broadcast_BASE[[#This Row],[Broadcaster]]),Table1[[CC]:[Pay TV vs. Free-to-Air]],2,FALSE)</f>
        <v>47600000</v>
      </c>
      <c r="P202" s="234">
        <f>Broadcast_BASE[[#This Row],[Rolex EXP]]*86400</f>
        <v>1994.5905526093527</v>
      </c>
      <c r="Q202" s="235" t="str">
        <f>IF(Broadcast_BASE[[#This Row],[Dashboard Rated?]]="No","N","Y")</f>
        <v>N</v>
      </c>
      <c r="R202" s="236"/>
      <c r="S202" s="236"/>
    </row>
    <row r="203" spans="1:19" x14ac:dyDescent="0.25">
      <c r="A203" s="72" t="e">
        <f>#REF!</f>
        <v>#REF!</v>
      </c>
      <c r="B203" s="178" t="s">
        <v>24</v>
      </c>
      <c r="C203" s="178" t="s">
        <v>268</v>
      </c>
      <c r="D203" s="178" t="s">
        <v>1642</v>
      </c>
      <c r="E203" s="179">
        <v>0.95768518518518508</v>
      </c>
      <c r="F203" s="180">
        <v>2995135</v>
      </c>
      <c r="G203" s="179">
        <v>7.3111209118827666E-2</v>
      </c>
      <c r="H203" s="180">
        <v>296207.66321029636</v>
      </c>
      <c r="I203" s="180">
        <v>84394.73930267604</v>
      </c>
      <c r="J203" s="180" t="s">
        <v>1867</v>
      </c>
      <c r="K203" s="233" t="str">
        <f>VLOOKUP(Broadcast_BASE[[#This Row],[Broadcast Market]],Continent_Look_Up[],2,FALSE)</f>
        <v>Europe</v>
      </c>
      <c r="L203" t="str">
        <f>IF(OR(Broadcast_BASE[[#This Row],[Broadcast Continent]]="Digital",Broadcast_BASE[[#This Row],[Programme Type]]="Digital"),"Y","N")</f>
        <v>N</v>
      </c>
      <c r="M203" s="4" t="str">
        <f>IF(ISNUMBER(SEARCH("Pan ",Broadcast_BASE[[#This Row],[Broadcast Market]]))=TRUE,"Y","N")</f>
        <v>Y</v>
      </c>
      <c r="N203" t="str">
        <f>VLOOKUP(CONCATENATE(Broadcast_BASE[[#This Row],[Broadcast Market]],Broadcast_BASE[[#This Row],[Broadcaster]]),Table1[[CC]:[Pay TV vs. Free-to-Air]],3,FALSE)</f>
        <v>Pay TV</v>
      </c>
      <c r="O203" s="1">
        <f>VLOOKUP(CONCATENATE(Broadcast_BASE[[#This Row],[Broadcast Market]],Broadcast_BASE[[#This Row],[Broadcaster]]),Table1[[CC]:[Pay TV vs. Free-to-Air]],2,FALSE)</f>
        <v>75200000</v>
      </c>
      <c r="P203" s="234">
        <f>Broadcast_BASE[[#This Row],[Rolex EXP]]*86400</f>
        <v>6316.8084678667101</v>
      </c>
      <c r="Q203" s="235" t="str">
        <f>IF(Broadcast_BASE[[#This Row],[Dashboard Rated?]]="No","N","Y")</f>
        <v>N</v>
      </c>
      <c r="R203" s="236"/>
      <c r="S203" s="236"/>
    </row>
    <row r="204" spans="1:19" x14ac:dyDescent="0.25">
      <c r="A204" s="72" t="e">
        <f>#REF!</f>
        <v>#REF!</v>
      </c>
      <c r="B204" s="178" t="s">
        <v>24</v>
      </c>
      <c r="C204" s="178" t="s">
        <v>268</v>
      </c>
      <c r="D204" s="178" t="s">
        <v>1643</v>
      </c>
      <c r="E204" s="179">
        <v>6.1838194444444454</v>
      </c>
      <c r="F204" s="180">
        <v>13070896</v>
      </c>
      <c r="G204" s="179">
        <v>0.50730299578459859</v>
      </c>
      <c r="H204" s="180">
        <v>4453187.1342976829</v>
      </c>
      <c r="I204" s="180">
        <v>1261984.7855912389</v>
      </c>
      <c r="J204" s="180" t="s">
        <v>1867</v>
      </c>
      <c r="K204" s="233" t="str">
        <f>VLOOKUP(Broadcast_BASE[[#This Row],[Broadcast Market]],Continent_Look_Up[],2,FALSE)</f>
        <v>Europe</v>
      </c>
      <c r="L204" t="str">
        <f>IF(OR(Broadcast_BASE[[#This Row],[Broadcast Continent]]="Digital",Broadcast_BASE[[#This Row],[Programme Type]]="Digital"),"Y","N")</f>
        <v>N</v>
      </c>
      <c r="M204" s="4" t="str">
        <f>IF(ISNUMBER(SEARCH("Pan ",Broadcast_BASE[[#This Row],[Broadcast Market]]))=TRUE,"Y","N")</f>
        <v>Y</v>
      </c>
      <c r="N204" t="str">
        <f>VLOOKUP(CONCATENATE(Broadcast_BASE[[#This Row],[Broadcast Market]],Broadcast_BASE[[#This Row],[Broadcaster]]),Table1[[CC]:[Pay TV vs. Free-to-Air]],3,FALSE)</f>
        <v>Pay TV</v>
      </c>
      <c r="O204" s="1">
        <f>VLOOKUP(CONCATENATE(Broadcast_BASE[[#This Row],[Broadcast Market]],Broadcast_BASE[[#This Row],[Broadcaster]]),Table1[[CC]:[Pay TV vs. Free-to-Air]],2,FALSE)</f>
        <v>75200000</v>
      </c>
      <c r="P204" s="234">
        <f>Broadcast_BASE[[#This Row],[Rolex EXP]]*86400</f>
        <v>43830.978835789319</v>
      </c>
      <c r="Q204" s="235" t="str">
        <f>IF(Broadcast_BASE[[#This Row],[Dashboard Rated?]]="No","N","Y")</f>
        <v>N</v>
      </c>
      <c r="R204" s="236"/>
      <c r="S204" s="236"/>
    </row>
    <row r="205" spans="1:19" x14ac:dyDescent="0.25">
      <c r="A205" s="72" t="e">
        <f>#REF!</f>
        <v>#REF!</v>
      </c>
      <c r="B205" s="178" t="s">
        <v>24</v>
      </c>
      <c r="C205" s="178" t="s">
        <v>268</v>
      </c>
      <c r="D205" s="178" t="s">
        <v>1644</v>
      </c>
      <c r="E205" s="179">
        <v>1.6181365740740743</v>
      </c>
      <c r="F205" s="180">
        <v>2109715</v>
      </c>
      <c r="G205" s="179">
        <v>0.12189648582648725</v>
      </c>
      <c r="H205" s="180">
        <v>455749.62740644231</v>
      </c>
      <c r="I205" s="180">
        <v>132049.01398142919</v>
      </c>
      <c r="J205" s="180" t="s">
        <v>1867</v>
      </c>
      <c r="K205" s="233" t="str">
        <f>VLOOKUP(Broadcast_BASE[[#This Row],[Broadcast Market]],Continent_Look_Up[],2,FALSE)</f>
        <v>Europe</v>
      </c>
      <c r="L205" t="str">
        <f>IF(OR(Broadcast_BASE[[#This Row],[Broadcast Continent]]="Digital",Broadcast_BASE[[#This Row],[Programme Type]]="Digital"),"Y","N")</f>
        <v>N</v>
      </c>
      <c r="M205" s="4" t="str">
        <f>IF(ISNUMBER(SEARCH("Pan ",Broadcast_BASE[[#This Row],[Broadcast Market]]))=TRUE,"Y","N")</f>
        <v>Y</v>
      </c>
      <c r="N205" t="str">
        <f>VLOOKUP(CONCATENATE(Broadcast_BASE[[#This Row],[Broadcast Market]],Broadcast_BASE[[#This Row],[Broadcaster]]),Table1[[CC]:[Pay TV vs. Free-to-Air]],3,FALSE)</f>
        <v>Pay TV</v>
      </c>
      <c r="O205" s="1">
        <f>VLOOKUP(CONCATENATE(Broadcast_BASE[[#This Row],[Broadcast Market]],Broadcast_BASE[[#This Row],[Broadcaster]]),Table1[[CC]:[Pay TV vs. Free-to-Air]],2,FALSE)</f>
        <v>75200000</v>
      </c>
      <c r="P205" s="234">
        <f>Broadcast_BASE[[#This Row],[Rolex EXP]]*86400</f>
        <v>10531.856375408499</v>
      </c>
      <c r="Q205" s="235" t="str">
        <f>IF(Broadcast_BASE[[#This Row],[Dashboard Rated?]]="No","N","Y")</f>
        <v>N</v>
      </c>
      <c r="R205" s="236"/>
      <c r="S205" s="236"/>
    </row>
    <row r="206" spans="1:19" x14ac:dyDescent="0.25">
      <c r="A206" s="72" t="e">
        <f>#REF!</f>
        <v>#REF!</v>
      </c>
      <c r="B206" s="178" t="s">
        <v>24</v>
      </c>
      <c r="C206" s="178" t="s">
        <v>269</v>
      </c>
      <c r="D206" s="178" t="s">
        <v>1642</v>
      </c>
      <c r="E206" s="179">
        <v>0.83843749999999995</v>
      </c>
      <c r="F206" s="180">
        <v>1918900</v>
      </c>
      <c r="G206" s="179">
        <v>6.5951216212620456E-2</v>
      </c>
      <c r="H206" s="180">
        <v>204337.02030260308</v>
      </c>
      <c r="I206" s="180">
        <v>58457.551142343364</v>
      </c>
      <c r="J206" s="180" t="s">
        <v>1867</v>
      </c>
      <c r="K206" s="233" t="str">
        <f>VLOOKUP(Broadcast_BASE[[#This Row],[Broadcast Market]],Continent_Look_Up[],2,FALSE)</f>
        <v>Europe</v>
      </c>
      <c r="L206" t="str">
        <f>IF(OR(Broadcast_BASE[[#This Row],[Broadcast Continent]]="Digital",Broadcast_BASE[[#This Row],[Programme Type]]="Digital"),"Y","N")</f>
        <v>N</v>
      </c>
      <c r="M206" s="4" t="str">
        <f>IF(ISNUMBER(SEARCH("Pan ",Broadcast_BASE[[#This Row],[Broadcast Market]]))=TRUE,"Y","N")</f>
        <v>Y</v>
      </c>
      <c r="N206" t="str">
        <f>VLOOKUP(CONCATENATE(Broadcast_BASE[[#This Row],[Broadcast Market]],Broadcast_BASE[[#This Row],[Broadcaster]]),Table1[[CC]:[Pay TV vs. Free-to-Air]],3,FALSE)</f>
        <v>Pay TV</v>
      </c>
      <c r="O206" s="1">
        <f>VLOOKUP(CONCATENATE(Broadcast_BASE[[#This Row],[Broadcast Market]],Broadcast_BASE[[#This Row],[Broadcaster]]),Table1[[CC]:[Pay TV vs. Free-to-Air]],2,FALSE)</f>
        <v>75200000</v>
      </c>
      <c r="P206" s="234">
        <f>Broadcast_BASE[[#This Row],[Rolex EXP]]*86400</f>
        <v>5698.1850807704077</v>
      </c>
      <c r="Q206" s="235" t="str">
        <f>IF(Broadcast_BASE[[#This Row],[Dashboard Rated?]]="No","N","Y")</f>
        <v>N</v>
      </c>
      <c r="R206" s="236"/>
      <c r="S206" s="236"/>
    </row>
    <row r="207" spans="1:19" x14ac:dyDescent="0.25">
      <c r="A207" s="72" t="e">
        <f>#REF!</f>
        <v>#REF!</v>
      </c>
      <c r="B207" s="178" t="s">
        <v>24</v>
      </c>
      <c r="C207" s="178" t="s">
        <v>269</v>
      </c>
      <c r="D207" s="178" t="s">
        <v>1643</v>
      </c>
      <c r="E207" s="179">
        <v>3.0458796296296295</v>
      </c>
      <c r="F207" s="180">
        <v>6028551</v>
      </c>
      <c r="G207" s="179">
        <v>0.25179070981041834</v>
      </c>
      <c r="H207" s="180">
        <v>1887597.6183863727</v>
      </c>
      <c r="I207" s="180">
        <v>566377.20412267605</v>
      </c>
      <c r="J207" s="180" t="s">
        <v>1867</v>
      </c>
      <c r="K207" s="233" t="str">
        <f>VLOOKUP(Broadcast_BASE[[#This Row],[Broadcast Market]],Continent_Look_Up[],2,FALSE)</f>
        <v>Europe</v>
      </c>
      <c r="L207" t="str">
        <f>IF(OR(Broadcast_BASE[[#This Row],[Broadcast Continent]]="Digital",Broadcast_BASE[[#This Row],[Programme Type]]="Digital"),"Y","N")</f>
        <v>N</v>
      </c>
      <c r="M207" s="4" t="str">
        <f>IF(ISNUMBER(SEARCH("Pan ",Broadcast_BASE[[#This Row],[Broadcast Market]]))=TRUE,"Y","N")</f>
        <v>Y</v>
      </c>
      <c r="N207" t="str">
        <f>VLOOKUP(CONCATENATE(Broadcast_BASE[[#This Row],[Broadcast Market]],Broadcast_BASE[[#This Row],[Broadcaster]]),Table1[[CC]:[Pay TV vs. Free-to-Air]],3,FALSE)</f>
        <v>Pay TV</v>
      </c>
      <c r="O207" s="1">
        <f>VLOOKUP(CONCATENATE(Broadcast_BASE[[#This Row],[Broadcast Market]],Broadcast_BASE[[#This Row],[Broadcaster]]),Table1[[CC]:[Pay TV vs. Free-to-Air]],2,FALSE)</f>
        <v>75200000</v>
      </c>
      <c r="P207" s="234">
        <f>Broadcast_BASE[[#This Row],[Rolex EXP]]*86400</f>
        <v>21754.717327620147</v>
      </c>
      <c r="Q207" s="235" t="str">
        <f>IF(Broadcast_BASE[[#This Row],[Dashboard Rated?]]="No","N","Y")</f>
        <v>N</v>
      </c>
      <c r="R207" s="236"/>
      <c r="S207" s="236"/>
    </row>
    <row r="208" spans="1:19" x14ac:dyDescent="0.25">
      <c r="A208" s="72" t="e">
        <f>#REF!</f>
        <v>#REF!</v>
      </c>
      <c r="B208" s="178" t="s">
        <v>24</v>
      </c>
      <c r="C208" s="178" t="s">
        <v>269</v>
      </c>
      <c r="D208" s="178" t="s">
        <v>1644</v>
      </c>
      <c r="E208" s="179">
        <v>2.4179629629629633</v>
      </c>
      <c r="F208" s="180">
        <v>2374292</v>
      </c>
      <c r="G208" s="179">
        <v>0.18174330250067061</v>
      </c>
      <c r="H208" s="180">
        <v>509222.3163728381</v>
      </c>
      <c r="I208" s="180">
        <v>144412.43558630202</v>
      </c>
      <c r="J208" s="180" t="s">
        <v>1867</v>
      </c>
      <c r="K208" s="233" t="str">
        <f>VLOOKUP(Broadcast_BASE[[#This Row],[Broadcast Market]],Continent_Look_Up[],2,FALSE)</f>
        <v>Europe</v>
      </c>
      <c r="L208" t="str">
        <f>IF(OR(Broadcast_BASE[[#This Row],[Broadcast Continent]]="Digital",Broadcast_BASE[[#This Row],[Programme Type]]="Digital"),"Y","N")</f>
        <v>N</v>
      </c>
      <c r="M208" s="4" t="str">
        <f>IF(ISNUMBER(SEARCH("Pan ",Broadcast_BASE[[#This Row],[Broadcast Market]]))=TRUE,"Y","N")</f>
        <v>Y</v>
      </c>
      <c r="N208" t="str">
        <f>VLOOKUP(CONCATENATE(Broadcast_BASE[[#This Row],[Broadcast Market]],Broadcast_BASE[[#This Row],[Broadcaster]]),Table1[[CC]:[Pay TV vs. Free-to-Air]],3,FALSE)</f>
        <v>Pay TV</v>
      </c>
      <c r="O208" s="1">
        <f>VLOOKUP(CONCATENATE(Broadcast_BASE[[#This Row],[Broadcast Market]],Broadcast_BASE[[#This Row],[Broadcaster]]),Table1[[CC]:[Pay TV vs. Free-to-Air]],2,FALSE)</f>
        <v>75200000</v>
      </c>
      <c r="P208" s="234">
        <f>Broadcast_BASE[[#This Row],[Rolex EXP]]*86400</f>
        <v>15702.62133605794</v>
      </c>
      <c r="Q208" s="235" t="str">
        <f>IF(Broadcast_BASE[[#This Row],[Dashboard Rated?]]="No","N","Y")</f>
        <v>N</v>
      </c>
      <c r="R208" s="236"/>
      <c r="S208" s="236"/>
    </row>
    <row r="209" spans="1:19" x14ac:dyDescent="0.25">
      <c r="A209" s="72" t="e">
        <f>#REF!</f>
        <v>#REF!</v>
      </c>
      <c r="B209" s="178" t="s">
        <v>21</v>
      </c>
      <c r="C209" s="178" t="s">
        <v>1277</v>
      </c>
      <c r="D209" s="178" t="s">
        <v>1642</v>
      </c>
      <c r="E209" s="179">
        <v>2.0833333333333332E-2</v>
      </c>
      <c r="F209" s="180">
        <v>4852</v>
      </c>
      <c r="G209" s="179">
        <v>8.1594380089935234E-4</v>
      </c>
      <c r="H209" s="180">
        <v>55.303127819648203</v>
      </c>
      <c r="I209" s="180">
        <v>16.970096590225964</v>
      </c>
      <c r="J209" s="180" t="s">
        <v>1867</v>
      </c>
      <c r="K209" s="233" t="str">
        <f>VLOOKUP(Broadcast_BASE[[#This Row],[Broadcast Market]],Continent_Look_Up[],2,FALSE)</f>
        <v>Africa &amp; Middle East</v>
      </c>
      <c r="L209" t="str">
        <f>IF(OR(Broadcast_BASE[[#This Row],[Broadcast Continent]]="Digital",Broadcast_BASE[[#This Row],[Programme Type]]="Digital"),"Y","N")</f>
        <v>N</v>
      </c>
      <c r="M209" s="4" t="str">
        <f>IF(ISNUMBER(SEARCH("Pan ",Broadcast_BASE[[#This Row],[Broadcast Market]]))=TRUE,"Y","N")</f>
        <v>Y</v>
      </c>
      <c r="N209" t="str">
        <f>VLOOKUP(CONCATENATE(Broadcast_BASE[[#This Row],[Broadcast Market]],Broadcast_BASE[[#This Row],[Broadcaster]]),Table1[[CC]:[Pay TV vs. Free-to-Air]],3,FALSE)</f>
        <v>Pay TV</v>
      </c>
      <c r="O209" s="1">
        <f>VLOOKUP(CONCATENATE(Broadcast_BASE[[#This Row],[Broadcast Market]],Broadcast_BASE[[#This Row],[Broadcaster]]),Table1[[CC]:[Pay TV vs. Free-to-Air]],2,FALSE)</f>
        <v>2185000</v>
      </c>
      <c r="P209" s="234">
        <f>Broadcast_BASE[[#This Row],[Rolex EXP]]*86400</f>
        <v>70.497544397704047</v>
      </c>
      <c r="Q209" s="235" t="str">
        <f>IF(Broadcast_BASE[[#This Row],[Dashboard Rated?]]="No","N","Y")</f>
        <v>N</v>
      </c>
      <c r="R209" s="236"/>
      <c r="S209" s="236"/>
    </row>
    <row r="210" spans="1:19" x14ac:dyDescent="0.25">
      <c r="A210" s="72" t="e">
        <f>#REF!</f>
        <v>#REF!</v>
      </c>
      <c r="B210" s="178" t="s">
        <v>21</v>
      </c>
      <c r="C210" s="178" t="s">
        <v>1278</v>
      </c>
      <c r="D210" s="178" t="s">
        <v>1643</v>
      </c>
      <c r="E210" s="179">
        <v>0.18402777777777779</v>
      </c>
      <c r="F210" s="180">
        <v>38050</v>
      </c>
      <c r="G210" s="179">
        <v>6.6351459496039183E-3</v>
      </c>
      <c r="H210" s="180">
        <v>1710.2781634942553</v>
      </c>
      <c r="I210" s="180">
        <v>427.07791424101259</v>
      </c>
      <c r="J210" s="180" t="s">
        <v>1867</v>
      </c>
      <c r="K210" s="233" t="str">
        <f>VLOOKUP(Broadcast_BASE[[#This Row],[Broadcast Market]],Continent_Look_Up[],2,FALSE)</f>
        <v>Africa &amp; Middle East</v>
      </c>
      <c r="L210" t="str">
        <f>IF(OR(Broadcast_BASE[[#This Row],[Broadcast Continent]]="Digital",Broadcast_BASE[[#This Row],[Programme Type]]="Digital"),"Y","N")</f>
        <v>N</v>
      </c>
      <c r="M210" s="4" t="str">
        <f>IF(ISNUMBER(SEARCH("Pan ",Broadcast_BASE[[#This Row],[Broadcast Market]]))=TRUE,"Y","N")</f>
        <v>Y</v>
      </c>
      <c r="N210" t="str">
        <f>VLOOKUP(CONCATENATE(Broadcast_BASE[[#This Row],[Broadcast Market]],Broadcast_BASE[[#This Row],[Broadcaster]]),Table1[[CC]:[Pay TV vs. Free-to-Air]],3,FALSE)</f>
        <v>Pay TV</v>
      </c>
      <c r="O210" s="1">
        <f>VLOOKUP(CONCATENATE(Broadcast_BASE[[#This Row],[Broadcast Market]],Broadcast_BASE[[#This Row],[Broadcaster]]),Table1[[CC]:[Pay TV vs. Free-to-Air]],2,FALSE)</f>
        <v>2185000</v>
      </c>
      <c r="P210" s="234">
        <f>Broadcast_BASE[[#This Row],[Rolex EXP]]*86400</f>
        <v>573.27661004577851</v>
      </c>
      <c r="Q210" s="235" t="str">
        <f>IF(Broadcast_BASE[[#This Row],[Dashboard Rated?]]="No","N","Y")</f>
        <v>N</v>
      </c>
      <c r="R210" s="236"/>
      <c r="S210" s="236"/>
    </row>
    <row r="211" spans="1:19" x14ac:dyDescent="0.25">
      <c r="A211" s="72" t="e">
        <f>#REF!</f>
        <v>#REF!</v>
      </c>
      <c r="B211" s="178" t="s">
        <v>21</v>
      </c>
      <c r="C211" s="178" t="s">
        <v>1278</v>
      </c>
      <c r="D211" s="178" t="s">
        <v>1644</v>
      </c>
      <c r="E211" s="179">
        <v>0.16666666666666666</v>
      </c>
      <c r="F211" s="180">
        <v>12796</v>
      </c>
      <c r="G211" s="179">
        <v>5.9313445478124992E-3</v>
      </c>
      <c r="H211" s="180">
        <v>530.11005716421789</v>
      </c>
      <c r="I211" s="180">
        <v>133.14171555866645</v>
      </c>
      <c r="J211" s="180" t="s">
        <v>1867</v>
      </c>
      <c r="K211" s="233" t="str">
        <f>VLOOKUP(Broadcast_BASE[[#This Row],[Broadcast Market]],Continent_Look_Up[],2,FALSE)</f>
        <v>Africa &amp; Middle East</v>
      </c>
      <c r="L211" t="str">
        <f>IF(OR(Broadcast_BASE[[#This Row],[Broadcast Continent]]="Digital",Broadcast_BASE[[#This Row],[Programme Type]]="Digital"),"Y","N")</f>
        <v>N</v>
      </c>
      <c r="M211" s="4" t="str">
        <f>IF(ISNUMBER(SEARCH("Pan ",Broadcast_BASE[[#This Row],[Broadcast Market]]))=TRUE,"Y","N")</f>
        <v>Y</v>
      </c>
      <c r="N211" t="str">
        <f>VLOOKUP(CONCATENATE(Broadcast_BASE[[#This Row],[Broadcast Market]],Broadcast_BASE[[#This Row],[Broadcaster]]),Table1[[CC]:[Pay TV vs. Free-to-Air]],3,FALSE)</f>
        <v>Pay TV</v>
      </c>
      <c r="O211" s="1">
        <f>VLOOKUP(CONCATENATE(Broadcast_BASE[[#This Row],[Broadcast Market]],Broadcast_BASE[[#This Row],[Broadcaster]]),Table1[[CC]:[Pay TV vs. Free-to-Air]],2,FALSE)</f>
        <v>2185000</v>
      </c>
      <c r="P211" s="234">
        <f>Broadcast_BASE[[#This Row],[Rolex EXP]]*86400</f>
        <v>512.46816893099992</v>
      </c>
      <c r="Q211" s="235" t="str">
        <f>IF(Broadcast_BASE[[#This Row],[Dashboard Rated?]]="No","N","Y")</f>
        <v>N</v>
      </c>
      <c r="R211" s="236"/>
      <c r="S211" s="236"/>
    </row>
    <row r="212" spans="1:19" x14ac:dyDescent="0.25">
      <c r="A212" s="72" t="e">
        <f>#REF!</f>
        <v>#REF!</v>
      </c>
      <c r="B212" s="178" t="s">
        <v>21</v>
      </c>
      <c r="C212" s="178" t="s">
        <v>1280</v>
      </c>
      <c r="D212" s="178" t="s">
        <v>1642</v>
      </c>
      <c r="E212" s="179">
        <v>3.0236111111111108</v>
      </c>
      <c r="F212" s="180">
        <v>804964</v>
      </c>
      <c r="G212" s="179">
        <v>0.2457078385390071</v>
      </c>
      <c r="H212" s="180">
        <v>19604.037966355245</v>
      </c>
      <c r="I212" s="180">
        <v>5516.5176423035091</v>
      </c>
      <c r="J212" s="180" t="s">
        <v>1867</v>
      </c>
      <c r="K212" s="233" t="str">
        <f>VLOOKUP(Broadcast_BASE[[#This Row],[Broadcast Market]],Continent_Look_Up[],2,FALSE)</f>
        <v>Africa &amp; Middle East</v>
      </c>
      <c r="L212" t="str">
        <f>IF(OR(Broadcast_BASE[[#This Row],[Broadcast Continent]]="Digital",Broadcast_BASE[[#This Row],[Programme Type]]="Digital"),"Y","N")</f>
        <v>N</v>
      </c>
      <c r="M212" s="4" t="str">
        <f>IF(ISNUMBER(SEARCH("Pan ",Broadcast_BASE[[#This Row],[Broadcast Market]]))=TRUE,"Y","N")</f>
        <v>Y</v>
      </c>
      <c r="N212" t="str">
        <f>VLOOKUP(CONCATENATE(Broadcast_BASE[[#This Row],[Broadcast Market]],Broadcast_BASE[[#This Row],[Broadcaster]]),Table1[[CC]:[Pay TV vs. Free-to-Air]],3,FALSE)</f>
        <v>Pay TV</v>
      </c>
      <c r="O212" s="1">
        <f>VLOOKUP(CONCATENATE(Broadcast_BASE[[#This Row],[Broadcast Market]],Broadcast_BASE[[#This Row],[Broadcaster]]),Table1[[CC]:[Pay TV vs. Free-to-Air]],2,FALSE)</f>
        <v>2185000</v>
      </c>
      <c r="P212" s="234">
        <f>Broadcast_BASE[[#This Row],[Rolex EXP]]*86400</f>
        <v>21229.157249770215</v>
      </c>
      <c r="Q212" s="235" t="str">
        <f>IF(Broadcast_BASE[[#This Row],[Dashboard Rated?]]="No","N","Y")</f>
        <v>N</v>
      </c>
      <c r="R212" s="236"/>
      <c r="S212" s="236"/>
    </row>
    <row r="213" spans="1:19" x14ac:dyDescent="0.25">
      <c r="A213" s="72" t="e">
        <f>#REF!</f>
        <v>#REF!</v>
      </c>
      <c r="B213" s="178" t="s">
        <v>21</v>
      </c>
      <c r="C213" s="178" t="s">
        <v>1280</v>
      </c>
      <c r="D213" s="178" t="s">
        <v>1643</v>
      </c>
      <c r="E213" s="179">
        <v>4.5368055555555555</v>
      </c>
      <c r="F213" s="180">
        <v>1114540</v>
      </c>
      <c r="G213" s="179">
        <v>0.37192485825731553</v>
      </c>
      <c r="H213" s="180">
        <v>109651.3621384713</v>
      </c>
      <c r="I213" s="180">
        <v>30659.814745212574</v>
      </c>
      <c r="J213" s="180" t="s">
        <v>1867</v>
      </c>
      <c r="K213" s="233" t="str">
        <f>VLOOKUP(Broadcast_BASE[[#This Row],[Broadcast Market]],Continent_Look_Up[],2,FALSE)</f>
        <v>Africa &amp; Middle East</v>
      </c>
      <c r="L213" t="str">
        <f>IF(OR(Broadcast_BASE[[#This Row],[Broadcast Continent]]="Digital",Broadcast_BASE[[#This Row],[Programme Type]]="Digital"),"Y","N")</f>
        <v>N</v>
      </c>
      <c r="M213" s="4" t="str">
        <f>IF(ISNUMBER(SEARCH("Pan ",Broadcast_BASE[[#This Row],[Broadcast Market]]))=TRUE,"Y","N")</f>
        <v>Y</v>
      </c>
      <c r="N213" t="str">
        <f>VLOOKUP(CONCATENATE(Broadcast_BASE[[#This Row],[Broadcast Market]],Broadcast_BASE[[#This Row],[Broadcaster]]),Table1[[CC]:[Pay TV vs. Free-to-Air]],3,FALSE)</f>
        <v>Pay TV</v>
      </c>
      <c r="O213" s="1">
        <f>VLOOKUP(CONCATENATE(Broadcast_BASE[[#This Row],[Broadcast Market]],Broadcast_BASE[[#This Row],[Broadcaster]]),Table1[[CC]:[Pay TV vs. Free-to-Air]],2,FALSE)</f>
        <v>2185000</v>
      </c>
      <c r="P213" s="234">
        <f>Broadcast_BASE[[#This Row],[Rolex EXP]]*86400</f>
        <v>32134.307753432062</v>
      </c>
      <c r="Q213" s="235" t="str">
        <f>IF(Broadcast_BASE[[#This Row],[Dashboard Rated?]]="No","N","Y")</f>
        <v>N</v>
      </c>
      <c r="R213" s="236"/>
      <c r="S213" s="236"/>
    </row>
    <row r="214" spans="1:19" x14ac:dyDescent="0.25">
      <c r="A214" s="72" t="e">
        <f>#REF!</f>
        <v>#REF!</v>
      </c>
      <c r="B214" s="178" t="s">
        <v>21</v>
      </c>
      <c r="C214" s="178" t="s">
        <v>1280</v>
      </c>
      <c r="D214" s="178" t="s">
        <v>1644</v>
      </c>
      <c r="E214" s="179">
        <v>6.1923611111111114</v>
      </c>
      <c r="F214" s="180">
        <v>443963</v>
      </c>
      <c r="G214" s="179">
        <v>0.51105963648822716</v>
      </c>
      <c r="H214" s="180">
        <v>46449.908031471838</v>
      </c>
      <c r="I214" s="180">
        <v>13077.748304374809</v>
      </c>
      <c r="J214" s="180" t="s">
        <v>1867</v>
      </c>
      <c r="K214" s="233" t="str">
        <f>VLOOKUP(Broadcast_BASE[[#This Row],[Broadcast Market]],Continent_Look_Up[],2,FALSE)</f>
        <v>Africa &amp; Middle East</v>
      </c>
      <c r="L214" t="str">
        <f>IF(OR(Broadcast_BASE[[#This Row],[Broadcast Continent]]="Digital",Broadcast_BASE[[#This Row],[Programme Type]]="Digital"),"Y","N")</f>
        <v>N</v>
      </c>
      <c r="M214" s="4" t="str">
        <f>IF(ISNUMBER(SEARCH("Pan ",Broadcast_BASE[[#This Row],[Broadcast Market]]))=TRUE,"Y","N")</f>
        <v>Y</v>
      </c>
      <c r="N214" t="str">
        <f>VLOOKUP(CONCATENATE(Broadcast_BASE[[#This Row],[Broadcast Market]],Broadcast_BASE[[#This Row],[Broadcaster]]),Table1[[CC]:[Pay TV vs. Free-to-Air]],3,FALSE)</f>
        <v>Pay TV</v>
      </c>
      <c r="O214" s="1">
        <f>VLOOKUP(CONCATENATE(Broadcast_BASE[[#This Row],[Broadcast Market]],Broadcast_BASE[[#This Row],[Broadcaster]]),Table1[[CC]:[Pay TV vs. Free-to-Air]],2,FALSE)</f>
        <v>2185000</v>
      </c>
      <c r="P214" s="234">
        <f>Broadcast_BASE[[#This Row],[Rolex EXP]]*86400</f>
        <v>44155.552592582826</v>
      </c>
      <c r="Q214" s="235" t="str">
        <f>IF(Broadcast_BASE[[#This Row],[Dashboard Rated?]]="No","N","Y")</f>
        <v>N</v>
      </c>
      <c r="R214" s="236"/>
      <c r="S214" s="236"/>
    </row>
    <row r="215" spans="1:19" x14ac:dyDescent="0.25">
      <c r="A215" s="72" t="e">
        <f>#REF!</f>
        <v>#REF!</v>
      </c>
      <c r="B215" s="178" t="s">
        <v>21</v>
      </c>
      <c r="C215" s="178" t="s">
        <v>1546</v>
      </c>
      <c r="D215" s="178" t="s">
        <v>1642</v>
      </c>
      <c r="E215" s="179">
        <v>0.95833333333333337</v>
      </c>
      <c r="F215" s="180">
        <v>227610</v>
      </c>
      <c r="G215" s="179">
        <v>8.9012442273201819E-2</v>
      </c>
      <c r="H215" s="180">
        <v>6109.020357660298</v>
      </c>
      <c r="I215" s="180">
        <v>1790.3604981762612</v>
      </c>
      <c r="J215" s="180" t="s">
        <v>1867</v>
      </c>
      <c r="K215" s="233" t="str">
        <f>VLOOKUP(Broadcast_BASE[[#This Row],[Broadcast Market]],Continent_Look_Up[],2,FALSE)</f>
        <v>Africa &amp; Middle East</v>
      </c>
      <c r="L215" t="str">
        <f>IF(OR(Broadcast_BASE[[#This Row],[Broadcast Continent]]="Digital",Broadcast_BASE[[#This Row],[Programme Type]]="Digital"),"Y","N")</f>
        <v>N</v>
      </c>
      <c r="M215" s="4" t="str">
        <f>IF(ISNUMBER(SEARCH("Pan ",Broadcast_BASE[[#This Row],[Broadcast Market]]))=TRUE,"Y","N")</f>
        <v>Y</v>
      </c>
      <c r="N215" t="str">
        <f>VLOOKUP(CONCATENATE(Broadcast_BASE[[#This Row],[Broadcast Market]],Broadcast_BASE[[#This Row],[Broadcaster]]),Table1[[CC]:[Pay TV vs. Free-to-Air]],3,FALSE)</f>
        <v>Pay TV</v>
      </c>
      <c r="O215" s="1">
        <f>VLOOKUP(CONCATENATE(Broadcast_BASE[[#This Row],[Broadcast Market]],Broadcast_BASE[[#This Row],[Broadcaster]]),Table1[[CC]:[Pay TV vs. Free-to-Air]],2,FALSE)</f>
        <v>2185000</v>
      </c>
      <c r="P215" s="234">
        <f>Broadcast_BASE[[#This Row],[Rolex EXP]]*86400</f>
        <v>7690.6750124046375</v>
      </c>
      <c r="Q215" s="235" t="str">
        <f>IF(Broadcast_BASE[[#This Row],[Dashboard Rated?]]="No","N","Y")</f>
        <v>N</v>
      </c>
      <c r="R215" s="236"/>
      <c r="S215" s="236"/>
    </row>
    <row r="216" spans="1:19" x14ac:dyDescent="0.25">
      <c r="A216" s="72" t="e">
        <f>#REF!</f>
        <v>#REF!</v>
      </c>
      <c r="B216" s="178" t="s">
        <v>21</v>
      </c>
      <c r="C216" s="178" t="s">
        <v>1546</v>
      </c>
      <c r="D216" s="178" t="s">
        <v>1643</v>
      </c>
      <c r="E216" s="179">
        <v>3.28125</v>
      </c>
      <c r="F216" s="180">
        <v>849616</v>
      </c>
      <c r="G216" s="179">
        <v>0.30808446918820021</v>
      </c>
      <c r="H216" s="180">
        <v>89755.239954765464</v>
      </c>
      <c r="I216" s="180">
        <v>27770.645500569641</v>
      </c>
      <c r="J216" s="180" t="s">
        <v>1867</v>
      </c>
      <c r="K216" s="233" t="str">
        <f>VLOOKUP(Broadcast_BASE[[#This Row],[Broadcast Market]],Continent_Look_Up[],2,FALSE)</f>
        <v>Africa &amp; Middle East</v>
      </c>
      <c r="L216" t="str">
        <f>IF(OR(Broadcast_BASE[[#This Row],[Broadcast Continent]]="Digital",Broadcast_BASE[[#This Row],[Programme Type]]="Digital"),"Y","N")</f>
        <v>N</v>
      </c>
      <c r="M216" s="4" t="str">
        <f>IF(ISNUMBER(SEARCH("Pan ",Broadcast_BASE[[#This Row],[Broadcast Market]]))=TRUE,"Y","N")</f>
        <v>Y</v>
      </c>
      <c r="N216" t="str">
        <f>VLOOKUP(CONCATENATE(Broadcast_BASE[[#This Row],[Broadcast Market]],Broadcast_BASE[[#This Row],[Broadcaster]]),Table1[[CC]:[Pay TV vs. Free-to-Air]],3,FALSE)</f>
        <v>Pay TV</v>
      </c>
      <c r="O216" s="1">
        <f>VLOOKUP(CONCATENATE(Broadcast_BASE[[#This Row],[Broadcast Market]],Broadcast_BASE[[#This Row],[Broadcaster]]),Table1[[CC]:[Pay TV vs. Free-to-Air]],2,FALSE)</f>
        <v>2185000</v>
      </c>
      <c r="P216" s="234">
        <f>Broadcast_BASE[[#This Row],[Rolex EXP]]*86400</f>
        <v>26618.498137860497</v>
      </c>
      <c r="Q216" s="235" t="str">
        <f>IF(Broadcast_BASE[[#This Row],[Dashboard Rated?]]="No","N","Y")</f>
        <v>N</v>
      </c>
      <c r="R216" s="236"/>
      <c r="S216" s="236"/>
    </row>
    <row r="217" spans="1:19" x14ac:dyDescent="0.25">
      <c r="A217" s="72" t="e">
        <f>#REF!</f>
        <v>#REF!</v>
      </c>
      <c r="B217" s="178" t="s">
        <v>21</v>
      </c>
      <c r="C217" s="178" t="s">
        <v>1546</v>
      </c>
      <c r="D217" s="178" t="s">
        <v>1644</v>
      </c>
      <c r="E217" s="179">
        <v>3.8826388888888892</v>
      </c>
      <c r="F217" s="180">
        <v>268716</v>
      </c>
      <c r="G217" s="179">
        <v>0.34602021181897752</v>
      </c>
      <c r="H217" s="180">
        <v>30925.331143506417</v>
      </c>
      <c r="I217" s="180">
        <v>9491.6661086640179</v>
      </c>
      <c r="J217" s="180" t="s">
        <v>1867</v>
      </c>
      <c r="K217" s="233" t="str">
        <f>VLOOKUP(Broadcast_BASE[[#This Row],[Broadcast Market]],Continent_Look_Up[],2,FALSE)</f>
        <v>Africa &amp; Middle East</v>
      </c>
      <c r="L217" t="str">
        <f>IF(OR(Broadcast_BASE[[#This Row],[Broadcast Continent]]="Digital",Broadcast_BASE[[#This Row],[Programme Type]]="Digital"),"Y","N")</f>
        <v>N</v>
      </c>
      <c r="M217" s="4" t="str">
        <f>IF(ISNUMBER(SEARCH("Pan ",Broadcast_BASE[[#This Row],[Broadcast Market]]))=TRUE,"Y","N")</f>
        <v>Y</v>
      </c>
      <c r="N217" t="str">
        <f>VLOOKUP(CONCATENATE(Broadcast_BASE[[#This Row],[Broadcast Market]],Broadcast_BASE[[#This Row],[Broadcaster]]),Table1[[CC]:[Pay TV vs. Free-to-Air]],3,FALSE)</f>
        <v>Pay TV</v>
      </c>
      <c r="O217" s="1">
        <f>VLOOKUP(CONCATENATE(Broadcast_BASE[[#This Row],[Broadcast Market]],Broadcast_BASE[[#This Row],[Broadcaster]]),Table1[[CC]:[Pay TV vs. Free-to-Air]],2,FALSE)</f>
        <v>2185000</v>
      </c>
      <c r="P217" s="234">
        <f>Broadcast_BASE[[#This Row],[Rolex EXP]]*86400</f>
        <v>29896.146301159657</v>
      </c>
      <c r="Q217" s="235" t="str">
        <f>IF(Broadcast_BASE[[#This Row],[Dashboard Rated?]]="No","N","Y")</f>
        <v>N</v>
      </c>
      <c r="R217" s="236"/>
      <c r="S217" s="236"/>
    </row>
    <row r="218" spans="1:19" x14ac:dyDescent="0.25">
      <c r="A218" s="72" t="e">
        <f>#REF!</f>
        <v>#REF!</v>
      </c>
      <c r="B218" s="178" t="s">
        <v>21</v>
      </c>
      <c r="C218" s="178" t="s">
        <v>1547</v>
      </c>
      <c r="D218" s="178" t="s">
        <v>1642</v>
      </c>
      <c r="E218" s="179">
        <v>4.1666666666666664E-2</v>
      </c>
      <c r="F218" s="180">
        <v>4852</v>
      </c>
      <c r="G218" s="179">
        <v>4.6139359698681793E-3</v>
      </c>
      <c r="H218" s="180">
        <v>312.7238547704431</v>
      </c>
      <c r="I218" s="180">
        <v>96.721684537284943</v>
      </c>
      <c r="J218" s="180" t="s">
        <v>1867</v>
      </c>
      <c r="K218" s="233" t="str">
        <f>VLOOKUP(Broadcast_BASE[[#This Row],[Broadcast Market]],Continent_Look_Up[],2,FALSE)</f>
        <v>Africa &amp; Middle East</v>
      </c>
      <c r="L218" t="str">
        <f>IF(OR(Broadcast_BASE[[#This Row],[Broadcast Continent]]="Digital",Broadcast_BASE[[#This Row],[Programme Type]]="Digital"),"Y","N")</f>
        <v>N</v>
      </c>
      <c r="M218" s="4" t="str">
        <f>IF(ISNUMBER(SEARCH("Pan ",Broadcast_BASE[[#This Row],[Broadcast Market]]))=TRUE,"Y","N")</f>
        <v>Y</v>
      </c>
      <c r="N218" t="str">
        <f>VLOOKUP(CONCATENATE(Broadcast_BASE[[#This Row],[Broadcast Market]],Broadcast_BASE[[#This Row],[Broadcaster]]),Table1[[CC]:[Pay TV vs. Free-to-Air]],3,FALSE)</f>
        <v>Pay TV</v>
      </c>
      <c r="O218" s="1">
        <f>VLOOKUP(CONCATENATE(Broadcast_BASE[[#This Row],[Broadcast Market]],Broadcast_BASE[[#This Row],[Broadcaster]]),Table1[[CC]:[Pay TV vs. Free-to-Air]],2,FALSE)</f>
        <v>2185000</v>
      </c>
      <c r="P218" s="234">
        <f>Broadcast_BASE[[#This Row],[Rolex EXP]]*86400</f>
        <v>398.64406779661067</v>
      </c>
      <c r="Q218" s="235" t="str">
        <f>IF(Broadcast_BASE[[#This Row],[Dashboard Rated?]]="No","N","Y")</f>
        <v>N</v>
      </c>
      <c r="R218" s="236"/>
      <c r="S218" s="236"/>
    </row>
    <row r="219" spans="1:19" x14ac:dyDescent="0.25">
      <c r="A219" s="72" t="e">
        <f>#REF!</f>
        <v>#REF!</v>
      </c>
      <c r="B219" s="178" t="s">
        <v>21</v>
      </c>
      <c r="C219" s="178" t="s">
        <v>1547</v>
      </c>
      <c r="D219" s="178" t="s">
        <v>1643</v>
      </c>
      <c r="E219" s="179">
        <v>2.6354166666666665</v>
      </c>
      <c r="F219" s="180">
        <v>640247</v>
      </c>
      <c r="G219" s="179">
        <v>0.15910608003842594</v>
      </c>
      <c r="H219" s="180">
        <v>47641.470289596131</v>
      </c>
      <c r="I219" s="180">
        <v>14073.065875638773</v>
      </c>
      <c r="J219" s="180" t="s">
        <v>1867</v>
      </c>
      <c r="K219" s="233" t="str">
        <f>VLOOKUP(Broadcast_BASE[[#This Row],[Broadcast Market]],Continent_Look_Up[],2,FALSE)</f>
        <v>Africa &amp; Middle East</v>
      </c>
      <c r="L219" t="str">
        <f>IF(OR(Broadcast_BASE[[#This Row],[Broadcast Continent]]="Digital",Broadcast_BASE[[#This Row],[Programme Type]]="Digital"),"Y","N")</f>
        <v>N</v>
      </c>
      <c r="M219" s="4" t="str">
        <f>IF(ISNUMBER(SEARCH("Pan ",Broadcast_BASE[[#This Row],[Broadcast Market]]))=TRUE,"Y","N")</f>
        <v>Y</v>
      </c>
      <c r="N219" t="str">
        <f>VLOOKUP(CONCATENATE(Broadcast_BASE[[#This Row],[Broadcast Market]],Broadcast_BASE[[#This Row],[Broadcaster]]),Table1[[CC]:[Pay TV vs. Free-to-Air]],3,FALSE)</f>
        <v>Pay TV</v>
      </c>
      <c r="O219" s="1">
        <f>VLOOKUP(CONCATENATE(Broadcast_BASE[[#This Row],[Broadcast Market]],Broadcast_BASE[[#This Row],[Broadcaster]]),Table1[[CC]:[Pay TV vs. Free-to-Air]],2,FALSE)</f>
        <v>2185000</v>
      </c>
      <c r="P219" s="234">
        <f>Broadcast_BASE[[#This Row],[Rolex EXP]]*86400</f>
        <v>13746.765315320001</v>
      </c>
      <c r="Q219" s="235" t="str">
        <f>IF(Broadcast_BASE[[#This Row],[Dashboard Rated?]]="No","N","Y")</f>
        <v>N</v>
      </c>
      <c r="R219" s="236"/>
      <c r="S219" s="236"/>
    </row>
    <row r="220" spans="1:19" x14ac:dyDescent="0.25">
      <c r="A220" s="72" t="e">
        <f>#REF!</f>
        <v>#REF!</v>
      </c>
      <c r="B220" s="178" t="s">
        <v>21</v>
      </c>
      <c r="C220" s="178" t="s">
        <v>1547</v>
      </c>
      <c r="D220" s="178" t="s">
        <v>1644</v>
      </c>
      <c r="E220" s="179">
        <v>2.4027777777777777</v>
      </c>
      <c r="F220" s="180">
        <v>172746</v>
      </c>
      <c r="G220" s="179">
        <v>0.16932578525601397</v>
      </c>
      <c r="H220" s="180">
        <v>15133.381812146781</v>
      </c>
      <c r="I220" s="180">
        <v>4412.6939722812485</v>
      </c>
      <c r="J220" s="180" t="s">
        <v>1867</v>
      </c>
      <c r="K220" s="233" t="str">
        <f>VLOOKUP(Broadcast_BASE[[#This Row],[Broadcast Market]],Continent_Look_Up[],2,FALSE)</f>
        <v>Africa &amp; Middle East</v>
      </c>
      <c r="L220" t="str">
        <f>IF(OR(Broadcast_BASE[[#This Row],[Broadcast Continent]]="Digital",Broadcast_BASE[[#This Row],[Programme Type]]="Digital"),"Y","N")</f>
        <v>N</v>
      </c>
      <c r="M220" s="4" t="str">
        <f>IF(ISNUMBER(SEARCH("Pan ",Broadcast_BASE[[#This Row],[Broadcast Market]]))=TRUE,"Y","N")</f>
        <v>Y</v>
      </c>
      <c r="N220" t="str">
        <f>VLOOKUP(CONCATENATE(Broadcast_BASE[[#This Row],[Broadcast Market]],Broadcast_BASE[[#This Row],[Broadcaster]]),Table1[[CC]:[Pay TV vs. Free-to-Air]],3,FALSE)</f>
        <v>Pay TV</v>
      </c>
      <c r="O220" s="1">
        <f>VLOOKUP(CONCATENATE(Broadcast_BASE[[#This Row],[Broadcast Market]],Broadcast_BASE[[#This Row],[Broadcaster]]),Table1[[CC]:[Pay TV vs. Free-to-Air]],2,FALSE)</f>
        <v>2185000</v>
      </c>
      <c r="P220" s="234">
        <f>Broadcast_BASE[[#This Row],[Rolex EXP]]*86400</f>
        <v>14629.747846119606</v>
      </c>
      <c r="Q220" s="235" t="str">
        <f>IF(Broadcast_BASE[[#This Row],[Dashboard Rated?]]="No","N","Y")</f>
        <v>N</v>
      </c>
      <c r="R220" s="236"/>
      <c r="S220" s="236"/>
    </row>
    <row r="221" spans="1:19" x14ac:dyDescent="0.25">
      <c r="A221" s="72" t="e">
        <f>#REF!</f>
        <v>#REF!</v>
      </c>
      <c r="B221" s="178" t="s">
        <v>97</v>
      </c>
      <c r="C221" s="178" t="s">
        <v>183</v>
      </c>
      <c r="D221" s="178" t="s">
        <v>1642</v>
      </c>
      <c r="E221" s="179">
        <v>0.10413194444444444</v>
      </c>
      <c r="F221" s="180">
        <v>5044</v>
      </c>
      <c r="G221" s="179">
        <v>7.8966015824072696E-3</v>
      </c>
      <c r="H221" s="180">
        <v>507.11755623565654</v>
      </c>
      <c r="I221" s="180">
        <v>147.02739677048905</v>
      </c>
      <c r="J221" s="180" t="s">
        <v>1867</v>
      </c>
      <c r="K221" s="233" t="str">
        <f>VLOOKUP(Broadcast_BASE[[#This Row],[Broadcast Market]],Continent_Look_Up[],2,FALSE)</f>
        <v>Asia Pacific</v>
      </c>
      <c r="L221" t="str">
        <f>IF(OR(Broadcast_BASE[[#This Row],[Broadcast Continent]]="Digital",Broadcast_BASE[[#This Row],[Programme Type]]="Digital"),"Y","N")</f>
        <v>N</v>
      </c>
      <c r="M221" s="4" t="str">
        <f>IF(ISNUMBER(SEARCH("Pan ",Broadcast_BASE[[#This Row],[Broadcast Market]]))=TRUE,"Y","N")</f>
        <v>Y</v>
      </c>
      <c r="N221" t="str">
        <f>VLOOKUP(CONCATENATE(Broadcast_BASE[[#This Row],[Broadcast Market]],Broadcast_BASE[[#This Row],[Broadcaster]]),Table1[[CC]:[Pay TV vs. Free-to-Air]],3,FALSE)</f>
        <v>Pay TV</v>
      </c>
      <c r="O221" s="1">
        <f>VLOOKUP(CONCATENATE(Broadcast_BASE[[#This Row],[Broadcast Market]],Broadcast_BASE[[#This Row],[Broadcaster]]),Table1[[CC]:[Pay TV vs. Free-to-Air]],2,FALSE)</f>
        <v>805000</v>
      </c>
      <c r="P221" s="234">
        <f>Broadcast_BASE[[#This Row],[Rolex EXP]]*86400</f>
        <v>682.2663767199881</v>
      </c>
      <c r="Q221" s="235" t="str">
        <f>IF(Broadcast_BASE[[#This Row],[Dashboard Rated?]]="No","N","Y")</f>
        <v>N</v>
      </c>
      <c r="R221" s="236"/>
      <c r="S221" s="236"/>
    </row>
    <row r="222" spans="1:19" x14ac:dyDescent="0.25">
      <c r="A222" s="72" t="e">
        <f>#REF!</f>
        <v>#REF!</v>
      </c>
      <c r="B222" s="178" t="s">
        <v>97</v>
      </c>
      <c r="C222" s="178" t="s">
        <v>183</v>
      </c>
      <c r="D222" s="178" t="s">
        <v>1643</v>
      </c>
      <c r="E222" s="179">
        <v>3.9679513888888889</v>
      </c>
      <c r="F222" s="180">
        <v>88272</v>
      </c>
      <c r="G222" s="179">
        <v>0.25498135885443396</v>
      </c>
      <c r="H222" s="180">
        <v>34878.846690110469</v>
      </c>
      <c r="I222" s="180">
        <v>9712.0199615279889</v>
      </c>
      <c r="J222" s="180" t="s">
        <v>1867</v>
      </c>
      <c r="K222" s="233" t="str">
        <f>VLOOKUP(Broadcast_BASE[[#This Row],[Broadcast Market]],Continent_Look_Up[],2,FALSE)</f>
        <v>Asia Pacific</v>
      </c>
      <c r="L222" t="str">
        <f>IF(OR(Broadcast_BASE[[#This Row],[Broadcast Continent]]="Digital",Broadcast_BASE[[#This Row],[Programme Type]]="Digital"),"Y","N")</f>
        <v>N</v>
      </c>
      <c r="M222" s="4" t="str">
        <f>IF(ISNUMBER(SEARCH("Pan ",Broadcast_BASE[[#This Row],[Broadcast Market]]))=TRUE,"Y","N")</f>
        <v>Y</v>
      </c>
      <c r="N222" t="str">
        <f>VLOOKUP(CONCATENATE(Broadcast_BASE[[#This Row],[Broadcast Market]],Broadcast_BASE[[#This Row],[Broadcaster]]),Table1[[CC]:[Pay TV vs. Free-to-Air]],3,FALSE)</f>
        <v>Pay TV</v>
      </c>
      <c r="O222" s="1">
        <f>VLOOKUP(CONCATENATE(Broadcast_BASE[[#This Row],[Broadcast Market]],Broadcast_BASE[[#This Row],[Broadcaster]]),Table1[[CC]:[Pay TV vs. Free-to-Air]],2,FALSE)</f>
        <v>805000</v>
      </c>
      <c r="P222" s="234">
        <f>Broadcast_BASE[[#This Row],[Rolex EXP]]*86400</f>
        <v>22030.389405023096</v>
      </c>
      <c r="Q222" s="235" t="str">
        <f>IF(Broadcast_BASE[[#This Row],[Dashboard Rated?]]="No","N","Y")</f>
        <v>N</v>
      </c>
      <c r="R222" s="236"/>
      <c r="S222" s="236"/>
    </row>
    <row r="223" spans="1:19" x14ac:dyDescent="0.25">
      <c r="A223" s="72" t="e">
        <f>#REF!</f>
        <v>#REF!</v>
      </c>
      <c r="B223" s="178" t="s">
        <v>97</v>
      </c>
      <c r="C223" s="178" t="s">
        <v>183</v>
      </c>
      <c r="D223" s="178" t="s">
        <v>1644</v>
      </c>
      <c r="E223" s="179">
        <v>3.788148148148148</v>
      </c>
      <c r="F223" s="180">
        <v>56461</v>
      </c>
      <c r="G223" s="179">
        <v>0.25710537979214293</v>
      </c>
      <c r="H223" s="180">
        <v>17649.729441955849</v>
      </c>
      <c r="I223" s="180">
        <v>4965.2596522460099</v>
      </c>
      <c r="J223" s="180" t="s">
        <v>1867</v>
      </c>
      <c r="K223" s="233" t="str">
        <f>VLOOKUP(Broadcast_BASE[[#This Row],[Broadcast Market]],Continent_Look_Up[],2,FALSE)</f>
        <v>Asia Pacific</v>
      </c>
      <c r="L223" t="str">
        <f>IF(OR(Broadcast_BASE[[#This Row],[Broadcast Continent]]="Digital",Broadcast_BASE[[#This Row],[Programme Type]]="Digital"),"Y","N")</f>
        <v>N</v>
      </c>
      <c r="M223" s="4" t="str">
        <f>IF(ISNUMBER(SEARCH("Pan ",Broadcast_BASE[[#This Row],[Broadcast Market]]))=TRUE,"Y","N")</f>
        <v>Y</v>
      </c>
      <c r="N223" t="str">
        <f>VLOOKUP(CONCATENATE(Broadcast_BASE[[#This Row],[Broadcast Market]],Broadcast_BASE[[#This Row],[Broadcaster]]),Table1[[CC]:[Pay TV vs. Free-to-Air]],3,FALSE)</f>
        <v>Pay TV</v>
      </c>
      <c r="O223" s="1">
        <f>VLOOKUP(CONCATENATE(Broadcast_BASE[[#This Row],[Broadcast Market]],Broadcast_BASE[[#This Row],[Broadcaster]]),Table1[[CC]:[Pay TV vs. Free-to-Air]],2,FALSE)</f>
        <v>805000</v>
      </c>
      <c r="P223" s="234">
        <f>Broadcast_BASE[[#This Row],[Rolex EXP]]*86400</f>
        <v>22213.904814041151</v>
      </c>
      <c r="Q223" s="235" t="str">
        <f>IF(Broadcast_BASE[[#This Row],[Dashboard Rated?]]="No","N","Y")</f>
        <v>N</v>
      </c>
      <c r="R223" s="236"/>
      <c r="S223" s="236"/>
    </row>
    <row r="224" spans="1:19" x14ac:dyDescent="0.25">
      <c r="A224" s="72" t="e">
        <f>#REF!</f>
        <v>#REF!</v>
      </c>
      <c r="B224" s="178" t="s">
        <v>97</v>
      </c>
      <c r="C224" s="178" t="s">
        <v>185</v>
      </c>
      <c r="D224" s="178" t="s">
        <v>1644</v>
      </c>
      <c r="E224" s="179">
        <v>0.41666666666666669</v>
      </c>
      <c r="F224" s="180">
        <v>5884</v>
      </c>
      <c r="G224" s="179">
        <v>2.276359673466527E-2</v>
      </c>
      <c r="H224" s="180">
        <v>1245.3617306665376</v>
      </c>
      <c r="I224" s="180">
        <v>349.09508281630798</v>
      </c>
      <c r="J224" s="180" t="s">
        <v>1867</v>
      </c>
      <c r="K224" s="233" t="str">
        <f>VLOOKUP(Broadcast_BASE[[#This Row],[Broadcast Market]],Continent_Look_Up[],2,FALSE)</f>
        <v>Asia Pacific</v>
      </c>
      <c r="L224" t="str">
        <f>IF(OR(Broadcast_BASE[[#This Row],[Broadcast Continent]]="Digital",Broadcast_BASE[[#This Row],[Programme Type]]="Digital"),"Y","N")</f>
        <v>N</v>
      </c>
      <c r="M224" s="4" t="str">
        <f>IF(ISNUMBER(SEARCH("Pan ",Broadcast_BASE[[#This Row],[Broadcast Market]]))=TRUE,"Y","N")</f>
        <v>Y</v>
      </c>
      <c r="N224" t="str">
        <f>VLOOKUP(CONCATENATE(Broadcast_BASE[[#This Row],[Broadcast Market]],Broadcast_BASE[[#This Row],[Broadcaster]]),Table1[[CC]:[Pay TV vs. Free-to-Air]],3,FALSE)</f>
        <v>Pay TV</v>
      </c>
      <c r="O224" s="1">
        <f>VLOOKUP(CONCATENATE(Broadcast_BASE[[#This Row],[Broadcast Market]],Broadcast_BASE[[#This Row],[Broadcaster]]),Table1[[CC]:[Pay TV vs. Free-to-Air]],2,FALSE)</f>
        <v>805000</v>
      </c>
      <c r="P224" s="234">
        <f>Broadcast_BASE[[#This Row],[Rolex EXP]]*86400</f>
        <v>1966.7747578750793</v>
      </c>
      <c r="Q224" s="235" t="str">
        <f>IF(Broadcast_BASE[[#This Row],[Dashboard Rated?]]="No","N","Y")</f>
        <v>N</v>
      </c>
      <c r="R224" s="236"/>
      <c r="S224" s="236"/>
    </row>
    <row r="225" spans="1:19" x14ac:dyDescent="0.25">
      <c r="A225" s="72" t="e">
        <f>#REF!</f>
        <v>#REF!</v>
      </c>
      <c r="B225" s="178" t="s">
        <v>99</v>
      </c>
      <c r="C225" s="178" t="s">
        <v>468</v>
      </c>
      <c r="D225" s="178" t="s">
        <v>1642</v>
      </c>
      <c r="E225" s="179">
        <v>2.4018171296296296</v>
      </c>
      <c r="F225" s="180">
        <v>212764</v>
      </c>
      <c r="G225" s="179">
        <v>0.15472339835733287</v>
      </c>
      <c r="H225" s="180">
        <v>19383.018446562939</v>
      </c>
      <c r="I225" s="180">
        <v>5497.6199067959669</v>
      </c>
      <c r="J225" s="180" t="s">
        <v>1868</v>
      </c>
      <c r="K225" s="233" t="str">
        <f>VLOOKUP(Broadcast_BASE[[#This Row],[Broadcast Market]],Continent_Look_Up[],2,FALSE)</f>
        <v>Asia Pacific</v>
      </c>
      <c r="L225" t="str">
        <f>IF(OR(Broadcast_BASE[[#This Row],[Broadcast Continent]]="Digital",Broadcast_BASE[[#This Row],[Programme Type]]="Digital"),"Y","N")</f>
        <v>N</v>
      </c>
      <c r="M225" s="4" t="str">
        <f>IF(ISNUMBER(SEARCH("Pan ",Broadcast_BASE[[#This Row],[Broadcast Market]]))=TRUE,"Y","N")</f>
        <v>N</v>
      </c>
      <c r="N225" t="str">
        <f>VLOOKUP(CONCATENATE(Broadcast_BASE[[#This Row],[Broadcast Market]],Broadcast_BASE[[#This Row],[Broadcaster]]),Table1[[CC]:[Pay TV vs. Free-to-Air]],3,FALSE)</f>
        <v>Pay TV</v>
      </c>
      <c r="O225" s="1">
        <f>VLOOKUP(CONCATENATE(Broadcast_BASE[[#This Row],[Broadcast Market]],Broadcast_BASE[[#This Row],[Broadcaster]]),Table1[[CC]:[Pay TV vs. Free-to-Air]],2,FALSE)</f>
        <v>2274000</v>
      </c>
      <c r="P225" s="234">
        <f>Broadcast_BASE[[#This Row],[Rolex EXP]]*86400</f>
        <v>13368.101618073561</v>
      </c>
      <c r="Q225" s="235" t="str">
        <f>IF(Broadcast_BASE[[#This Row],[Dashboard Rated?]]="No","N","Y")</f>
        <v>Y</v>
      </c>
      <c r="R225" s="236"/>
      <c r="S225" s="236"/>
    </row>
    <row r="226" spans="1:19" x14ac:dyDescent="0.25">
      <c r="A226" s="72" t="e">
        <f>#REF!</f>
        <v>#REF!</v>
      </c>
      <c r="B226" s="178" t="s">
        <v>99</v>
      </c>
      <c r="C226" s="178" t="s">
        <v>468</v>
      </c>
      <c r="D226" s="178" t="s">
        <v>1643</v>
      </c>
      <c r="E226" s="179">
        <v>2.686076388888889</v>
      </c>
      <c r="F226" s="180">
        <v>66392</v>
      </c>
      <c r="G226" s="179">
        <v>0.16453531449511644</v>
      </c>
      <c r="H226" s="180">
        <v>44007.718820780814</v>
      </c>
      <c r="I226" s="180">
        <v>12218.04976691748</v>
      </c>
      <c r="J226" s="180" t="s">
        <v>1868</v>
      </c>
      <c r="K226" s="233" t="str">
        <f>VLOOKUP(Broadcast_BASE[[#This Row],[Broadcast Market]],Continent_Look_Up[],2,FALSE)</f>
        <v>Asia Pacific</v>
      </c>
      <c r="L226" t="str">
        <f>IF(OR(Broadcast_BASE[[#This Row],[Broadcast Continent]]="Digital",Broadcast_BASE[[#This Row],[Programme Type]]="Digital"),"Y","N")</f>
        <v>N</v>
      </c>
      <c r="M226" s="4" t="str">
        <f>IF(ISNUMBER(SEARCH("Pan ",Broadcast_BASE[[#This Row],[Broadcast Market]]))=TRUE,"Y","N")</f>
        <v>N</v>
      </c>
      <c r="N226" t="str">
        <f>VLOOKUP(CONCATENATE(Broadcast_BASE[[#This Row],[Broadcast Market]],Broadcast_BASE[[#This Row],[Broadcaster]]),Table1[[CC]:[Pay TV vs. Free-to-Air]],3,FALSE)</f>
        <v>Pay TV</v>
      </c>
      <c r="O226" s="1">
        <f>VLOOKUP(CONCATENATE(Broadcast_BASE[[#This Row],[Broadcast Market]],Broadcast_BASE[[#This Row],[Broadcaster]]),Table1[[CC]:[Pay TV vs. Free-to-Air]],2,FALSE)</f>
        <v>2274000</v>
      </c>
      <c r="P226" s="234">
        <f>Broadcast_BASE[[#This Row],[Rolex EXP]]*86400</f>
        <v>14215.851172378059</v>
      </c>
      <c r="Q226" s="235" t="str">
        <f>IF(Broadcast_BASE[[#This Row],[Dashboard Rated?]]="No","N","Y")</f>
        <v>Y</v>
      </c>
      <c r="R226" s="236"/>
      <c r="S226" s="236"/>
    </row>
    <row r="227" spans="1:19" x14ac:dyDescent="0.25">
      <c r="A227" s="72" t="e">
        <f>#REF!</f>
        <v>#REF!</v>
      </c>
      <c r="B227" s="178" t="s">
        <v>99</v>
      </c>
      <c r="C227" s="178" t="s">
        <v>225</v>
      </c>
      <c r="D227" s="178" t="s">
        <v>1642</v>
      </c>
      <c r="E227" s="179">
        <v>1.0798611111111112</v>
      </c>
      <c r="F227" s="180">
        <v>28669</v>
      </c>
      <c r="G227" s="179">
        <v>6.3992154153874783E-2</v>
      </c>
      <c r="H227" s="180">
        <v>2696.0693368994239</v>
      </c>
      <c r="I227" s="180">
        <v>763.7061252362796</v>
      </c>
      <c r="J227" s="180" t="s">
        <v>1867</v>
      </c>
      <c r="K227" s="233" t="str">
        <f>VLOOKUP(Broadcast_BASE[[#This Row],[Broadcast Market]],Continent_Look_Up[],2,FALSE)</f>
        <v>Asia Pacific</v>
      </c>
      <c r="L227" t="str">
        <f>IF(OR(Broadcast_BASE[[#This Row],[Broadcast Continent]]="Digital",Broadcast_BASE[[#This Row],[Programme Type]]="Digital"),"Y","N")</f>
        <v>N</v>
      </c>
      <c r="M227" s="4" t="str">
        <f>IF(ISNUMBER(SEARCH("Pan ",Broadcast_BASE[[#This Row],[Broadcast Market]]))=TRUE,"Y","N")</f>
        <v>N</v>
      </c>
      <c r="N227" t="str">
        <f>VLOOKUP(CONCATENATE(Broadcast_BASE[[#This Row],[Broadcast Market]],Broadcast_BASE[[#This Row],[Broadcaster]]),Table1[[CC]:[Pay TV vs. Free-to-Air]],3,FALSE)</f>
        <v>Pay TV</v>
      </c>
      <c r="O227" s="1">
        <f>VLOOKUP(CONCATENATE(Broadcast_BASE[[#This Row],[Broadcast Market]],Broadcast_BASE[[#This Row],[Broadcaster]]),Table1[[CC]:[Pay TV vs. Free-to-Air]],2,FALSE)</f>
        <v>2274000</v>
      </c>
      <c r="P227" s="234">
        <f>Broadcast_BASE[[#This Row],[Rolex EXP]]*86400</f>
        <v>5528.9221188947813</v>
      </c>
      <c r="Q227" s="235" t="str">
        <f>IF(Broadcast_BASE[[#This Row],[Dashboard Rated?]]="No","N","Y")</f>
        <v>N</v>
      </c>
      <c r="R227" s="236"/>
      <c r="S227" s="236"/>
    </row>
    <row r="228" spans="1:19" x14ac:dyDescent="0.25">
      <c r="A228" s="72" t="e">
        <f>#REF!</f>
        <v>#REF!</v>
      </c>
      <c r="B228" s="178" t="s">
        <v>99</v>
      </c>
      <c r="C228" s="178" t="s">
        <v>225</v>
      </c>
      <c r="D228" s="178" t="s">
        <v>1643</v>
      </c>
      <c r="E228" s="179">
        <v>2.0486111111111112</v>
      </c>
      <c r="F228" s="180">
        <v>15082</v>
      </c>
      <c r="G228" s="179">
        <v>0.12548744884514887</v>
      </c>
      <c r="H228" s="180">
        <v>12427.996317664574</v>
      </c>
      <c r="I228" s="180">
        <v>3450.4373682870851</v>
      </c>
      <c r="J228" s="180" t="s">
        <v>1867</v>
      </c>
      <c r="K228" s="233" t="str">
        <f>VLOOKUP(Broadcast_BASE[[#This Row],[Broadcast Market]],Continent_Look_Up[],2,FALSE)</f>
        <v>Asia Pacific</v>
      </c>
      <c r="L228" t="str">
        <f>IF(OR(Broadcast_BASE[[#This Row],[Broadcast Continent]]="Digital",Broadcast_BASE[[#This Row],[Programme Type]]="Digital"),"Y","N")</f>
        <v>N</v>
      </c>
      <c r="M228" s="4" t="str">
        <f>IF(ISNUMBER(SEARCH("Pan ",Broadcast_BASE[[#This Row],[Broadcast Market]]))=TRUE,"Y","N")</f>
        <v>N</v>
      </c>
      <c r="N228" t="str">
        <f>VLOOKUP(CONCATENATE(Broadcast_BASE[[#This Row],[Broadcast Market]],Broadcast_BASE[[#This Row],[Broadcaster]]),Table1[[CC]:[Pay TV vs. Free-to-Air]],3,FALSE)</f>
        <v>Pay TV</v>
      </c>
      <c r="O228" s="1">
        <f>VLOOKUP(CONCATENATE(Broadcast_BASE[[#This Row],[Broadcast Market]],Broadcast_BASE[[#This Row],[Broadcaster]]),Table1[[CC]:[Pay TV vs. Free-to-Air]],2,FALSE)</f>
        <v>2274000</v>
      </c>
      <c r="P228" s="234">
        <f>Broadcast_BASE[[#This Row],[Rolex EXP]]*86400</f>
        <v>10842.115580220861</v>
      </c>
      <c r="Q228" s="235" t="str">
        <f>IF(Broadcast_BASE[[#This Row],[Dashboard Rated?]]="No","N","Y")</f>
        <v>N</v>
      </c>
      <c r="R228" s="236"/>
      <c r="S228" s="236"/>
    </row>
    <row r="229" spans="1:19" x14ac:dyDescent="0.25">
      <c r="A229" s="72" t="e">
        <f>#REF!</f>
        <v>#REF!</v>
      </c>
      <c r="B229" s="178" t="s">
        <v>99</v>
      </c>
      <c r="C229" s="178" t="s">
        <v>197</v>
      </c>
      <c r="D229" s="178" t="s">
        <v>1643</v>
      </c>
      <c r="E229" s="179">
        <v>2.5416666666666665</v>
      </c>
      <c r="F229" s="180">
        <v>15987</v>
      </c>
      <c r="G229" s="179">
        <v>0.15568951280448978</v>
      </c>
      <c r="H229" s="180">
        <v>16341.238783227815</v>
      </c>
      <c r="I229" s="180">
        <v>4536.8874837538579</v>
      </c>
      <c r="J229" s="180" t="s">
        <v>1867</v>
      </c>
      <c r="K229" s="233" t="str">
        <f>VLOOKUP(Broadcast_BASE[[#This Row],[Broadcast Market]],Continent_Look_Up[],2,FALSE)</f>
        <v>Asia Pacific</v>
      </c>
      <c r="L229" t="str">
        <f>IF(OR(Broadcast_BASE[[#This Row],[Broadcast Continent]]="Digital",Broadcast_BASE[[#This Row],[Programme Type]]="Digital"),"Y","N")</f>
        <v>N</v>
      </c>
      <c r="M229" s="4" t="str">
        <f>IF(ISNUMBER(SEARCH("Pan ",Broadcast_BASE[[#This Row],[Broadcast Market]]))=TRUE,"Y","N")</f>
        <v>N</v>
      </c>
      <c r="N229" t="str">
        <f>VLOOKUP(CONCATENATE(Broadcast_BASE[[#This Row],[Broadcast Market]],Broadcast_BASE[[#This Row],[Broadcaster]]),Table1[[CC]:[Pay TV vs. Free-to-Air]],3,FALSE)</f>
        <v>Pay TV</v>
      </c>
      <c r="O229" s="1">
        <f>VLOOKUP(CONCATENATE(Broadcast_BASE[[#This Row],[Broadcast Market]],Broadcast_BASE[[#This Row],[Broadcaster]]),Table1[[CC]:[Pay TV vs. Free-to-Air]],2,FALSE)</f>
        <v>2274000</v>
      </c>
      <c r="P229" s="234">
        <f>Broadcast_BASE[[#This Row],[Rolex EXP]]*86400</f>
        <v>13451.573906307916</v>
      </c>
      <c r="Q229" s="235" t="str">
        <f>IF(Broadcast_BASE[[#This Row],[Dashboard Rated?]]="No","N","Y")</f>
        <v>N</v>
      </c>
      <c r="R229" s="236"/>
      <c r="S229" s="236"/>
    </row>
    <row r="230" spans="1:19" x14ac:dyDescent="0.25">
      <c r="A230" s="72" t="e">
        <f>#REF!</f>
        <v>#REF!</v>
      </c>
      <c r="B230" s="178" t="s">
        <v>100</v>
      </c>
      <c r="C230" s="178" t="s">
        <v>268</v>
      </c>
      <c r="D230" s="178" t="s">
        <v>1642</v>
      </c>
      <c r="E230" s="179">
        <v>0.880925925925926</v>
      </c>
      <c r="F230" s="180">
        <v>348800</v>
      </c>
      <c r="G230" s="179">
        <v>6.3694426807027624E-2</v>
      </c>
      <c r="H230" s="180">
        <v>13374.521304990139</v>
      </c>
      <c r="I230" s="180">
        <v>3805.019759240502</v>
      </c>
      <c r="J230" s="180" t="s">
        <v>1868</v>
      </c>
      <c r="K230" s="233" t="str">
        <f>VLOOKUP(Broadcast_BASE[[#This Row],[Broadcast Market]],Continent_Look_Up[],2,FALSE)</f>
        <v>Europe</v>
      </c>
      <c r="L230" t="str">
        <f>IF(OR(Broadcast_BASE[[#This Row],[Broadcast Continent]]="Digital",Broadcast_BASE[[#This Row],[Programme Type]]="Digital"),"Y","N")</f>
        <v>N</v>
      </c>
      <c r="M230" s="4" t="str">
        <f>IF(ISNUMBER(SEARCH("Pan ",Broadcast_BASE[[#This Row],[Broadcast Market]]))=TRUE,"Y","N")</f>
        <v>N</v>
      </c>
      <c r="N230" t="str">
        <f>VLOOKUP(CONCATENATE(Broadcast_BASE[[#This Row],[Broadcast Market]],Broadcast_BASE[[#This Row],[Broadcaster]]),Table1[[CC]:[Pay TV vs. Free-to-Air]],3,FALSE)</f>
        <v>Pay TV</v>
      </c>
      <c r="O230" s="1">
        <f>VLOOKUP(CONCATENATE(Broadcast_BASE[[#This Row],[Broadcast Market]],Broadcast_BASE[[#This Row],[Broadcaster]]),Table1[[CC]:[Pay TV vs. Free-to-Air]],2,FALSE)</f>
        <v>8671000</v>
      </c>
      <c r="P230" s="234">
        <f>Broadcast_BASE[[#This Row],[Rolex EXP]]*86400</f>
        <v>5503.198476127187</v>
      </c>
      <c r="Q230" s="235" t="str">
        <f>IF(Broadcast_BASE[[#This Row],[Dashboard Rated?]]="No","N","Y")</f>
        <v>Y</v>
      </c>
      <c r="R230" s="236"/>
      <c r="S230" s="236"/>
    </row>
    <row r="231" spans="1:19" x14ac:dyDescent="0.25">
      <c r="A231" s="72" t="e">
        <f>#REF!</f>
        <v>#REF!</v>
      </c>
      <c r="B231" s="178" t="s">
        <v>100</v>
      </c>
      <c r="C231" s="178" t="s">
        <v>268</v>
      </c>
      <c r="D231" s="178" t="s">
        <v>1643</v>
      </c>
      <c r="E231" s="179">
        <v>6.4103935185185188</v>
      </c>
      <c r="F231" s="180">
        <v>2435454</v>
      </c>
      <c r="G231" s="179">
        <v>0.51012424130757916</v>
      </c>
      <c r="H231" s="180">
        <v>273541.25086359296</v>
      </c>
      <c r="I231" s="180">
        <v>78133.320590008923</v>
      </c>
      <c r="J231" s="180" t="s">
        <v>1868</v>
      </c>
      <c r="K231" s="233" t="str">
        <f>VLOOKUP(Broadcast_BASE[[#This Row],[Broadcast Market]],Continent_Look_Up[],2,FALSE)</f>
        <v>Europe</v>
      </c>
      <c r="L231" t="str">
        <f>IF(OR(Broadcast_BASE[[#This Row],[Broadcast Continent]]="Digital",Broadcast_BASE[[#This Row],[Programme Type]]="Digital"),"Y","N")</f>
        <v>N</v>
      </c>
      <c r="M231" s="4" t="str">
        <f>IF(ISNUMBER(SEARCH("Pan ",Broadcast_BASE[[#This Row],[Broadcast Market]]))=TRUE,"Y","N")</f>
        <v>N</v>
      </c>
      <c r="N231" t="str">
        <f>VLOOKUP(CONCATENATE(Broadcast_BASE[[#This Row],[Broadcast Market]],Broadcast_BASE[[#This Row],[Broadcaster]]),Table1[[CC]:[Pay TV vs. Free-to-Air]],3,FALSE)</f>
        <v>Pay TV</v>
      </c>
      <c r="O231" s="1">
        <f>VLOOKUP(CONCATENATE(Broadcast_BASE[[#This Row],[Broadcast Market]],Broadcast_BASE[[#This Row],[Broadcaster]]),Table1[[CC]:[Pay TV vs. Free-to-Air]],2,FALSE)</f>
        <v>8671000</v>
      </c>
      <c r="P231" s="234">
        <f>Broadcast_BASE[[#This Row],[Rolex EXP]]*86400</f>
        <v>44074.734448974843</v>
      </c>
      <c r="Q231" s="235" t="str">
        <f>IF(Broadcast_BASE[[#This Row],[Dashboard Rated?]]="No","N","Y")</f>
        <v>Y</v>
      </c>
      <c r="R231" s="236"/>
      <c r="S231" s="236"/>
    </row>
    <row r="232" spans="1:19" x14ac:dyDescent="0.25">
      <c r="A232" s="72" t="e">
        <f>#REF!</f>
        <v>#REF!</v>
      </c>
      <c r="B232" s="178" t="s">
        <v>100</v>
      </c>
      <c r="C232" s="178" t="s">
        <v>268</v>
      </c>
      <c r="D232" s="178" t="s">
        <v>1644</v>
      </c>
      <c r="E232" s="179">
        <v>1.6970023148148148</v>
      </c>
      <c r="F232" s="180">
        <v>308512</v>
      </c>
      <c r="G232" s="179">
        <v>0.12797942333417198</v>
      </c>
      <c r="H232" s="180">
        <v>22754.984818905436</v>
      </c>
      <c r="I232" s="180">
        <v>6580.2016129364847</v>
      </c>
      <c r="J232" s="180" t="s">
        <v>1868</v>
      </c>
      <c r="K232" s="233" t="str">
        <f>VLOOKUP(Broadcast_BASE[[#This Row],[Broadcast Market]],Continent_Look_Up[],2,FALSE)</f>
        <v>Europe</v>
      </c>
      <c r="L232" t="str">
        <f>IF(OR(Broadcast_BASE[[#This Row],[Broadcast Continent]]="Digital",Broadcast_BASE[[#This Row],[Programme Type]]="Digital"),"Y","N")</f>
        <v>N</v>
      </c>
      <c r="M232" s="4" t="str">
        <f>IF(ISNUMBER(SEARCH("Pan ",Broadcast_BASE[[#This Row],[Broadcast Market]]))=TRUE,"Y","N")</f>
        <v>N</v>
      </c>
      <c r="N232" t="str">
        <f>VLOOKUP(CONCATENATE(Broadcast_BASE[[#This Row],[Broadcast Market]],Broadcast_BASE[[#This Row],[Broadcaster]]),Table1[[CC]:[Pay TV vs. Free-to-Air]],3,FALSE)</f>
        <v>Pay TV</v>
      </c>
      <c r="O232" s="1">
        <f>VLOOKUP(CONCATENATE(Broadcast_BASE[[#This Row],[Broadcast Market]],Broadcast_BASE[[#This Row],[Broadcaster]]),Table1[[CC]:[Pay TV vs. Free-to-Air]],2,FALSE)</f>
        <v>8671000</v>
      </c>
      <c r="P232" s="234">
        <f>Broadcast_BASE[[#This Row],[Rolex EXP]]*86400</f>
        <v>11057.422176072459</v>
      </c>
      <c r="Q232" s="235" t="str">
        <f>IF(Broadcast_BASE[[#This Row],[Dashboard Rated?]]="No","N","Y")</f>
        <v>Y</v>
      </c>
      <c r="R232" s="236"/>
      <c r="S232" s="236"/>
    </row>
    <row r="233" spans="1:19" x14ac:dyDescent="0.25">
      <c r="A233" s="72" t="e">
        <f>#REF!</f>
        <v>#REF!</v>
      </c>
      <c r="B233" s="178" t="s">
        <v>100</v>
      </c>
      <c r="C233" s="178" t="s">
        <v>269</v>
      </c>
      <c r="D233" s="178" t="s">
        <v>1642</v>
      </c>
      <c r="E233" s="179">
        <v>0.76940972222222215</v>
      </c>
      <c r="F233" s="180">
        <v>177349</v>
      </c>
      <c r="G233" s="179">
        <v>5.8959887961484797E-2</v>
      </c>
      <c r="H233" s="180">
        <v>7919.9041220560366</v>
      </c>
      <c r="I233" s="180">
        <v>2274.7558738214802</v>
      </c>
      <c r="J233" s="180" t="s">
        <v>1868</v>
      </c>
      <c r="K233" s="233" t="str">
        <f>VLOOKUP(Broadcast_BASE[[#This Row],[Broadcast Market]],Continent_Look_Up[],2,FALSE)</f>
        <v>Europe</v>
      </c>
      <c r="L233" t="str">
        <f>IF(OR(Broadcast_BASE[[#This Row],[Broadcast Continent]]="Digital",Broadcast_BASE[[#This Row],[Programme Type]]="Digital"),"Y","N")</f>
        <v>N</v>
      </c>
      <c r="M233" s="4" t="str">
        <f>IF(ISNUMBER(SEARCH("Pan ",Broadcast_BASE[[#This Row],[Broadcast Market]]))=TRUE,"Y","N")</f>
        <v>N</v>
      </c>
      <c r="N233" t="str">
        <f>VLOOKUP(CONCATENATE(Broadcast_BASE[[#This Row],[Broadcast Market]],Broadcast_BASE[[#This Row],[Broadcaster]]),Table1[[CC]:[Pay TV vs. Free-to-Air]],3,FALSE)</f>
        <v>Pay TV</v>
      </c>
      <c r="O233" s="1">
        <f>VLOOKUP(CONCATENATE(Broadcast_BASE[[#This Row],[Broadcast Market]],Broadcast_BASE[[#This Row],[Broadcaster]]),Table1[[CC]:[Pay TV vs. Free-to-Air]],2,FALSE)</f>
        <v>4406000</v>
      </c>
      <c r="P233" s="234">
        <f>Broadcast_BASE[[#This Row],[Rolex EXP]]*86400</f>
        <v>5094.1343198722861</v>
      </c>
      <c r="Q233" s="235" t="str">
        <f>IF(Broadcast_BASE[[#This Row],[Dashboard Rated?]]="No","N","Y")</f>
        <v>Y</v>
      </c>
      <c r="R233" s="236"/>
      <c r="S233" s="236"/>
    </row>
    <row r="234" spans="1:19" x14ac:dyDescent="0.25">
      <c r="A234" s="72" t="e">
        <f>#REF!</f>
        <v>#REF!</v>
      </c>
      <c r="B234" s="178" t="s">
        <v>100</v>
      </c>
      <c r="C234" s="178" t="s">
        <v>269</v>
      </c>
      <c r="D234" s="178" t="s">
        <v>1643</v>
      </c>
      <c r="E234" s="179">
        <v>3.4084722222222221</v>
      </c>
      <c r="F234" s="180">
        <v>1138696</v>
      </c>
      <c r="G234" s="179">
        <v>0.28887319087687874</v>
      </c>
      <c r="H234" s="180">
        <v>180793.93999804987</v>
      </c>
      <c r="I234" s="180">
        <v>53607.552691163713</v>
      </c>
      <c r="J234" s="180" t="s">
        <v>1868</v>
      </c>
      <c r="K234" s="233" t="str">
        <f>VLOOKUP(Broadcast_BASE[[#This Row],[Broadcast Market]],Continent_Look_Up[],2,FALSE)</f>
        <v>Europe</v>
      </c>
      <c r="L234" t="str">
        <f>IF(OR(Broadcast_BASE[[#This Row],[Broadcast Continent]]="Digital",Broadcast_BASE[[#This Row],[Programme Type]]="Digital"),"Y","N")</f>
        <v>N</v>
      </c>
      <c r="M234" s="4" t="str">
        <f>IF(ISNUMBER(SEARCH("Pan ",Broadcast_BASE[[#This Row],[Broadcast Market]]))=TRUE,"Y","N")</f>
        <v>N</v>
      </c>
      <c r="N234" t="str">
        <f>VLOOKUP(CONCATENATE(Broadcast_BASE[[#This Row],[Broadcast Market]],Broadcast_BASE[[#This Row],[Broadcaster]]),Table1[[CC]:[Pay TV vs. Free-to-Air]],3,FALSE)</f>
        <v>Pay TV</v>
      </c>
      <c r="O234" s="1">
        <f>VLOOKUP(CONCATENATE(Broadcast_BASE[[#This Row],[Broadcast Market]],Broadcast_BASE[[#This Row],[Broadcaster]]),Table1[[CC]:[Pay TV vs. Free-to-Air]],2,FALSE)</f>
        <v>4406000</v>
      </c>
      <c r="P234" s="234">
        <f>Broadcast_BASE[[#This Row],[Rolex EXP]]*86400</f>
        <v>24958.643691762321</v>
      </c>
      <c r="Q234" s="235" t="str">
        <f>IF(Broadcast_BASE[[#This Row],[Dashboard Rated?]]="No","N","Y")</f>
        <v>Y</v>
      </c>
      <c r="R234" s="236"/>
      <c r="S234" s="236"/>
    </row>
    <row r="235" spans="1:19" x14ac:dyDescent="0.25">
      <c r="A235" s="72" t="e">
        <f>#REF!</f>
        <v>#REF!</v>
      </c>
      <c r="B235" s="178" t="s">
        <v>100</v>
      </c>
      <c r="C235" s="178" t="s">
        <v>269</v>
      </c>
      <c r="D235" s="178" t="s">
        <v>1644</v>
      </c>
      <c r="E235" s="179">
        <v>2.469583333333333</v>
      </c>
      <c r="F235" s="180">
        <v>452820</v>
      </c>
      <c r="G235" s="179">
        <v>0.18096333869779058</v>
      </c>
      <c r="H235" s="180">
        <v>30959.840256391475</v>
      </c>
      <c r="I235" s="180">
        <v>8693.706966424319</v>
      </c>
      <c r="J235" s="180" t="s">
        <v>1868</v>
      </c>
      <c r="K235" s="233" t="str">
        <f>VLOOKUP(Broadcast_BASE[[#This Row],[Broadcast Market]],Continent_Look_Up[],2,FALSE)</f>
        <v>Europe</v>
      </c>
      <c r="L235" t="str">
        <f>IF(OR(Broadcast_BASE[[#This Row],[Broadcast Continent]]="Digital",Broadcast_BASE[[#This Row],[Programme Type]]="Digital"),"Y","N")</f>
        <v>N</v>
      </c>
      <c r="M235" s="4" t="str">
        <f>IF(ISNUMBER(SEARCH("Pan ",Broadcast_BASE[[#This Row],[Broadcast Market]]))=TRUE,"Y","N")</f>
        <v>N</v>
      </c>
      <c r="N235" t="str">
        <f>VLOOKUP(CONCATENATE(Broadcast_BASE[[#This Row],[Broadcast Market]],Broadcast_BASE[[#This Row],[Broadcaster]]),Table1[[CC]:[Pay TV vs. Free-to-Air]],3,FALSE)</f>
        <v>Pay TV</v>
      </c>
      <c r="O235" s="1">
        <f>VLOOKUP(CONCATENATE(Broadcast_BASE[[#This Row],[Broadcast Market]],Broadcast_BASE[[#This Row],[Broadcaster]]),Table1[[CC]:[Pay TV vs. Free-to-Air]],2,FALSE)</f>
        <v>4406000</v>
      </c>
      <c r="P235" s="234">
        <f>Broadcast_BASE[[#This Row],[Rolex EXP]]*86400</f>
        <v>15635.232463489107</v>
      </c>
      <c r="Q235" s="235" t="str">
        <f>IF(Broadcast_BASE[[#This Row],[Dashboard Rated?]]="No","N","Y")</f>
        <v>Y</v>
      </c>
      <c r="R235" s="236"/>
      <c r="S235" s="236"/>
    </row>
    <row r="236" spans="1:19" x14ac:dyDescent="0.25">
      <c r="A236" s="72" t="e">
        <f>#REF!</f>
        <v>#REF!</v>
      </c>
      <c r="B236" s="178" t="s">
        <v>103</v>
      </c>
      <c r="C236" s="178" t="s">
        <v>268</v>
      </c>
      <c r="D236" s="178" t="s">
        <v>1642</v>
      </c>
      <c r="E236" s="179">
        <v>0.86262731481481492</v>
      </c>
      <c r="F236" s="180">
        <v>251196</v>
      </c>
      <c r="G236" s="179">
        <v>6.5772293904178478E-2</v>
      </c>
      <c r="H236" s="180">
        <v>31416.231361405022</v>
      </c>
      <c r="I236" s="180">
        <v>8934.4784733559572</v>
      </c>
      <c r="J236" s="180" t="s">
        <v>1868</v>
      </c>
      <c r="K236" s="233" t="str">
        <f>VLOOKUP(Broadcast_BASE[[#This Row],[Broadcast Market]],Continent_Look_Up[],2,FALSE)</f>
        <v>Europe</v>
      </c>
      <c r="L236" t="str">
        <f>IF(OR(Broadcast_BASE[[#This Row],[Broadcast Continent]]="Digital",Broadcast_BASE[[#This Row],[Programme Type]]="Digital"),"Y","N")</f>
        <v>N</v>
      </c>
      <c r="M236" s="4" t="str">
        <f>IF(ISNUMBER(SEARCH("Pan ",Broadcast_BASE[[#This Row],[Broadcast Market]]))=TRUE,"Y","N")</f>
        <v>N</v>
      </c>
      <c r="N236" t="str">
        <f>VLOOKUP(CONCATENATE(Broadcast_BASE[[#This Row],[Broadcast Market]],Broadcast_BASE[[#This Row],[Broadcaster]]),Table1[[CC]:[Pay TV vs. Free-to-Air]],3,FALSE)</f>
        <v>Pay TV</v>
      </c>
      <c r="O236" s="1">
        <f>VLOOKUP(CONCATENATE(Broadcast_BASE[[#This Row],[Broadcast Market]],Broadcast_BASE[[#This Row],[Broadcaster]]),Table1[[CC]:[Pay TV vs. Free-to-Air]],2,FALSE)</f>
        <v>5553000</v>
      </c>
      <c r="P236" s="234">
        <f>Broadcast_BASE[[#This Row],[Rolex EXP]]*86400</f>
        <v>5682.7261933210202</v>
      </c>
      <c r="Q236" s="235" t="str">
        <f>IF(Broadcast_BASE[[#This Row],[Dashboard Rated?]]="No","N","Y")</f>
        <v>Y</v>
      </c>
      <c r="R236" s="236"/>
      <c r="S236" s="236"/>
    </row>
    <row r="237" spans="1:19" x14ac:dyDescent="0.25">
      <c r="A237" s="72" t="e">
        <f>#REF!</f>
        <v>#REF!</v>
      </c>
      <c r="B237" s="178" t="s">
        <v>103</v>
      </c>
      <c r="C237" s="178" t="s">
        <v>268</v>
      </c>
      <c r="D237" s="178" t="s">
        <v>1643</v>
      </c>
      <c r="E237" s="179">
        <v>6.2788773148148147</v>
      </c>
      <c r="F237" s="180">
        <v>1395412</v>
      </c>
      <c r="G237" s="179">
        <v>0.51417095835260318</v>
      </c>
      <c r="H237" s="180">
        <v>527389.36116227834</v>
      </c>
      <c r="I237" s="180">
        <v>149973.09782931354</v>
      </c>
      <c r="J237" s="180" t="s">
        <v>1868</v>
      </c>
      <c r="K237" s="233" t="str">
        <f>VLOOKUP(Broadcast_BASE[[#This Row],[Broadcast Market]],Continent_Look_Up[],2,FALSE)</f>
        <v>Europe</v>
      </c>
      <c r="L237" t="str">
        <f>IF(OR(Broadcast_BASE[[#This Row],[Broadcast Continent]]="Digital",Broadcast_BASE[[#This Row],[Programme Type]]="Digital"),"Y","N")</f>
        <v>N</v>
      </c>
      <c r="M237" s="4" t="str">
        <f>IF(ISNUMBER(SEARCH("Pan ",Broadcast_BASE[[#This Row],[Broadcast Market]]))=TRUE,"Y","N")</f>
        <v>N</v>
      </c>
      <c r="N237" t="str">
        <f>VLOOKUP(CONCATENATE(Broadcast_BASE[[#This Row],[Broadcast Market]],Broadcast_BASE[[#This Row],[Broadcaster]]),Table1[[CC]:[Pay TV vs. Free-to-Air]],3,FALSE)</f>
        <v>Pay TV</v>
      </c>
      <c r="O237" s="1">
        <f>VLOOKUP(CONCATENATE(Broadcast_BASE[[#This Row],[Broadcast Market]],Broadcast_BASE[[#This Row],[Broadcaster]]),Table1[[CC]:[Pay TV vs. Free-to-Air]],2,FALSE)</f>
        <v>5553000</v>
      </c>
      <c r="P237" s="234">
        <f>Broadcast_BASE[[#This Row],[Rolex EXP]]*86400</f>
        <v>44424.370801664918</v>
      </c>
      <c r="Q237" s="235" t="str">
        <f>IF(Broadcast_BASE[[#This Row],[Dashboard Rated?]]="No","N","Y")</f>
        <v>Y</v>
      </c>
      <c r="R237" s="236"/>
      <c r="S237" s="236"/>
    </row>
    <row r="238" spans="1:19" x14ac:dyDescent="0.25">
      <c r="A238" s="72" t="e">
        <f>#REF!</f>
        <v>#REF!</v>
      </c>
      <c r="B238" s="178" t="s">
        <v>103</v>
      </c>
      <c r="C238" s="178" t="s">
        <v>268</v>
      </c>
      <c r="D238" s="178" t="s">
        <v>1644</v>
      </c>
      <c r="E238" s="179">
        <v>1.6181365740740743</v>
      </c>
      <c r="F238" s="180">
        <v>217098</v>
      </c>
      <c r="G238" s="179">
        <v>0.12189648582648725</v>
      </c>
      <c r="H238" s="180">
        <v>48917.029857780188</v>
      </c>
      <c r="I238" s="180">
        <v>13909.809292988284</v>
      </c>
      <c r="J238" s="180" t="s">
        <v>1868</v>
      </c>
      <c r="K238" s="233" t="str">
        <f>VLOOKUP(Broadcast_BASE[[#This Row],[Broadcast Market]],Continent_Look_Up[],2,FALSE)</f>
        <v>Europe</v>
      </c>
      <c r="L238" t="str">
        <f>IF(OR(Broadcast_BASE[[#This Row],[Broadcast Continent]]="Digital",Broadcast_BASE[[#This Row],[Programme Type]]="Digital"),"Y","N")</f>
        <v>N</v>
      </c>
      <c r="M238" s="4" t="str">
        <f>IF(ISNUMBER(SEARCH("Pan ",Broadcast_BASE[[#This Row],[Broadcast Market]]))=TRUE,"Y","N")</f>
        <v>N</v>
      </c>
      <c r="N238" t="str">
        <f>VLOOKUP(CONCATENATE(Broadcast_BASE[[#This Row],[Broadcast Market]],Broadcast_BASE[[#This Row],[Broadcaster]]),Table1[[CC]:[Pay TV vs. Free-to-Air]],3,FALSE)</f>
        <v>Pay TV</v>
      </c>
      <c r="O238" s="1">
        <f>VLOOKUP(CONCATENATE(Broadcast_BASE[[#This Row],[Broadcast Market]],Broadcast_BASE[[#This Row],[Broadcaster]]),Table1[[CC]:[Pay TV vs. Free-to-Air]],2,FALSE)</f>
        <v>5553000</v>
      </c>
      <c r="P238" s="234">
        <f>Broadcast_BASE[[#This Row],[Rolex EXP]]*86400</f>
        <v>10531.856375408499</v>
      </c>
      <c r="Q238" s="235" t="str">
        <f>IF(Broadcast_BASE[[#This Row],[Dashboard Rated?]]="No","N","Y")</f>
        <v>Y</v>
      </c>
      <c r="R238" s="236"/>
      <c r="S238" s="236"/>
    </row>
    <row r="239" spans="1:19" x14ac:dyDescent="0.25">
      <c r="A239" s="72" t="e">
        <f>#REF!</f>
        <v>#REF!</v>
      </c>
      <c r="B239" s="178" t="s">
        <v>103</v>
      </c>
      <c r="C239" s="178" t="s">
        <v>269</v>
      </c>
      <c r="D239" s="178" t="s">
        <v>1642</v>
      </c>
      <c r="E239" s="179">
        <v>0.78314814814814815</v>
      </c>
      <c r="F239" s="180">
        <v>248200</v>
      </c>
      <c r="G239" s="179">
        <v>6.2095352544682993E-2</v>
      </c>
      <c r="H239" s="180">
        <v>37664.070578475163</v>
      </c>
      <c r="I239" s="180">
        <v>11207.68027445346</v>
      </c>
      <c r="J239" s="180" t="s">
        <v>1868</v>
      </c>
      <c r="K239" s="233" t="str">
        <f>VLOOKUP(Broadcast_BASE[[#This Row],[Broadcast Market]],Continent_Look_Up[],2,FALSE)</f>
        <v>Europe</v>
      </c>
      <c r="L239" t="str">
        <f>IF(OR(Broadcast_BASE[[#This Row],[Broadcast Continent]]="Digital",Broadcast_BASE[[#This Row],[Programme Type]]="Digital"),"Y","N")</f>
        <v>N</v>
      </c>
      <c r="M239" s="4" t="str">
        <f>IF(ISNUMBER(SEARCH("Pan ",Broadcast_BASE[[#This Row],[Broadcast Market]]))=TRUE,"Y","N")</f>
        <v>N</v>
      </c>
      <c r="N239" t="str">
        <f>VLOOKUP(CONCATENATE(Broadcast_BASE[[#This Row],[Broadcast Market]],Broadcast_BASE[[#This Row],[Broadcaster]]),Table1[[CC]:[Pay TV vs. Free-to-Air]],3,FALSE)</f>
        <v>Pay TV</v>
      </c>
      <c r="O239" s="1">
        <f>VLOOKUP(CONCATENATE(Broadcast_BASE[[#This Row],[Broadcast Market]],Broadcast_BASE[[#This Row],[Broadcaster]]),Table1[[CC]:[Pay TV vs. Free-to-Air]],2,FALSE)</f>
        <v>4844000</v>
      </c>
      <c r="P239" s="234">
        <f>Broadcast_BASE[[#This Row],[Rolex EXP]]*86400</f>
        <v>5365.0384598606106</v>
      </c>
      <c r="Q239" s="235" t="str">
        <f>IF(Broadcast_BASE[[#This Row],[Dashboard Rated?]]="No","N","Y")</f>
        <v>Y</v>
      </c>
      <c r="R239" s="236"/>
      <c r="S239" s="236"/>
    </row>
    <row r="240" spans="1:19" x14ac:dyDescent="0.25">
      <c r="A240" s="72" t="e">
        <f>#REF!</f>
        <v>#REF!</v>
      </c>
      <c r="B240" s="178" t="s">
        <v>103</v>
      </c>
      <c r="C240" s="178" t="s">
        <v>269</v>
      </c>
      <c r="D240" s="178" t="s">
        <v>1643</v>
      </c>
      <c r="E240" s="179">
        <v>3.1011689814814818</v>
      </c>
      <c r="F240" s="180">
        <v>1065859</v>
      </c>
      <c r="G240" s="179">
        <v>0.25564657347835579</v>
      </c>
      <c r="H240" s="180">
        <v>369315.60816908121</v>
      </c>
      <c r="I240" s="180">
        <v>108576.20496684677</v>
      </c>
      <c r="J240" s="180" t="s">
        <v>1868</v>
      </c>
      <c r="K240" s="233" t="str">
        <f>VLOOKUP(Broadcast_BASE[[#This Row],[Broadcast Market]],Continent_Look_Up[],2,FALSE)</f>
        <v>Europe</v>
      </c>
      <c r="L240" t="str">
        <f>IF(OR(Broadcast_BASE[[#This Row],[Broadcast Continent]]="Digital",Broadcast_BASE[[#This Row],[Programme Type]]="Digital"),"Y","N")</f>
        <v>N</v>
      </c>
      <c r="M240" s="4" t="str">
        <f>IF(ISNUMBER(SEARCH("Pan ",Broadcast_BASE[[#This Row],[Broadcast Market]]))=TRUE,"Y","N")</f>
        <v>N</v>
      </c>
      <c r="N240" t="str">
        <f>VLOOKUP(CONCATENATE(Broadcast_BASE[[#This Row],[Broadcast Market]],Broadcast_BASE[[#This Row],[Broadcaster]]),Table1[[CC]:[Pay TV vs. Free-to-Air]],3,FALSE)</f>
        <v>Pay TV</v>
      </c>
      <c r="O240" s="1">
        <f>VLOOKUP(CONCATENATE(Broadcast_BASE[[#This Row],[Broadcast Market]],Broadcast_BASE[[#This Row],[Broadcaster]]),Table1[[CC]:[Pay TV vs. Free-to-Air]],2,FALSE)</f>
        <v>4844000</v>
      </c>
      <c r="P240" s="234">
        <f>Broadcast_BASE[[#This Row],[Rolex EXP]]*86400</f>
        <v>22087.863948529939</v>
      </c>
      <c r="Q240" s="235" t="str">
        <f>IF(Broadcast_BASE[[#This Row],[Dashboard Rated?]]="No","N","Y")</f>
        <v>Y</v>
      </c>
      <c r="R240" s="236"/>
      <c r="S240" s="236"/>
    </row>
    <row r="241" spans="1:19" x14ac:dyDescent="0.25">
      <c r="A241" s="72" t="e">
        <f>#REF!</f>
        <v>#REF!</v>
      </c>
      <c r="B241" s="178" t="s">
        <v>103</v>
      </c>
      <c r="C241" s="178" t="s">
        <v>269</v>
      </c>
      <c r="D241" s="178" t="s">
        <v>1644</v>
      </c>
      <c r="E241" s="179">
        <v>2.4179629629629633</v>
      </c>
      <c r="F241" s="180">
        <v>419170</v>
      </c>
      <c r="G241" s="179">
        <v>0.18174330250067061</v>
      </c>
      <c r="H241" s="180">
        <v>103618.94074347272</v>
      </c>
      <c r="I241" s="180">
        <v>29482.912675092233</v>
      </c>
      <c r="J241" s="180" t="s">
        <v>1868</v>
      </c>
      <c r="K241" s="233" t="str">
        <f>VLOOKUP(Broadcast_BASE[[#This Row],[Broadcast Market]],Continent_Look_Up[],2,FALSE)</f>
        <v>Europe</v>
      </c>
      <c r="L241" t="str">
        <f>IF(OR(Broadcast_BASE[[#This Row],[Broadcast Continent]]="Digital",Broadcast_BASE[[#This Row],[Programme Type]]="Digital"),"Y","N")</f>
        <v>N</v>
      </c>
      <c r="M241" s="4" t="str">
        <f>IF(ISNUMBER(SEARCH("Pan ",Broadcast_BASE[[#This Row],[Broadcast Market]]))=TRUE,"Y","N")</f>
        <v>N</v>
      </c>
      <c r="N241" t="str">
        <f>VLOOKUP(CONCATENATE(Broadcast_BASE[[#This Row],[Broadcast Market]],Broadcast_BASE[[#This Row],[Broadcaster]]),Table1[[CC]:[Pay TV vs. Free-to-Air]],3,FALSE)</f>
        <v>Pay TV</v>
      </c>
      <c r="O241" s="1">
        <f>VLOOKUP(CONCATENATE(Broadcast_BASE[[#This Row],[Broadcast Market]],Broadcast_BASE[[#This Row],[Broadcaster]]),Table1[[CC]:[Pay TV vs. Free-to-Air]],2,FALSE)</f>
        <v>4844000</v>
      </c>
      <c r="P241" s="234">
        <f>Broadcast_BASE[[#This Row],[Rolex EXP]]*86400</f>
        <v>15702.62133605794</v>
      </c>
      <c r="Q241" s="235" t="str">
        <f>IF(Broadcast_BASE[[#This Row],[Dashboard Rated?]]="No","N","Y")</f>
        <v>Y</v>
      </c>
      <c r="R241" s="236"/>
      <c r="S241" s="236"/>
    </row>
    <row r="242" spans="1:19" x14ac:dyDescent="0.25">
      <c r="A242" s="72" t="e">
        <f>#REF!</f>
        <v>#REF!</v>
      </c>
      <c r="B242" s="178" t="s">
        <v>104</v>
      </c>
      <c r="C242" s="178" t="s">
        <v>1244</v>
      </c>
      <c r="D242" s="178" t="s">
        <v>1643</v>
      </c>
      <c r="E242" s="179">
        <v>8.3333333333333329E-2</v>
      </c>
      <c r="F242" s="180">
        <v>256399.99999999997</v>
      </c>
      <c r="G242" s="179">
        <v>4.4200086244070699E-3</v>
      </c>
      <c r="H242" s="180">
        <v>10981.225653828329</v>
      </c>
      <c r="I242" s="180">
        <v>3294.6542793545868</v>
      </c>
      <c r="J242" s="180" t="s">
        <v>1868</v>
      </c>
      <c r="K242" s="233" t="str">
        <f>VLOOKUP(Broadcast_BASE[[#This Row],[Broadcast Market]],Continent_Look_Up[],2,FALSE)</f>
        <v>Europe</v>
      </c>
      <c r="L242" t="str">
        <f>IF(OR(Broadcast_BASE[[#This Row],[Broadcast Continent]]="Digital",Broadcast_BASE[[#This Row],[Programme Type]]="Digital"),"Y","N")</f>
        <v>N</v>
      </c>
      <c r="M242" s="4" t="str">
        <f>IF(ISNUMBER(SEARCH("Pan ",Broadcast_BASE[[#This Row],[Broadcast Market]]))=TRUE,"Y","N")</f>
        <v>N</v>
      </c>
      <c r="N242" t="str">
        <f>VLOOKUP(CONCATENATE(Broadcast_BASE[[#This Row],[Broadcast Market]],Broadcast_BASE[[#This Row],[Broadcaster]]),Table1[[CC]:[Pay TV vs. Free-to-Air]],3,FALSE)</f>
        <v>Free-to-Air</v>
      </c>
      <c r="O242" s="1">
        <f>VLOOKUP(CONCATENATE(Broadcast_BASE[[#This Row],[Broadcast Market]],Broadcast_BASE[[#This Row],[Broadcaster]]),Table1[[CC]:[Pay TV vs. Free-to-Air]],2,FALSE)</f>
        <v>52550000</v>
      </c>
      <c r="P242" s="234">
        <f>Broadcast_BASE[[#This Row],[Rolex EXP]]*86400</f>
        <v>381.88874514877085</v>
      </c>
      <c r="Q242" s="235" t="str">
        <f>IF(Broadcast_BASE[[#This Row],[Dashboard Rated?]]="No","N","Y")</f>
        <v>Y</v>
      </c>
      <c r="R242" s="236"/>
      <c r="S242" s="236"/>
    </row>
    <row r="243" spans="1:19" x14ac:dyDescent="0.25">
      <c r="A243" s="72" t="e">
        <f>#REF!</f>
        <v>#REF!</v>
      </c>
      <c r="B243" s="178" t="s">
        <v>106</v>
      </c>
      <c r="C243" s="178" t="s">
        <v>468</v>
      </c>
      <c r="D243" s="178" t="s">
        <v>1642</v>
      </c>
      <c r="E243" s="179">
        <v>2.8194444444444446</v>
      </c>
      <c r="F243" s="180">
        <v>32160</v>
      </c>
      <c r="G243" s="179">
        <v>0.18297240422330849</v>
      </c>
      <c r="H243" s="180">
        <v>2558.4408973559784</v>
      </c>
      <c r="I243" s="180">
        <v>719.39590332481578</v>
      </c>
      <c r="J243" s="180" t="s">
        <v>1867</v>
      </c>
      <c r="K243" s="233" t="str">
        <f>VLOOKUP(Broadcast_BASE[[#This Row],[Broadcast Market]],Continent_Look_Up[],2,FALSE)</f>
        <v>Asia Pacific</v>
      </c>
      <c r="L243" t="str">
        <f>IF(OR(Broadcast_BASE[[#This Row],[Broadcast Continent]]="Digital",Broadcast_BASE[[#This Row],[Programme Type]]="Digital"),"Y","N")</f>
        <v>N</v>
      </c>
      <c r="M243" s="4" t="str">
        <f>IF(ISNUMBER(SEARCH("Pan ",Broadcast_BASE[[#This Row],[Broadcast Market]]))=TRUE,"Y","N")</f>
        <v>N</v>
      </c>
      <c r="N243" t="str">
        <f>VLOOKUP(CONCATENATE(Broadcast_BASE[[#This Row],[Broadcast Market]],Broadcast_BASE[[#This Row],[Broadcaster]]),Table1[[CC]:[Pay TV vs. Free-to-Air]],3,FALSE)</f>
        <v>Pay TV</v>
      </c>
      <c r="O243" s="1">
        <f>VLOOKUP(CONCATENATE(Broadcast_BASE[[#This Row],[Broadcast Market]],Broadcast_BASE[[#This Row],[Broadcaster]]),Table1[[CC]:[Pay TV vs. Free-to-Air]],2,FALSE)</f>
        <v>964000</v>
      </c>
      <c r="P243" s="234">
        <f>Broadcast_BASE[[#This Row],[Rolex EXP]]*86400</f>
        <v>15808.815724893853</v>
      </c>
      <c r="Q243" s="235" t="str">
        <f>IF(Broadcast_BASE[[#This Row],[Dashboard Rated?]]="No","N","Y")</f>
        <v>N</v>
      </c>
      <c r="R243" s="236"/>
      <c r="S243" s="236"/>
    </row>
    <row r="244" spans="1:19" x14ac:dyDescent="0.25">
      <c r="A244" s="72" t="e">
        <f>#REF!</f>
        <v>#REF!</v>
      </c>
      <c r="B244" s="178" t="s">
        <v>106</v>
      </c>
      <c r="C244" s="178" t="s">
        <v>468</v>
      </c>
      <c r="D244" s="178" t="s">
        <v>1643</v>
      </c>
      <c r="E244" s="179">
        <v>4.645833333333333</v>
      </c>
      <c r="F244" s="180">
        <v>12179.999999999998</v>
      </c>
      <c r="G244" s="179">
        <v>0.2845800111098461</v>
      </c>
      <c r="H244" s="180">
        <v>10647.100534093874</v>
      </c>
      <c r="I244" s="180">
        <v>2955.9997128845625</v>
      </c>
      <c r="J244" s="180" t="s">
        <v>1867</v>
      </c>
      <c r="K244" s="233" t="str">
        <f>VLOOKUP(Broadcast_BASE[[#This Row],[Broadcast Market]],Continent_Look_Up[],2,FALSE)</f>
        <v>Asia Pacific</v>
      </c>
      <c r="L244" t="str">
        <f>IF(OR(Broadcast_BASE[[#This Row],[Broadcast Continent]]="Digital",Broadcast_BASE[[#This Row],[Programme Type]]="Digital"),"Y","N")</f>
        <v>N</v>
      </c>
      <c r="M244" s="4" t="str">
        <f>IF(ISNUMBER(SEARCH("Pan ",Broadcast_BASE[[#This Row],[Broadcast Market]]))=TRUE,"Y","N")</f>
        <v>N</v>
      </c>
      <c r="N244" t="str">
        <f>VLOOKUP(CONCATENATE(Broadcast_BASE[[#This Row],[Broadcast Market]],Broadcast_BASE[[#This Row],[Broadcaster]]),Table1[[CC]:[Pay TV vs. Free-to-Air]],3,FALSE)</f>
        <v>Pay TV</v>
      </c>
      <c r="O244" s="1">
        <f>VLOOKUP(CONCATENATE(Broadcast_BASE[[#This Row],[Broadcast Market]],Broadcast_BASE[[#This Row],[Broadcaster]]),Table1[[CC]:[Pay TV vs. Free-to-Air]],2,FALSE)</f>
        <v>964000</v>
      </c>
      <c r="P244" s="234">
        <f>Broadcast_BASE[[#This Row],[Rolex EXP]]*86400</f>
        <v>24587.712959890701</v>
      </c>
      <c r="Q244" s="235" t="str">
        <f>IF(Broadcast_BASE[[#This Row],[Dashboard Rated?]]="No","N","Y")</f>
        <v>N</v>
      </c>
      <c r="R244" s="236"/>
      <c r="S244" s="236"/>
    </row>
    <row r="245" spans="1:19" x14ac:dyDescent="0.25">
      <c r="A245" s="72" t="e">
        <f>#REF!</f>
        <v>#REF!</v>
      </c>
      <c r="B245" s="178" t="s">
        <v>106</v>
      </c>
      <c r="C245" s="178" t="s">
        <v>225</v>
      </c>
      <c r="D245" s="178" t="s">
        <v>1642</v>
      </c>
      <c r="E245" s="179">
        <v>0.78819444444444453</v>
      </c>
      <c r="F245" s="180">
        <v>6327</v>
      </c>
      <c r="G245" s="179">
        <v>4.6086534603504037E-2</v>
      </c>
      <c r="H245" s="180">
        <v>447.47286358024633</v>
      </c>
      <c r="I245" s="180">
        <v>127.28785672330574</v>
      </c>
      <c r="J245" s="180" t="s">
        <v>1867</v>
      </c>
      <c r="K245" s="233" t="str">
        <f>VLOOKUP(Broadcast_BASE[[#This Row],[Broadcast Market]],Continent_Look_Up[],2,FALSE)</f>
        <v>Asia Pacific</v>
      </c>
      <c r="L245" t="str">
        <f>IF(OR(Broadcast_BASE[[#This Row],[Broadcast Continent]]="Digital",Broadcast_BASE[[#This Row],[Programme Type]]="Digital"),"Y","N")</f>
        <v>N</v>
      </c>
      <c r="M245" s="4" t="str">
        <f>IF(ISNUMBER(SEARCH("Pan ",Broadcast_BASE[[#This Row],[Broadcast Market]]))=TRUE,"Y","N")</f>
        <v>N</v>
      </c>
      <c r="N245" t="str">
        <f>VLOOKUP(CONCATENATE(Broadcast_BASE[[#This Row],[Broadcast Market]],Broadcast_BASE[[#This Row],[Broadcaster]]),Table1[[CC]:[Pay TV vs. Free-to-Air]],3,FALSE)</f>
        <v>Pay TV</v>
      </c>
      <c r="O245" s="1">
        <f>VLOOKUP(CONCATENATE(Broadcast_BASE[[#This Row],[Broadcast Market]],Broadcast_BASE[[#This Row],[Broadcaster]]),Table1[[CC]:[Pay TV vs. Free-to-Air]],2,FALSE)</f>
        <v>964000</v>
      </c>
      <c r="P245" s="234">
        <f>Broadcast_BASE[[#This Row],[Rolex EXP]]*86400</f>
        <v>3981.8765897427488</v>
      </c>
      <c r="Q245" s="235" t="str">
        <f>IF(Broadcast_BASE[[#This Row],[Dashboard Rated?]]="No","N","Y")</f>
        <v>N</v>
      </c>
      <c r="R245" s="236"/>
      <c r="S245" s="236"/>
    </row>
    <row r="246" spans="1:19" x14ac:dyDescent="0.25">
      <c r="A246" s="72" t="e">
        <f>#REF!</f>
        <v>#REF!</v>
      </c>
      <c r="B246" s="178" t="s">
        <v>106</v>
      </c>
      <c r="C246" s="178" t="s">
        <v>225</v>
      </c>
      <c r="D246" s="178" t="s">
        <v>1643</v>
      </c>
      <c r="E246" s="179">
        <v>3.2291666666666665</v>
      </c>
      <c r="F246" s="180">
        <v>4920</v>
      </c>
      <c r="G246" s="179">
        <v>0.19780224987455672</v>
      </c>
      <c r="H246" s="180">
        <v>4484.0171349599077</v>
      </c>
      <c r="I246" s="180">
        <v>1244.9167095836951</v>
      </c>
      <c r="J246" s="180" t="s">
        <v>1867</v>
      </c>
      <c r="K246" s="233" t="str">
        <f>VLOOKUP(Broadcast_BASE[[#This Row],[Broadcast Market]],Continent_Look_Up[],2,FALSE)</f>
        <v>Asia Pacific</v>
      </c>
      <c r="L246" t="str">
        <f>IF(OR(Broadcast_BASE[[#This Row],[Broadcast Continent]]="Digital",Broadcast_BASE[[#This Row],[Programme Type]]="Digital"),"Y","N")</f>
        <v>N</v>
      </c>
      <c r="M246" s="4" t="str">
        <f>IF(ISNUMBER(SEARCH("Pan ",Broadcast_BASE[[#This Row],[Broadcast Market]]))=TRUE,"Y","N")</f>
        <v>N</v>
      </c>
      <c r="N246" t="str">
        <f>VLOOKUP(CONCATENATE(Broadcast_BASE[[#This Row],[Broadcast Market]],Broadcast_BASE[[#This Row],[Broadcaster]]),Table1[[CC]:[Pay TV vs. Free-to-Air]],3,FALSE)</f>
        <v>Pay TV</v>
      </c>
      <c r="O246" s="1">
        <f>VLOOKUP(CONCATENATE(Broadcast_BASE[[#This Row],[Broadcast Market]],Broadcast_BASE[[#This Row],[Broadcaster]]),Table1[[CC]:[Pay TV vs. Free-to-Air]],2,FALSE)</f>
        <v>964000</v>
      </c>
      <c r="P246" s="234">
        <f>Broadcast_BASE[[#This Row],[Rolex EXP]]*86400</f>
        <v>17090.114389161699</v>
      </c>
      <c r="Q246" s="235" t="str">
        <f>IF(Broadcast_BASE[[#This Row],[Dashboard Rated?]]="No","N","Y")</f>
        <v>N</v>
      </c>
      <c r="R246" s="236"/>
      <c r="S246" s="236"/>
    </row>
    <row r="247" spans="1:19" x14ac:dyDescent="0.25">
      <c r="A247" s="72" t="e">
        <f>#REF!</f>
        <v>#REF!</v>
      </c>
      <c r="B247" s="178" t="s">
        <v>106</v>
      </c>
      <c r="C247" s="178" t="s">
        <v>197</v>
      </c>
      <c r="D247" s="178" t="s">
        <v>1643</v>
      </c>
      <c r="E247" s="179">
        <v>3.0416666666666665</v>
      </c>
      <c r="F247" s="180">
        <v>3690</v>
      </c>
      <c r="G247" s="179">
        <v>0.18631695794635661</v>
      </c>
      <c r="H247" s="180">
        <v>4223.6548497041704</v>
      </c>
      <c r="I247" s="180">
        <v>1172.6312232207708</v>
      </c>
      <c r="J247" s="180" t="s">
        <v>1867</v>
      </c>
      <c r="K247" s="233" t="str">
        <f>VLOOKUP(Broadcast_BASE[[#This Row],[Broadcast Market]],Continent_Look_Up[],2,FALSE)</f>
        <v>Asia Pacific</v>
      </c>
      <c r="L247" t="str">
        <f>IF(OR(Broadcast_BASE[[#This Row],[Broadcast Continent]]="Digital",Broadcast_BASE[[#This Row],[Programme Type]]="Digital"),"Y","N")</f>
        <v>N</v>
      </c>
      <c r="M247" s="4" t="str">
        <f>IF(ISNUMBER(SEARCH("Pan ",Broadcast_BASE[[#This Row],[Broadcast Market]]))=TRUE,"Y","N")</f>
        <v>N</v>
      </c>
      <c r="N247" t="str">
        <f>VLOOKUP(CONCATENATE(Broadcast_BASE[[#This Row],[Broadcast Market]],Broadcast_BASE[[#This Row],[Broadcaster]]),Table1[[CC]:[Pay TV vs. Free-to-Air]],3,FALSE)</f>
        <v>Pay TV</v>
      </c>
      <c r="O247" s="1">
        <f>VLOOKUP(CONCATENATE(Broadcast_BASE[[#This Row],[Broadcast Market]],Broadcast_BASE[[#This Row],[Broadcaster]]),Table1[[CC]:[Pay TV vs. Free-to-Air]],2,FALSE)</f>
        <v>964000</v>
      </c>
      <c r="P247" s="234">
        <f>Broadcast_BASE[[#This Row],[Rolex EXP]]*86400</f>
        <v>16097.785166565211</v>
      </c>
      <c r="Q247" s="235" t="str">
        <f>IF(Broadcast_BASE[[#This Row],[Dashboard Rated?]]="No","N","Y")</f>
        <v>N</v>
      </c>
      <c r="R247" s="236"/>
      <c r="S247" s="236"/>
    </row>
    <row r="248" spans="1:19" x14ac:dyDescent="0.25">
      <c r="A248" s="72" t="e">
        <f>#REF!</f>
        <v>#REF!</v>
      </c>
      <c r="B248" s="178" t="s">
        <v>109</v>
      </c>
      <c r="C248" s="178" t="s">
        <v>1196</v>
      </c>
      <c r="D248" s="178" t="s">
        <v>1642</v>
      </c>
      <c r="E248" s="179">
        <v>0.28561342592592592</v>
      </c>
      <c r="F248" s="180">
        <v>9243</v>
      </c>
      <c r="G248" s="179">
        <v>1.7495219068653891E-2</v>
      </c>
      <c r="H248" s="180">
        <v>97.34751685374583</v>
      </c>
      <c r="I248" s="180">
        <v>27.027004295511485</v>
      </c>
      <c r="J248" s="180" t="s">
        <v>1868</v>
      </c>
      <c r="K248" s="233" t="str">
        <f>VLOOKUP(Broadcast_BASE[[#This Row],[Broadcast Market]],Continent_Look_Up[],2,FALSE)</f>
        <v>Africa &amp; Middle East</v>
      </c>
      <c r="L248" t="str">
        <f>IF(OR(Broadcast_BASE[[#This Row],[Broadcast Continent]]="Digital",Broadcast_BASE[[#This Row],[Programme Type]]="Digital"),"Y","N")</f>
        <v>N</v>
      </c>
      <c r="M248" s="4" t="str">
        <f>IF(ISNUMBER(SEARCH("Pan ",Broadcast_BASE[[#This Row],[Broadcast Market]]))=TRUE,"Y","N")</f>
        <v>N</v>
      </c>
      <c r="N248" t="str">
        <f>VLOOKUP(CONCATENATE(Broadcast_BASE[[#This Row],[Broadcast Market]],Broadcast_BASE[[#This Row],[Broadcaster]]),Table1[[CC]:[Pay TV vs. Free-to-Air]],3,FALSE)</f>
        <v>Pay TV</v>
      </c>
      <c r="O248" s="1">
        <f>VLOOKUP(CONCATENATE(Broadcast_BASE[[#This Row],[Broadcast Market]],Broadcast_BASE[[#This Row],[Broadcaster]]),Table1[[CC]:[Pay TV vs. Free-to-Air]],2,FALSE)</f>
        <v>5200000</v>
      </c>
      <c r="P248" s="234">
        <f>Broadcast_BASE[[#This Row],[Rolex EXP]]*86400</f>
        <v>1511.5869275316961</v>
      </c>
      <c r="Q248" s="235" t="str">
        <f>IF(Broadcast_BASE[[#This Row],[Dashboard Rated?]]="No","N","Y")</f>
        <v>Y</v>
      </c>
      <c r="R248" s="236"/>
      <c r="S248" s="236"/>
    </row>
    <row r="249" spans="1:19" x14ac:dyDescent="0.25">
      <c r="A249" s="72" t="e">
        <f>#REF!</f>
        <v>#REF!</v>
      </c>
      <c r="B249" s="178" t="s">
        <v>109</v>
      </c>
      <c r="C249" s="178" t="s">
        <v>1196</v>
      </c>
      <c r="D249" s="178" t="s">
        <v>1643</v>
      </c>
      <c r="E249" s="179">
        <v>6.0157175925925932</v>
      </c>
      <c r="F249" s="180">
        <v>36948</v>
      </c>
      <c r="G249" s="179">
        <v>0.36849212111218582</v>
      </c>
      <c r="H249" s="180">
        <v>3724.8045994482927</v>
      </c>
      <c r="I249" s="180">
        <v>1034.1333108730064</v>
      </c>
      <c r="J249" s="180" t="s">
        <v>1868</v>
      </c>
      <c r="K249" s="233" t="str">
        <f>VLOOKUP(Broadcast_BASE[[#This Row],[Broadcast Market]],Continent_Look_Up[],2,FALSE)</f>
        <v>Africa &amp; Middle East</v>
      </c>
      <c r="L249" t="str">
        <f>IF(OR(Broadcast_BASE[[#This Row],[Broadcast Continent]]="Digital",Broadcast_BASE[[#This Row],[Programme Type]]="Digital"),"Y","N")</f>
        <v>N</v>
      </c>
      <c r="M249" s="4" t="str">
        <f>IF(ISNUMBER(SEARCH("Pan ",Broadcast_BASE[[#This Row],[Broadcast Market]]))=TRUE,"Y","N")</f>
        <v>N</v>
      </c>
      <c r="N249" t="str">
        <f>VLOOKUP(CONCATENATE(Broadcast_BASE[[#This Row],[Broadcast Market]],Broadcast_BASE[[#This Row],[Broadcaster]]),Table1[[CC]:[Pay TV vs. Free-to-Air]],3,FALSE)</f>
        <v>Pay TV</v>
      </c>
      <c r="O249" s="1">
        <f>VLOOKUP(CONCATENATE(Broadcast_BASE[[#This Row],[Broadcast Market]],Broadcast_BASE[[#This Row],[Broadcaster]]),Table1[[CC]:[Pay TV vs. Free-to-Air]],2,FALSE)</f>
        <v>5200000</v>
      </c>
      <c r="P249" s="234">
        <f>Broadcast_BASE[[#This Row],[Rolex EXP]]*86400</f>
        <v>31837.719264092855</v>
      </c>
      <c r="Q249" s="235" t="str">
        <f>IF(Broadcast_BASE[[#This Row],[Dashboard Rated?]]="No","N","Y")</f>
        <v>Y</v>
      </c>
      <c r="R249" s="236"/>
      <c r="S249" s="236"/>
    </row>
    <row r="250" spans="1:19" x14ac:dyDescent="0.25">
      <c r="A250" s="72" t="e">
        <f>#REF!</f>
        <v>#REF!</v>
      </c>
      <c r="B250" s="178" t="s">
        <v>109</v>
      </c>
      <c r="C250" s="178" t="s">
        <v>1196</v>
      </c>
      <c r="D250" s="178" t="s">
        <v>1644</v>
      </c>
      <c r="E250" s="179">
        <v>0.17097222222222222</v>
      </c>
      <c r="F250" s="180">
        <v>49</v>
      </c>
      <c r="G250" s="179">
        <v>1.0472884713788357E-2</v>
      </c>
      <c r="H250" s="180">
        <v>3.2434228381934642</v>
      </c>
      <c r="I250" s="180">
        <v>0.9004852492715818</v>
      </c>
      <c r="J250" s="180" t="s">
        <v>1868</v>
      </c>
      <c r="K250" s="233" t="str">
        <f>VLOOKUP(Broadcast_BASE[[#This Row],[Broadcast Market]],Continent_Look_Up[],2,FALSE)</f>
        <v>Africa &amp; Middle East</v>
      </c>
      <c r="L250" t="str">
        <f>IF(OR(Broadcast_BASE[[#This Row],[Broadcast Continent]]="Digital",Broadcast_BASE[[#This Row],[Programme Type]]="Digital"),"Y","N")</f>
        <v>N</v>
      </c>
      <c r="M250" s="4" t="str">
        <f>IF(ISNUMBER(SEARCH("Pan ",Broadcast_BASE[[#This Row],[Broadcast Market]]))=TRUE,"Y","N")</f>
        <v>N</v>
      </c>
      <c r="N250" t="str">
        <f>VLOOKUP(CONCATENATE(Broadcast_BASE[[#This Row],[Broadcast Market]],Broadcast_BASE[[#This Row],[Broadcaster]]),Table1[[CC]:[Pay TV vs. Free-to-Air]],3,FALSE)</f>
        <v>Pay TV</v>
      </c>
      <c r="O250" s="1">
        <f>VLOOKUP(CONCATENATE(Broadcast_BASE[[#This Row],[Broadcast Market]],Broadcast_BASE[[#This Row],[Broadcaster]]),Table1[[CC]:[Pay TV vs. Free-to-Air]],2,FALSE)</f>
        <v>5200000</v>
      </c>
      <c r="P250" s="234">
        <f>Broadcast_BASE[[#This Row],[Rolex EXP]]*86400</f>
        <v>904.85723927131403</v>
      </c>
      <c r="Q250" s="235" t="str">
        <f>IF(Broadcast_BASE[[#This Row],[Dashboard Rated?]]="No","N","Y")</f>
        <v>Y</v>
      </c>
      <c r="R250" s="236"/>
      <c r="S250" s="236"/>
    </row>
    <row r="251" spans="1:19" x14ac:dyDescent="0.25">
      <c r="A251" s="72" t="e">
        <f>#REF!</f>
        <v>#REF!</v>
      </c>
      <c r="B251" s="178" t="s">
        <v>109</v>
      </c>
      <c r="C251" s="178" t="s">
        <v>1197</v>
      </c>
      <c r="D251" s="178" t="s">
        <v>1643</v>
      </c>
      <c r="E251" s="179">
        <v>0.16015046296296295</v>
      </c>
      <c r="F251" s="180">
        <v>49</v>
      </c>
      <c r="G251" s="179">
        <v>9.8099990376854535E-3</v>
      </c>
      <c r="H251" s="180">
        <v>3.0381290151694396</v>
      </c>
      <c r="I251" s="180">
        <v>0.84348865381606264</v>
      </c>
      <c r="J251" s="180" t="s">
        <v>1868</v>
      </c>
      <c r="K251" s="233" t="str">
        <f>VLOOKUP(Broadcast_BASE[[#This Row],[Broadcast Market]],Continent_Look_Up[],2,FALSE)</f>
        <v>Africa &amp; Middle East</v>
      </c>
      <c r="L251" t="str">
        <f>IF(OR(Broadcast_BASE[[#This Row],[Broadcast Continent]]="Digital",Broadcast_BASE[[#This Row],[Programme Type]]="Digital"),"Y","N")</f>
        <v>N</v>
      </c>
      <c r="M251" s="4" t="str">
        <f>IF(ISNUMBER(SEARCH("Pan ",Broadcast_BASE[[#This Row],[Broadcast Market]]))=TRUE,"Y","N")</f>
        <v>N</v>
      </c>
      <c r="N251" t="str">
        <f>VLOOKUP(CONCATENATE(Broadcast_BASE[[#This Row],[Broadcast Market]],Broadcast_BASE[[#This Row],[Broadcaster]]),Table1[[CC]:[Pay TV vs. Free-to-Air]],3,FALSE)</f>
        <v>Pay TV</v>
      </c>
      <c r="O251" s="1">
        <f>VLOOKUP(CONCATENATE(Broadcast_BASE[[#This Row],[Broadcast Market]],Broadcast_BASE[[#This Row],[Broadcaster]]),Table1[[CC]:[Pay TV vs. Free-to-Air]],2,FALSE)</f>
        <v>5200000</v>
      </c>
      <c r="P251" s="234">
        <f>Broadcast_BASE[[#This Row],[Rolex EXP]]*86400</f>
        <v>847.58391685602317</v>
      </c>
      <c r="Q251" s="235" t="str">
        <f>IF(Broadcast_BASE[[#This Row],[Dashboard Rated?]]="No","N","Y")</f>
        <v>Y</v>
      </c>
      <c r="R251" s="236"/>
      <c r="S251" s="236"/>
    </row>
    <row r="252" spans="1:19" x14ac:dyDescent="0.25">
      <c r="A252" s="72" t="e">
        <f>#REF!</f>
        <v>#REF!</v>
      </c>
      <c r="B252" s="178" t="s">
        <v>109</v>
      </c>
      <c r="C252" s="178" t="s">
        <v>1198</v>
      </c>
      <c r="D252" s="178" t="s">
        <v>1642</v>
      </c>
      <c r="E252" s="179">
        <v>1.5881134259259257</v>
      </c>
      <c r="F252" s="180">
        <v>320837</v>
      </c>
      <c r="G252" s="179">
        <v>9.7279713663217041E-2</v>
      </c>
      <c r="H252" s="180">
        <v>3081.116685852975</v>
      </c>
      <c r="I252" s="180">
        <v>855.42350328904388</v>
      </c>
      <c r="J252" s="180" t="s">
        <v>1868</v>
      </c>
      <c r="K252" s="233" t="str">
        <f>VLOOKUP(Broadcast_BASE[[#This Row],[Broadcast Market]],Continent_Look_Up[],2,FALSE)</f>
        <v>Africa &amp; Middle East</v>
      </c>
      <c r="L252" t="str">
        <f>IF(OR(Broadcast_BASE[[#This Row],[Broadcast Continent]]="Digital",Broadcast_BASE[[#This Row],[Programme Type]]="Digital"),"Y","N")</f>
        <v>N</v>
      </c>
      <c r="M252" s="4" t="str">
        <f>IF(ISNUMBER(SEARCH("Pan ",Broadcast_BASE[[#This Row],[Broadcast Market]]))=TRUE,"Y","N")</f>
        <v>N</v>
      </c>
      <c r="N252" t="str">
        <f>VLOOKUP(CONCATENATE(Broadcast_BASE[[#This Row],[Broadcast Market]],Broadcast_BASE[[#This Row],[Broadcaster]]),Table1[[CC]:[Pay TV vs. Free-to-Air]],3,FALSE)</f>
        <v>Pay TV</v>
      </c>
      <c r="O252" s="1">
        <f>VLOOKUP(CONCATENATE(Broadcast_BASE[[#This Row],[Broadcast Market]],Broadcast_BASE[[#This Row],[Broadcaster]]),Table1[[CC]:[Pay TV vs. Free-to-Air]],2,FALSE)</f>
        <v>5200000</v>
      </c>
      <c r="P252" s="234">
        <f>Broadcast_BASE[[#This Row],[Rolex EXP]]*86400</f>
        <v>8404.9672605019532</v>
      </c>
      <c r="Q252" s="235" t="str">
        <f>IF(Broadcast_BASE[[#This Row],[Dashboard Rated?]]="No","N","Y")</f>
        <v>Y</v>
      </c>
      <c r="R252" s="236"/>
      <c r="S252" s="236"/>
    </row>
    <row r="253" spans="1:19" x14ac:dyDescent="0.25">
      <c r="A253" s="72" t="e">
        <f>#REF!</f>
        <v>#REF!</v>
      </c>
      <c r="B253" s="178" t="s">
        <v>109</v>
      </c>
      <c r="C253" s="178" t="s">
        <v>1198</v>
      </c>
      <c r="D253" s="178" t="s">
        <v>1643</v>
      </c>
      <c r="E253" s="179">
        <v>7.6190046296296297</v>
      </c>
      <c r="F253" s="180">
        <v>193959</v>
      </c>
      <c r="G253" s="179">
        <v>0.46670129265922194</v>
      </c>
      <c r="H253" s="180">
        <v>20684.915703306899</v>
      </c>
      <c r="I253" s="180">
        <v>5742.8409438063336</v>
      </c>
      <c r="J253" s="180" t="s">
        <v>1868</v>
      </c>
      <c r="K253" s="233" t="str">
        <f>VLOOKUP(Broadcast_BASE[[#This Row],[Broadcast Market]],Continent_Look_Up[],2,FALSE)</f>
        <v>Africa &amp; Middle East</v>
      </c>
      <c r="L253" t="str">
        <f>IF(OR(Broadcast_BASE[[#This Row],[Broadcast Continent]]="Digital",Broadcast_BASE[[#This Row],[Programme Type]]="Digital"),"Y","N")</f>
        <v>N</v>
      </c>
      <c r="M253" s="4" t="str">
        <f>IF(ISNUMBER(SEARCH("Pan ",Broadcast_BASE[[#This Row],[Broadcast Market]]))=TRUE,"Y","N")</f>
        <v>N</v>
      </c>
      <c r="N253" t="str">
        <f>VLOOKUP(CONCATENATE(Broadcast_BASE[[#This Row],[Broadcast Market]],Broadcast_BASE[[#This Row],[Broadcaster]]),Table1[[CC]:[Pay TV vs. Free-to-Air]],3,FALSE)</f>
        <v>Pay TV</v>
      </c>
      <c r="O253" s="1">
        <f>VLOOKUP(CONCATENATE(Broadcast_BASE[[#This Row],[Broadcast Market]],Broadcast_BASE[[#This Row],[Broadcaster]]),Table1[[CC]:[Pay TV vs. Free-to-Air]],2,FALSE)</f>
        <v>5200000</v>
      </c>
      <c r="P253" s="234">
        <f>Broadcast_BASE[[#This Row],[Rolex EXP]]*86400</f>
        <v>40322.991685756773</v>
      </c>
      <c r="Q253" s="235" t="str">
        <f>IF(Broadcast_BASE[[#This Row],[Dashboard Rated?]]="No","N","Y")</f>
        <v>Y</v>
      </c>
      <c r="R253" s="236"/>
      <c r="S253" s="236"/>
    </row>
    <row r="254" spans="1:19" x14ac:dyDescent="0.25">
      <c r="A254" s="72" t="e">
        <f>#REF!</f>
        <v>#REF!</v>
      </c>
      <c r="B254" s="178" t="s">
        <v>109</v>
      </c>
      <c r="C254" s="178" t="s">
        <v>1198</v>
      </c>
      <c r="D254" s="178" t="s">
        <v>1644</v>
      </c>
      <c r="E254" s="179">
        <v>6.1840972222222232</v>
      </c>
      <c r="F254" s="180">
        <v>224727</v>
      </c>
      <c r="G254" s="179">
        <v>0.37880619685116462</v>
      </c>
      <c r="H254" s="180">
        <v>10709.395919673016</v>
      </c>
      <c r="I254" s="180">
        <v>2973.2950451955799</v>
      </c>
      <c r="J254" s="180" t="s">
        <v>1868</v>
      </c>
      <c r="K254" s="233" t="str">
        <f>VLOOKUP(Broadcast_BASE[[#This Row],[Broadcast Market]],Continent_Look_Up[],2,FALSE)</f>
        <v>Africa &amp; Middle East</v>
      </c>
      <c r="L254" t="str">
        <f>IF(OR(Broadcast_BASE[[#This Row],[Broadcast Continent]]="Digital",Broadcast_BASE[[#This Row],[Programme Type]]="Digital"),"Y","N")</f>
        <v>N</v>
      </c>
      <c r="M254" s="4" t="str">
        <f>IF(ISNUMBER(SEARCH("Pan ",Broadcast_BASE[[#This Row],[Broadcast Market]]))=TRUE,"Y","N")</f>
        <v>N</v>
      </c>
      <c r="N254" t="str">
        <f>VLOOKUP(CONCATENATE(Broadcast_BASE[[#This Row],[Broadcast Market]],Broadcast_BASE[[#This Row],[Broadcaster]]),Table1[[CC]:[Pay TV vs. Free-to-Air]],3,FALSE)</f>
        <v>Pay TV</v>
      </c>
      <c r="O254" s="1">
        <f>VLOOKUP(CONCATENATE(Broadcast_BASE[[#This Row],[Broadcast Market]],Broadcast_BASE[[#This Row],[Broadcaster]]),Table1[[CC]:[Pay TV vs. Free-to-Air]],2,FALSE)</f>
        <v>5200000</v>
      </c>
      <c r="P254" s="234">
        <f>Broadcast_BASE[[#This Row],[Rolex EXP]]*86400</f>
        <v>32728.855407940624</v>
      </c>
      <c r="Q254" s="235" t="str">
        <f>IF(Broadcast_BASE[[#This Row],[Dashboard Rated?]]="No","N","Y")</f>
        <v>Y</v>
      </c>
      <c r="R254" s="236"/>
      <c r="S254" s="236"/>
    </row>
    <row r="255" spans="1:19" x14ac:dyDescent="0.25">
      <c r="A255" s="72" t="e">
        <f>#REF!</f>
        <v>#REF!</v>
      </c>
      <c r="B255" s="178" t="s">
        <v>109</v>
      </c>
      <c r="C255" s="178" t="s">
        <v>1199</v>
      </c>
      <c r="D255" s="178" t="s">
        <v>1643</v>
      </c>
      <c r="E255" s="179">
        <v>2.4234722222222222</v>
      </c>
      <c r="F255" s="180">
        <v>7150</v>
      </c>
      <c r="G255" s="179">
        <v>0.14844952507789849</v>
      </c>
      <c r="H255" s="180">
        <v>1053.2532981218235</v>
      </c>
      <c r="I255" s="180">
        <v>292.4191836897873</v>
      </c>
      <c r="J255" s="180" t="s">
        <v>1868</v>
      </c>
      <c r="K255" s="233" t="str">
        <f>VLOOKUP(Broadcast_BASE[[#This Row],[Broadcast Market]],Continent_Look_Up[],2,FALSE)</f>
        <v>Africa &amp; Middle East</v>
      </c>
      <c r="L255" t="str">
        <f>IF(OR(Broadcast_BASE[[#This Row],[Broadcast Continent]]="Digital",Broadcast_BASE[[#This Row],[Programme Type]]="Digital"),"Y","N")</f>
        <v>N</v>
      </c>
      <c r="M255" s="4" t="str">
        <f>IF(ISNUMBER(SEARCH("Pan ",Broadcast_BASE[[#This Row],[Broadcast Market]]))=TRUE,"Y","N")</f>
        <v>N</v>
      </c>
      <c r="N255" t="str">
        <f>VLOOKUP(CONCATENATE(Broadcast_BASE[[#This Row],[Broadcast Market]],Broadcast_BASE[[#This Row],[Broadcaster]]),Table1[[CC]:[Pay TV vs. Free-to-Air]],3,FALSE)</f>
        <v>Pay TV</v>
      </c>
      <c r="O255" s="1">
        <f>VLOOKUP(CONCATENATE(Broadcast_BASE[[#This Row],[Broadcast Market]],Broadcast_BASE[[#This Row],[Broadcaster]]),Table1[[CC]:[Pay TV vs. Free-to-Air]],2,FALSE)</f>
        <v>5200000</v>
      </c>
      <c r="P255" s="234">
        <f>Broadcast_BASE[[#This Row],[Rolex EXP]]*86400</f>
        <v>12826.03896673043</v>
      </c>
      <c r="Q255" s="235" t="str">
        <f>IF(Broadcast_BASE[[#This Row],[Dashboard Rated?]]="No","N","Y")</f>
        <v>Y</v>
      </c>
      <c r="R255" s="236"/>
      <c r="S255" s="236"/>
    </row>
    <row r="256" spans="1:19" x14ac:dyDescent="0.25">
      <c r="A256" s="72" t="e">
        <f>#REF!</f>
        <v>#REF!</v>
      </c>
      <c r="B256" s="178" t="s">
        <v>109</v>
      </c>
      <c r="C256" s="178" t="s">
        <v>1199</v>
      </c>
      <c r="D256" s="178" t="s">
        <v>1644</v>
      </c>
      <c r="E256" s="179">
        <v>0.22556712962962963</v>
      </c>
      <c r="F256" s="180">
        <v>84</v>
      </c>
      <c r="G256" s="179">
        <v>1.3817089777079699E-2</v>
      </c>
      <c r="H256" s="180">
        <v>7.3356234993097713</v>
      </c>
      <c r="I256" s="180">
        <v>2.0366202881575748</v>
      </c>
      <c r="J256" s="180" t="s">
        <v>1868</v>
      </c>
      <c r="K256" s="233" t="str">
        <f>VLOOKUP(Broadcast_BASE[[#This Row],[Broadcast Market]],Continent_Look_Up[],2,FALSE)</f>
        <v>Africa &amp; Middle East</v>
      </c>
      <c r="L256" t="str">
        <f>IF(OR(Broadcast_BASE[[#This Row],[Broadcast Continent]]="Digital",Broadcast_BASE[[#This Row],[Programme Type]]="Digital"),"Y","N")</f>
        <v>N</v>
      </c>
      <c r="M256" s="4" t="str">
        <f>IF(ISNUMBER(SEARCH("Pan ",Broadcast_BASE[[#This Row],[Broadcast Market]]))=TRUE,"Y","N")</f>
        <v>N</v>
      </c>
      <c r="N256" t="str">
        <f>VLOOKUP(CONCATENATE(Broadcast_BASE[[#This Row],[Broadcast Market]],Broadcast_BASE[[#This Row],[Broadcaster]]),Table1[[CC]:[Pay TV vs. Free-to-Air]],3,FALSE)</f>
        <v>Pay TV</v>
      </c>
      <c r="O256" s="1">
        <f>VLOOKUP(CONCATENATE(Broadcast_BASE[[#This Row],[Broadcast Market]],Broadcast_BASE[[#This Row],[Broadcaster]]),Table1[[CC]:[Pay TV vs. Free-to-Air]],2,FALSE)</f>
        <v>5200000</v>
      </c>
      <c r="P256" s="234">
        <f>Broadcast_BASE[[#This Row],[Rolex EXP]]*86400</f>
        <v>1193.7965567396859</v>
      </c>
      <c r="Q256" s="235" t="str">
        <f>IF(Broadcast_BASE[[#This Row],[Dashboard Rated?]]="No","N","Y")</f>
        <v>Y</v>
      </c>
      <c r="R256" s="236"/>
      <c r="S256" s="236"/>
    </row>
    <row r="257" spans="1:19" x14ac:dyDescent="0.25">
      <c r="A257" s="72" t="e">
        <f>#REF!</f>
        <v>#REF!</v>
      </c>
      <c r="B257" s="178" t="s">
        <v>109</v>
      </c>
      <c r="C257" s="178" t="s">
        <v>1200</v>
      </c>
      <c r="D257" s="178" t="s">
        <v>1642</v>
      </c>
      <c r="E257" s="179">
        <v>0.12510416666666666</v>
      </c>
      <c r="F257" s="180">
        <v>8496</v>
      </c>
      <c r="G257" s="179">
        <v>7.6632420032045996E-3</v>
      </c>
      <c r="H257" s="180">
        <v>63.874460950843606</v>
      </c>
      <c r="I257" s="180">
        <v>17.733737708847407</v>
      </c>
      <c r="J257" s="180" t="s">
        <v>1868</v>
      </c>
      <c r="K257" s="233" t="str">
        <f>VLOOKUP(Broadcast_BASE[[#This Row],[Broadcast Market]],Continent_Look_Up[],2,FALSE)</f>
        <v>Africa &amp; Middle East</v>
      </c>
      <c r="L257" t="str">
        <f>IF(OR(Broadcast_BASE[[#This Row],[Broadcast Continent]]="Digital",Broadcast_BASE[[#This Row],[Programme Type]]="Digital"),"Y","N")</f>
        <v>N</v>
      </c>
      <c r="M257" s="4" t="str">
        <f>IF(ISNUMBER(SEARCH("Pan ",Broadcast_BASE[[#This Row],[Broadcast Market]]))=TRUE,"Y","N")</f>
        <v>N</v>
      </c>
      <c r="N257" t="str">
        <f>VLOOKUP(CONCATENATE(Broadcast_BASE[[#This Row],[Broadcast Market]],Broadcast_BASE[[#This Row],[Broadcaster]]),Table1[[CC]:[Pay TV vs. Free-to-Air]],3,FALSE)</f>
        <v>Pay TV</v>
      </c>
      <c r="O257" s="1">
        <f>VLOOKUP(CONCATENATE(Broadcast_BASE[[#This Row],[Broadcast Market]],Broadcast_BASE[[#This Row],[Broadcaster]]),Table1[[CC]:[Pay TV vs. Free-to-Air]],2,FALSE)</f>
        <v>5200000</v>
      </c>
      <c r="P257" s="234">
        <f>Broadcast_BASE[[#This Row],[Rolex EXP]]*86400</f>
        <v>662.10410907687742</v>
      </c>
      <c r="Q257" s="235" t="str">
        <f>IF(Broadcast_BASE[[#This Row],[Dashboard Rated?]]="No","N","Y")</f>
        <v>Y</v>
      </c>
      <c r="R257" s="236"/>
      <c r="S257" s="236"/>
    </row>
    <row r="258" spans="1:19" x14ac:dyDescent="0.25">
      <c r="A258" s="72" t="e">
        <f>#REF!</f>
        <v>#REF!</v>
      </c>
      <c r="B258" s="178" t="s">
        <v>109</v>
      </c>
      <c r="C258" s="178" t="s">
        <v>1200</v>
      </c>
      <c r="D258" s="178" t="s">
        <v>1644</v>
      </c>
      <c r="E258" s="179">
        <v>0.25158564814814816</v>
      </c>
      <c r="F258" s="180">
        <v>1249</v>
      </c>
      <c r="G258" s="179">
        <v>1.5410851274276842E-2</v>
      </c>
      <c r="H258" s="180">
        <v>62.052456426970018</v>
      </c>
      <c r="I258" s="180">
        <v>17.227886859388605</v>
      </c>
      <c r="J258" s="180" t="s">
        <v>1868</v>
      </c>
      <c r="K258" s="233" t="str">
        <f>VLOOKUP(Broadcast_BASE[[#This Row],[Broadcast Market]],Continent_Look_Up[],2,FALSE)</f>
        <v>Africa &amp; Middle East</v>
      </c>
      <c r="L258" t="str">
        <f>IF(OR(Broadcast_BASE[[#This Row],[Broadcast Continent]]="Digital",Broadcast_BASE[[#This Row],[Programme Type]]="Digital"),"Y","N")</f>
        <v>N</v>
      </c>
      <c r="M258" s="4" t="str">
        <f>IF(ISNUMBER(SEARCH("Pan ",Broadcast_BASE[[#This Row],[Broadcast Market]]))=TRUE,"Y","N")</f>
        <v>N</v>
      </c>
      <c r="N258" t="str">
        <f>VLOOKUP(CONCATENATE(Broadcast_BASE[[#This Row],[Broadcast Market]],Broadcast_BASE[[#This Row],[Broadcaster]]),Table1[[CC]:[Pay TV vs. Free-to-Air]],3,FALSE)</f>
        <v>Pay TV</v>
      </c>
      <c r="O258" s="1">
        <f>VLOOKUP(CONCATENATE(Broadcast_BASE[[#This Row],[Broadcast Market]],Broadcast_BASE[[#This Row],[Broadcaster]]),Table1[[CC]:[Pay TV vs. Free-to-Air]],2,FALSE)</f>
        <v>5200000</v>
      </c>
      <c r="P258" s="234">
        <f>Broadcast_BASE[[#This Row],[Rolex EXP]]*86400</f>
        <v>1331.4975500975193</v>
      </c>
      <c r="Q258" s="235" t="str">
        <f>IF(Broadcast_BASE[[#This Row],[Dashboard Rated?]]="No","N","Y")</f>
        <v>Y</v>
      </c>
      <c r="R258" s="236"/>
      <c r="S258" s="236"/>
    </row>
    <row r="259" spans="1:19" x14ac:dyDescent="0.25">
      <c r="A259" s="72" t="e">
        <f>#REF!</f>
        <v>#REF!</v>
      </c>
      <c r="B259" s="178" t="s">
        <v>109</v>
      </c>
      <c r="C259" s="178" t="s">
        <v>1201</v>
      </c>
      <c r="D259" s="178" t="s">
        <v>1642</v>
      </c>
      <c r="E259" s="179">
        <v>0.23393518518518519</v>
      </c>
      <c r="F259" s="180">
        <v>115598</v>
      </c>
      <c r="G259" s="179">
        <v>1.4329674102023446E-2</v>
      </c>
      <c r="H259" s="180">
        <v>868.67552847677803</v>
      </c>
      <c r="I259" s="180">
        <v>241.17407406313512</v>
      </c>
      <c r="J259" s="180" t="s">
        <v>1868</v>
      </c>
      <c r="K259" s="233" t="str">
        <f>VLOOKUP(Broadcast_BASE[[#This Row],[Broadcast Market]],Continent_Look_Up[],2,FALSE)</f>
        <v>Africa &amp; Middle East</v>
      </c>
      <c r="L259" t="str">
        <f>IF(OR(Broadcast_BASE[[#This Row],[Broadcast Continent]]="Digital",Broadcast_BASE[[#This Row],[Programme Type]]="Digital"),"Y","N")</f>
        <v>N</v>
      </c>
      <c r="M259" s="4" t="str">
        <f>IF(ISNUMBER(SEARCH("Pan ",Broadcast_BASE[[#This Row],[Broadcast Market]]))=TRUE,"Y","N")</f>
        <v>N</v>
      </c>
      <c r="N259" t="str">
        <f>VLOOKUP(CONCATENATE(Broadcast_BASE[[#This Row],[Broadcast Market]],Broadcast_BASE[[#This Row],[Broadcaster]]),Table1[[CC]:[Pay TV vs. Free-to-Air]],3,FALSE)</f>
        <v>Pay TV</v>
      </c>
      <c r="O259" s="1">
        <f>VLOOKUP(CONCATENATE(Broadcast_BASE[[#This Row],[Broadcast Market]],Broadcast_BASE[[#This Row],[Broadcaster]]),Table1[[CC]:[Pay TV vs. Free-to-Air]],2,FALSE)</f>
        <v>5200000</v>
      </c>
      <c r="P259" s="234">
        <f>Broadcast_BASE[[#This Row],[Rolex EXP]]*86400</f>
        <v>1238.0838424148258</v>
      </c>
      <c r="Q259" s="235" t="str">
        <f>IF(Broadcast_BASE[[#This Row],[Dashboard Rated?]]="No","N","Y")</f>
        <v>Y</v>
      </c>
      <c r="R259" s="236"/>
      <c r="S259" s="236"/>
    </row>
    <row r="260" spans="1:19" x14ac:dyDescent="0.25">
      <c r="A260" s="72" t="e">
        <f>#REF!</f>
        <v>#REF!</v>
      </c>
      <c r="B260" s="178" t="s">
        <v>109</v>
      </c>
      <c r="C260" s="178" t="s">
        <v>1203</v>
      </c>
      <c r="D260" s="178" t="s">
        <v>1642</v>
      </c>
      <c r="E260" s="179">
        <v>0.14736111111111111</v>
      </c>
      <c r="F260" s="180">
        <v>4945</v>
      </c>
      <c r="G260" s="179">
        <v>9.0265886932002024E-3</v>
      </c>
      <c r="H260" s="180">
        <v>64.991664424195974</v>
      </c>
      <c r="I260" s="180">
        <v>18.04391165112289</v>
      </c>
      <c r="J260" s="180" t="s">
        <v>1868</v>
      </c>
      <c r="K260" s="233" t="str">
        <f>VLOOKUP(Broadcast_BASE[[#This Row],[Broadcast Market]],Continent_Look_Up[],2,FALSE)</f>
        <v>Africa &amp; Middle East</v>
      </c>
      <c r="L260" t="str">
        <f>IF(OR(Broadcast_BASE[[#This Row],[Broadcast Continent]]="Digital",Broadcast_BASE[[#This Row],[Programme Type]]="Digital"),"Y","N")</f>
        <v>N</v>
      </c>
      <c r="M260" s="4" t="str">
        <f>IF(ISNUMBER(SEARCH("Pan ",Broadcast_BASE[[#This Row],[Broadcast Market]]))=TRUE,"Y","N")</f>
        <v>N</v>
      </c>
      <c r="N260" t="str">
        <f>VLOOKUP(CONCATENATE(Broadcast_BASE[[#This Row],[Broadcast Market]],Broadcast_BASE[[#This Row],[Broadcaster]]),Table1[[CC]:[Pay TV vs. Free-to-Air]],3,FALSE)</f>
        <v>Pay TV</v>
      </c>
      <c r="O260" s="1">
        <f>VLOOKUP(CONCATENATE(Broadcast_BASE[[#This Row],[Broadcast Market]],Broadcast_BASE[[#This Row],[Broadcaster]]),Table1[[CC]:[Pay TV vs. Free-to-Air]],2,FALSE)</f>
        <v>5200000</v>
      </c>
      <c r="P260" s="234">
        <f>Broadcast_BASE[[#This Row],[Rolex EXP]]*86400</f>
        <v>779.8972630924975</v>
      </c>
      <c r="Q260" s="235" t="str">
        <f>IF(Broadcast_BASE[[#This Row],[Dashboard Rated?]]="No","N","Y")</f>
        <v>Y</v>
      </c>
      <c r="R260" s="236"/>
      <c r="S260" s="236"/>
    </row>
    <row r="261" spans="1:19" x14ac:dyDescent="0.25">
      <c r="A261" s="72" t="e">
        <f>#REF!</f>
        <v>#REF!</v>
      </c>
      <c r="B261" s="178" t="s">
        <v>109</v>
      </c>
      <c r="C261" s="178" t="s">
        <v>1203</v>
      </c>
      <c r="D261" s="178" t="s">
        <v>1643</v>
      </c>
      <c r="E261" s="179">
        <v>3.7275462962962966</v>
      </c>
      <c r="F261" s="180">
        <v>17360</v>
      </c>
      <c r="G261" s="179">
        <v>0.22833043940716749</v>
      </c>
      <c r="H261" s="180">
        <v>2084.5441676127189</v>
      </c>
      <c r="I261" s="180">
        <v>578.74084509927093</v>
      </c>
      <c r="J261" s="180" t="s">
        <v>1868</v>
      </c>
      <c r="K261" s="233" t="str">
        <f>VLOOKUP(Broadcast_BASE[[#This Row],[Broadcast Market]],Continent_Look_Up[],2,FALSE)</f>
        <v>Africa &amp; Middle East</v>
      </c>
      <c r="L261" t="str">
        <f>IF(OR(Broadcast_BASE[[#This Row],[Broadcast Continent]]="Digital",Broadcast_BASE[[#This Row],[Programme Type]]="Digital"),"Y","N")</f>
        <v>N</v>
      </c>
      <c r="M261" s="4" t="str">
        <f>IF(ISNUMBER(SEARCH("Pan ",Broadcast_BASE[[#This Row],[Broadcast Market]]))=TRUE,"Y","N")</f>
        <v>N</v>
      </c>
      <c r="N261" t="str">
        <f>VLOOKUP(CONCATENATE(Broadcast_BASE[[#This Row],[Broadcast Market]],Broadcast_BASE[[#This Row],[Broadcaster]]),Table1[[CC]:[Pay TV vs. Free-to-Air]],3,FALSE)</f>
        <v>Pay TV</v>
      </c>
      <c r="O261" s="1">
        <f>VLOOKUP(CONCATENATE(Broadcast_BASE[[#This Row],[Broadcast Market]],Broadcast_BASE[[#This Row],[Broadcaster]]),Table1[[CC]:[Pay TV vs. Free-to-Air]],2,FALSE)</f>
        <v>5200000</v>
      </c>
      <c r="P261" s="234">
        <f>Broadcast_BASE[[#This Row],[Rolex EXP]]*86400</f>
        <v>19727.749964779272</v>
      </c>
      <c r="Q261" s="235" t="str">
        <f>IF(Broadcast_BASE[[#This Row],[Dashboard Rated?]]="No","N","Y")</f>
        <v>Y</v>
      </c>
      <c r="R261" s="236"/>
      <c r="S261" s="236"/>
    </row>
    <row r="262" spans="1:19" x14ac:dyDescent="0.25">
      <c r="A262" s="72" t="e">
        <f>#REF!</f>
        <v>#REF!</v>
      </c>
      <c r="B262" s="178" t="s">
        <v>110</v>
      </c>
      <c r="C262" s="178" t="s">
        <v>1439</v>
      </c>
      <c r="D262" s="178" t="s">
        <v>1642</v>
      </c>
      <c r="E262" s="179">
        <v>0.8730902777777777</v>
      </c>
      <c r="F262" s="180">
        <v>200538</v>
      </c>
      <c r="G262" s="179">
        <v>5.3481049173072358E-2</v>
      </c>
      <c r="H262" s="180">
        <v>34773.636200044275</v>
      </c>
      <c r="I262" s="180">
        <v>9654.3522148709744</v>
      </c>
      <c r="J262" s="180" t="s">
        <v>1868</v>
      </c>
      <c r="K262" s="233" t="str">
        <f>VLOOKUP(Broadcast_BASE[[#This Row],[Broadcast Market]],Continent_Look_Up[],2,FALSE)</f>
        <v>Asia Pacific</v>
      </c>
      <c r="L262" t="str">
        <f>IF(OR(Broadcast_BASE[[#This Row],[Broadcast Continent]]="Digital",Broadcast_BASE[[#This Row],[Programme Type]]="Digital"),"Y","N")</f>
        <v>N</v>
      </c>
      <c r="M262" s="4" t="str">
        <f>IF(ISNUMBER(SEARCH("Pan ",Broadcast_BASE[[#This Row],[Broadcast Market]]))=TRUE,"Y","N")</f>
        <v>N</v>
      </c>
      <c r="N262" t="str">
        <f>VLOOKUP(CONCATENATE(Broadcast_BASE[[#This Row],[Broadcast Market]],Broadcast_BASE[[#This Row],[Broadcaster]]),Table1[[CC]:[Pay TV vs. Free-to-Air]],3,FALSE)</f>
        <v>Pay TV</v>
      </c>
      <c r="O262" s="1">
        <f>VLOOKUP(CONCATENATE(Broadcast_BASE[[#This Row],[Broadcast Market]],Broadcast_BASE[[#This Row],[Broadcaster]]),Table1[[CC]:[Pay TV vs. Free-to-Air]],2,FALSE)</f>
        <v>11136000</v>
      </c>
      <c r="P262" s="234">
        <f>Broadcast_BASE[[#This Row],[Rolex EXP]]*86400</f>
        <v>4620.762648553452</v>
      </c>
      <c r="Q262" s="235" t="str">
        <f>IF(Broadcast_BASE[[#This Row],[Dashboard Rated?]]="No","N","Y")</f>
        <v>Y</v>
      </c>
      <c r="R262" s="236"/>
      <c r="S262" s="236"/>
    </row>
    <row r="263" spans="1:19" x14ac:dyDescent="0.25">
      <c r="A263" s="72" t="e">
        <f>#REF!</f>
        <v>#REF!</v>
      </c>
      <c r="B263" s="178" t="s">
        <v>110</v>
      </c>
      <c r="C263" s="178" t="s">
        <v>1439</v>
      </c>
      <c r="D263" s="178" t="s">
        <v>1643</v>
      </c>
      <c r="E263" s="179">
        <v>2.8356597222222217</v>
      </c>
      <c r="F263" s="180">
        <v>581133</v>
      </c>
      <c r="G263" s="179">
        <v>0.22583590747543972</v>
      </c>
      <c r="H263" s="180">
        <v>335170.39508504351</v>
      </c>
      <c r="I263" s="180">
        <v>94172.37991855033</v>
      </c>
      <c r="J263" s="180" t="s">
        <v>1868</v>
      </c>
      <c r="K263" s="233" t="str">
        <f>VLOOKUP(Broadcast_BASE[[#This Row],[Broadcast Market]],Continent_Look_Up[],2,FALSE)</f>
        <v>Asia Pacific</v>
      </c>
      <c r="L263" t="str">
        <f>IF(OR(Broadcast_BASE[[#This Row],[Broadcast Continent]]="Digital",Broadcast_BASE[[#This Row],[Programme Type]]="Digital"),"Y","N")</f>
        <v>N</v>
      </c>
      <c r="M263" s="4" t="str">
        <f>IF(ISNUMBER(SEARCH("Pan ",Broadcast_BASE[[#This Row],[Broadcast Market]]))=TRUE,"Y","N")</f>
        <v>N</v>
      </c>
      <c r="N263" t="str">
        <f>VLOOKUP(CONCATENATE(Broadcast_BASE[[#This Row],[Broadcast Market]],Broadcast_BASE[[#This Row],[Broadcaster]]),Table1[[CC]:[Pay TV vs. Free-to-Air]],3,FALSE)</f>
        <v>Pay TV</v>
      </c>
      <c r="O263" s="1">
        <f>VLOOKUP(CONCATENATE(Broadcast_BASE[[#This Row],[Broadcast Market]],Broadcast_BASE[[#This Row],[Broadcaster]]),Table1[[CC]:[Pay TV vs. Free-to-Air]],2,FALSE)</f>
        <v>11136000</v>
      </c>
      <c r="P263" s="234">
        <f>Broadcast_BASE[[#This Row],[Rolex EXP]]*86400</f>
        <v>19512.22240587799</v>
      </c>
      <c r="Q263" s="235" t="str">
        <f>IF(Broadcast_BASE[[#This Row],[Dashboard Rated?]]="No","N","Y")</f>
        <v>Y</v>
      </c>
      <c r="R263" s="236"/>
      <c r="S263" s="236"/>
    </row>
    <row r="264" spans="1:19" x14ac:dyDescent="0.25">
      <c r="A264" s="72" t="e">
        <f>#REF!</f>
        <v>#REF!</v>
      </c>
      <c r="B264" s="178" t="s">
        <v>110</v>
      </c>
      <c r="C264" s="178" t="s">
        <v>1439</v>
      </c>
      <c r="D264" s="178" t="s">
        <v>1644</v>
      </c>
      <c r="E264" s="179">
        <v>3.5228009259259259</v>
      </c>
      <c r="F264" s="180">
        <v>615095</v>
      </c>
      <c r="G264" s="179">
        <v>0.2736870885306239</v>
      </c>
      <c r="H264" s="180">
        <v>272765.85281137988</v>
      </c>
      <c r="I264" s="180">
        <v>77876.50923034671</v>
      </c>
      <c r="J264" s="180" t="s">
        <v>1868</v>
      </c>
      <c r="K264" s="233" t="str">
        <f>VLOOKUP(Broadcast_BASE[[#This Row],[Broadcast Market]],Continent_Look_Up[],2,FALSE)</f>
        <v>Asia Pacific</v>
      </c>
      <c r="L264" t="str">
        <f>IF(OR(Broadcast_BASE[[#This Row],[Broadcast Continent]]="Digital",Broadcast_BASE[[#This Row],[Programme Type]]="Digital"),"Y","N")</f>
        <v>N</v>
      </c>
      <c r="M264" s="4" t="str">
        <f>IF(ISNUMBER(SEARCH("Pan ",Broadcast_BASE[[#This Row],[Broadcast Market]]))=TRUE,"Y","N")</f>
        <v>N</v>
      </c>
      <c r="N264" t="str">
        <f>VLOOKUP(CONCATENATE(Broadcast_BASE[[#This Row],[Broadcast Market]],Broadcast_BASE[[#This Row],[Broadcaster]]),Table1[[CC]:[Pay TV vs. Free-to-Air]],3,FALSE)</f>
        <v>Pay TV</v>
      </c>
      <c r="O264" s="1">
        <f>VLOOKUP(CONCATENATE(Broadcast_BASE[[#This Row],[Broadcast Market]],Broadcast_BASE[[#This Row],[Broadcaster]]),Table1[[CC]:[Pay TV vs. Free-to-Air]],2,FALSE)</f>
        <v>11136000</v>
      </c>
      <c r="P264" s="234">
        <f>Broadcast_BASE[[#This Row],[Rolex EXP]]*86400</f>
        <v>23646.564449045905</v>
      </c>
      <c r="Q264" s="235" t="str">
        <f>IF(Broadcast_BASE[[#This Row],[Dashboard Rated?]]="No","N","Y")</f>
        <v>Y</v>
      </c>
      <c r="R264" s="236"/>
      <c r="S264" s="236"/>
    </row>
    <row r="265" spans="1:19" x14ac:dyDescent="0.25">
      <c r="A265" s="72" t="e">
        <f>#REF!</f>
        <v>#REF!</v>
      </c>
      <c r="B265" s="178" t="s">
        <v>111</v>
      </c>
      <c r="C265" s="178" t="s">
        <v>268</v>
      </c>
      <c r="D265" s="178" t="s">
        <v>1642</v>
      </c>
      <c r="E265" s="179">
        <v>0.93964120370370363</v>
      </c>
      <c r="F265" s="180">
        <v>1463317</v>
      </c>
      <c r="G265" s="179">
        <v>7.2229643476506608E-2</v>
      </c>
      <c r="H265" s="180">
        <v>27437.001336930247</v>
      </c>
      <c r="I265" s="180">
        <v>8007.8756274475891</v>
      </c>
      <c r="J265" s="180" t="s">
        <v>1868</v>
      </c>
      <c r="K265" s="233" t="str">
        <f>VLOOKUP(Broadcast_BASE[[#This Row],[Broadcast Market]],Continent_Look_Up[],2,FALSE)</f>
        <v>Europe</v>
      </c>
      <c r="L265" t="str">
        <f>IF(OR(Broadcast_BASE[[#This Row],[Broadcast Continent]]="Digital",Broadcast_BASE[[#This Row],[Programme Type]]="Digital"),"Y","N")</f>
        <v>N</v>
      </c>
      <c r="M265" s="4" t="str">
        <f>IF(ISNUMBER(SEARCH("Pan ",Broadcast_BASE[[#This Row],[Broadcast Market]]))=TRUE,"Y","N")</f>
        <v>N</v>
      </c>
      <c r="N265" t="str">
        <f>VLOOKUP(CONCATENATE(Broadcast_BASE[[#This Row],[Broadcast Market]],Broadcast_BASE[[#This Row],[Broadcaster]]),Table1[[CC]:[Pay TV vs. Free-to-Air]],3,FALSE)</f>
        <v>Pay TV</v>
      </c>
      <c r="O265" s="1">
        <f>VLOOKUP(CONCATENATE(Broadcast_BASE[[#This Row],[Broadcast Market]],Broadcast_BASE[[#This Row],[Broadcaster]]),Table1[[CC]:[Pay TV vs. Free-to-Air]],2,FALSE)</f>
        <v>2143000</v>
      </c>
      <c r="P265" s="234">
        <f>Broadcast_BASE[[#This Row],[Rolex EXP]]*86400</f>
        <v>6240.6411963701712</v>
      </c>
      <c r="Q265" s="235" t="str">
        <f>IF(Broadcast_BASE[[#This Row],[Dashboard Rated?]]="No","N","Y")</f>
        <v>Y</v>
      </c>
      <c r="R265" s="236"/>
      <c r="S265" s="236"/>
    </row>
    <row r="266" spans="1:19" x14ac:dyDescent="0.25">
      <c r="A266" s="72" t="e">
        <f>#REF!</f>
        <v>#REF!</v>
      </c>
      <c r="B266" s="178" t="s">
        <v>111</v>
      </c>
      <c r="C266" s="178" t="s">
        <v>268</v>
      </c>
      <c r="D266" s="178" t="s">
        <v>1643</v>
      </c>
      <c r="E266" s="179">
        <v>5.1748726851851847</v>
      </c>
      <c r="F266" s="180">
        <v>927255</v>
      </c>
      <c r="G266" s="179">
        <v>0.42854029786747105</v>
      </c>
      <c r="H266" s="180">
        <v>209973.78449770869</v>
      </c>
      <c r="I266" s="180">
        <v>60243.012035237</v>
      </c>
      <c r="J266" s="180" t="s">
        <v>1868</v>
      </c>
      <c r="K266" s="233" t="str">
        <f>VLOOKUP(Broadcast_BASE[[#This Row],[Broadcast Market]],Continent_Look_Up[],2,FALSE)</f>
        <v>Europe</v>
      </c>
      <c r="L266" t="str">
        <f>IF(OR(Broadcast_BASE[[#This Row],[Broadcast Continent]]="Digital",Broadcast_BASE[[#This Row],[Programme Type]]="Digital"),"Y","N")</f>
        <v>N</v>
      </c>
      <c r="M266" s="4" t="str">
        <f>IF(ISNUMBER(SEARCH("Pan ",Broadcast_BASE[[#This Row],[Broadcast Market]]))=TRUE,"Y","N")</f>
        <v>N</v>
      </c>
      <c r="N266" t="str">
        <f>VLOOKUP(CONCATENATE(Broadcast_BASE[[#This Row],[Broadcast Market]],Broadcast_BASE[[#This Row],[Broadcaster]]),Table1[[CC]:[Pay TV vs. Free-to-Air]],3,FALSE)</f>
        <v>Pay TV</v>
      </c>
      <c r="O266" s="1">
        <f>VLOOKUP(CONCATENATE(Broadcast_BASE[[#This Row],[Broadcast Market]],Broadcast_BASE[[#This Row],[Broadcaster]]),Table1[[CC]:[Pay TV vs. Free-to-Air]],2,FALSE)</f>
        <v>2143000</v>
      </c>
      <c r="P266" s="234">
        <f>Broadcast_BASE[[#This Row],[Rolex EXP]]*86400</f>
        <v>37025.881735749499</v>
      </c>
      <c r="Q266" s="235" t="str">
        <f>IF(Broadcast_BASE[[#This Row],[Dashboard Rated?]]="No","N","Y")</f>
        <v>Y</v>
      </c>
      <c r="R266" s="236"/>
      <c r="S266" s="236"/>
    </row>
    <row r="267" spans="1:19" x14ac:dyDescent="0.25">
      <c r="A267" s="72" t="e">
        <f>#REF!</f>
        <v>#REF!</v>
      </c>
      <c r="B267" s="178" t="s">
        <v>111</v>
      </c>
      <c r="C267" s="178" t="s">
        <v>268</v>
      </c>
      <c r="D267" s="178" t="s">
        <v>1644</v>
      </c>
      <c r="E267" s="179">
        <v>2.397685185185185</v>
      </c>
      <c r="F267" s="180">
        <v>249660</v>
      </c>
      <c r="G267" s="179">
        <v>0.18077817264044904</v>
      </c>
      <c r="H267" s="180">
        <v>23255.967438442378</v>
      </c>
      <c r="I267" s="180">
        <v>6636.3919658174809</v>
      </c>
      <c r="J267" s="180" t="s">
        <v>1868</v>
      </c>
      <c r="K267" s="233" t="str">
        <f>VLOOKUP(Broadcast_BASE[[#This Row],[Broadcast Market]],Continent_Look_Up[],2,FALSE)</f>
        <v>Europe</v>
      </c>
      <c r="L267" t="str">
        <f>IF(OR(Broadcast_BASE[[#This Row],[Broadcast Continent]]="Digital",Broadcast_BASE[[#This Row],[Programme Type]]="Digital"),"Y","N")</f>
        <v>N</v>
      </c>
      <c r="M267" s="4" t="str">
        <f>IF(ISNUMBER(SEARCH("Pan ",Broadcast_BASE[[#This Row],[Broadcast Market]]))=TRUE,"Y","N")</f>
        <v>N</v>
      </c>
      <c r="N267" t="str">
        <f>VLOOKUP(CONCATENATE(Broadcast_BASE[[#This Row],[Broadcast Market]],Broadcast_BASE[[#This Row],[Broadcaster]]),Table1[[CC]:[Pay TV vs. Free-to-Air]],3,FALSE)</f>
        <v>Pay TV</v>
      </c>
      <c r="O267" s="1">
        <f>VLOOKUP(CONCATENATE(Broadcast_BASE[[#This Row],[Broadcast Market]],Broadcast_BASE[[#This Row],[Broadcaster]]),Table1[[CC]:[Pay TV vs. Free-to-Air]],2,FALSE)</f>
        <v>2143000</v>
      </c>
      <c r="P267" s="234">
        <f>Broadcast_BASE[[#This Row],[Rolex EXP]]*86400</f>
        <v>15619.234116134798</v>
      </c>
      <c r="Q267" s="235" t="str">
        <f>IF(Broadcast_BASE[[#This Row],[Dashboard Rated?]]="No","N","Y")</f>
        <v>Y</v>
      </c>
      <c r="R267" s="236"/>
      <c r="S267" s="236"/>
    </row>
    <row r="268" spans="1:19" x14ac:dyDescent="0.25">
      <c r="A268" s="72" t="e">
        <f>#REF!</f>
        <v>#REF!</v>
      </c>
      <c r="B268" s="178" t="s">
        <v>111</v>
      </c>
      <c r="C268" s="178" t="s">
        <v>269</v>
      </c>
      <c r="D268" s="178" t="s">
        <v>1642</v>
      </c>
      <c r="E268" s="179">
        <v>0.33937499999999998</v>
      </c>
      <c r="F268" s="180">
        <v>590276</v>
      </c>
      <c r="G268" s="179">
        <v>2.8559979459841612E-2</v>
      </c>
      <c r="H268" s="180">
        <v>4447.4231374381352</v>
      </c>
      <c r="I268" s="180">
        <v>1311.4182376301237</v>
      </c>
      <c r="J268" s="180" t="s">
        <v>1868</v>
      </c>
      <c r="K268" s="233" t="str">
        <f>VLOOKUP(Broadcast_BASE[[#This Row],[Broadcast Market]],Continent_Look_Up[],2,FALSE)</f>
        <v>Europe</v>
      </c>
      <c r="L268" t="str">
        <f>IF(OR(Broadcast_BASE[[#This Row],[Broadcast Continent]]="Digital",Broadcast_BASE[[#This Row],[Programme Type]]="Digital"),"Y","N")</f>
        <v>N</v>
      </c>
      <c r="M268" s="4" t="str">
        <f>IF(ISNUMBER(SEARCH("Pan ",Broadcast_BASE[[#This Row],[Broadcast Market]]))=TRUE,"Y","N")</f>
        <v>N</v>
      </c>
      <c r="N268" t="str">
        <f>VLOOKUP(CONCATENATE(Broadcast_BASE[[#This Row],[Broadcast Market]],Broadcast_BASE[[#This Row],[Broadcaster]]),Table1[[CC]:[Pay TV vs. Free-to-Air]],3,FALSE)</f>
        <v>Pay TV</v>
      </c>
      <c r="O268" s="1">
        <f>VLOOKUP(CONCATENATE(Broadcast_BASE[[#This Row],[Broadcast Market]],Broadcast_BASE[[#This Row],[Broadcaster]]),Table1[[CC]:[Pay TV vs. Free-to-Air]],2,FALSE)</f>
        <v>1560000</v>
      </c>
      <c r="P268" s="234">
        <f>Broadcast_BASE[[#This Row],[Rolex EXP]]*86400</f>
        <v>2467.5822253303154</v>
      </c>
      <c r="Q268" s="235" t="str">
        <f>IF(Broadcast_BASE[[#This Row],[Dashboard Rated?]]="No","N","Y")</f>
        <v>Y</v>
      </c>
      <c r="R268" s="236"/>
      <c r="S268" s="236"/>
    </row>
    <row r="269" spans="1:19" x14ac:dyDescent="0.25">
      <c r="A269" s="72" t="e">
        <f>#REF!</f>
        <v>#REF!</v>
      </c>
      <c r="B269" s="178" t="s">
        <v>111</v>
      </c>
      <c r="C269" s="178" t="s">
        <v>269</v>
      </c>
      <c r="D269" s="178" t="s">
        <v>1643</v>
      </c>
      <c r="E269" s="179">
        <v>2.7304629629629633</v>
      </c>
      <c r="F269" s="180">
        <v>624684</v>
      </c>
      <c r="G269" s="179">
        <v>0.23841199024823634</v>
      </c>
      <c r="H269" s="180">
        <v>66181.537770742492</v>
      </c>
      <c r="I269" s="180">
        <v>19432.741934476919</v>
      </c>
      <c r="J269" s="180" t="s">
        <v>1868</v>
      </c>
      <c r="K269" s="233" t="str">
        <f>VLOOKUP(Broadcast_BASE[[#This Row],[Broadcast Market]],Continent_Look_Up[],2,FALSE)</f>
        <v>Europe</v>
      </c>
      <c r="L269" t="str">
        <f>IF(OR(Broadcast_BASE[[#This Row],[Broadcast Continent]]="Digital",Broadcast_BASE[[#This Row],[Programme Type]]="Digital"),"Y","N")</f>
        <v>N</v>
      </c>
      <c r="M269" s="4" t="str">
        <f>IF(ISNUMBER(SEARCH("Pan ",Broadcast_BASE[[#This Row],[Broadcast Market]]))=TRUE,"Y","N")</f>
        <v>N</v>
      </c>
      <c r="N269" t="str">
        <f>VLOOKUP(CONCATENATE(Broadcast_BASE[[#This Row],[Broadcast Market]],Broadcast_BASE[[#This Row],[Broadcaster]]),Table1[[CC]:[Pay TV vs. Free-to-Air]],3,FALSE)</f>
        <v>Pay TV</v>
      </c>
      <c r="O269" s="1">
        <f>VLOOKUP(CONCATENATE(Broadcast_BASE[[#This Row],[Broadcast Market]],Broadcast_BASE[[#This Row],[Broadcaster]]),Table1[[CC]:[Pay TV vs. Free-to-Air]],2,FALSE)</f>
        <v>1560000</v>
      </c>
      <c r="P269" s="234">
        <f>Broadcast_BASE[[#This Row],[Rolex EXP]]*86400</f>
        <v>20598.795957447619</v>
      </c>
      <c r="Q269" s="235" t="str">
        <f>IF(Broadcast_BASE[[#This Row],[Dashboard Rated?]]="No","N","Y")</f>
        <v>Y</v>
      </c>
      <c r="R269" s="236"/>
      <c r="S269" s="236"/>
    </row>
    <row r="270" spans="1:19" x14ac:dyDescent="0.25">
      <c r="A270" s="72" t="e">
        <f>#REF!</f>
        <v>#REF!</v>
      </c>
      <c r="B270" s="178" t="s">
        <v>111</v>
      </c>
      <c r="C270" s="178" t="s">
        <v>269</v>
      </c>
      <c r="D270" s="178" t="s">
        <v>1644</v>
      </c>
      <c r="E270" s="179">
        <v>3.0379050925925921</v>
      </c>
      <c r="F270" s="180">
        <v>146962</v>
      </c>
      <c r="G270" s="179">
        <v>0.22690932112558124</v>
      </c>
      <c r="H270" s="180">
        <v>17017.52482510413</v>
      </c>
      <c r="I270" s="180">
        <v>4853.3017407984053</v>
      </c>
      <c r="J270" s="180" t="s">
        <v>1868</v>
      </c>
      <c r="K270" s="233" t="str">
        <f>VLOOKUP(Broadcast_BASE[[#This Row],[Broadcast Market]],Continent_Look_Up[],2,FALSE)</f>
        <v>Europe</v>
      </c>
      <c r="L270" t="str">
        <f>IF(OR(Broadcast_BASE[[#This Row],[Broadcast Continent]]="Digital",Broadcast_BASE[[#This Row],[Programme Type]]="Digital"),"Y","N")</f>
        <v>N</v>
      </c>
      <c r="M270" s="4" t="str">
        <f>IF(ISNUMBER(SEARCH("Pan ",Broadcast_BASE[[#This Row],[Broadcast Market]]))=TRUE,"Y","N")</f>
        <v>N</v>
      </c>
      <c r="N270" t="str">
        <f>VLOOKUP(CONCATENATE(Broadcast_BASE[[#This Row],[Broadcast Market]],Broadcast_BASE[[#This Row],[Broadcaster]]),Table1[[CC]:[Pay TV vs. Free-to-Air]],3,FALSE)</f>
        <v>Pay TV</v>
      </c>
      <c r="O270" s="1">
        <f>VLOOKUP(CONCATENATE(Broadcast_BASE[[#This Row],[Broadcast Market]],Broadcast_BASE[[#This Row],[Broadcaster]]),Table1[[CC]:[Pay TV vs. Free-to-Air]],2,FALSE)</f>
        <v>1560000</v>
      </c>
      <c r="P270" s="234">
        <f>Broadcast_BASE[[#This Row],[Rolex EXP]]*86400</f>
        <v>19604.965345250217</v>
      </c>
      <c r="Q270" s="235" t="str">
        <f>IF(Broadcast_BASE[[#This Row],[Dashboard Rated?]]="No","N","Y")</f>
        <v>Y</v>
      </c>
      <c r="R270" s="236"/>
      <c r="S270" s="236"/>
    </row>
    <row r="271" spans="1:19" x14ac:dyDescent="0.25">
      <c r="A271" s="72" t="e">
        <f>#REF!</f>
        <v>#REF!</v>
      </c>
      <c r="B271" s="178" t="s">
        <v>113</v>
      </c>
      <c r="C271" s="178" t="s">
        <v>268</v>
      </c>
      <c r="D271" s="178" t="s">
        <v>1642</v>
      </c>
      <c r="E271" s="179">
        <v>0.98739583333333325</v>
      </c>
      <c r="F271" s="180">
        <v>88063</v>
      </c>
      <c r="G271" s="179">
        <v>7.247969040947834E-2</v>
      </c>
      <c r="H271" s="180">
        <v>19548.012981187869</v>
      </c>
      <c r="I271" s="180">
        <v>5525.0523681690347</v>
      </c>
      <c r="J271" s="180" t="s">
        <v>1867</v>
      </c>
      <c r="K271" s="233" t="str">
        <f>VLOOKUP(Broadcast_BASE[[#This Row],[Broadcast Market]],Continent_Look_Up[],2,FALSE)</f>
        <v>Europe</v>
      </c>
      <c r="L271" t="str">
        <f>IF(OR(Broadcast_BASE[[#This Row],[Broadcast Continent]]="Digital",Broadcast_BASE[[#This Row],[Programme Type]]="Digital"),"Y","N")</f>
        <v>N</v>
      </c>
      <c r="M271" s="4" t="str">
        <f>IF(ISNUMBER(SEARCH("Pan ",Broadcast_BASE[[#This Row],[Broadcast Market]]))=TRUE,"Y","N")</f>
        <v>N</v>
      </c>
      <c r="N271" t="str">
        <f>VLOOKUP(CONCATENATE(Broadcast_BASE[[#This Row],[Broadcast Market]],Broadcast_BASE[[#This Row],[Broadcaster]]),Table1[[CC]:[Pay TV vs. Free-to-Air]],3,FALSE)</f>
        <v>Pay TV</v>
      </c>
      <c r="O271" s="1">
        <f>VLOOKUP(CONCATENATE(Broadcast_BASE[[#This Row],[Broadcast Market]],Broadcast_BASE[[#This Row],[Broadcaster]]),Table1[[CC]:[Pay TV vs. Free-to-Air]],2,FALSE)</f>
        <v>3087000</v>
      </c>
      <c r="P271" s="234">
        <f>Broadcast_BASE[[#This Row],[Rolex EXP]]*86400</f>
        <v>6262.2452513789285</v>
      </c>
      <c r="Q271" s="235" t="str">
        <f>IF(Broadcast_BASE[[#This Row],[Dashboard Rated?]]="No","N","Y")</f>
        <v>N</v>
      </c>
      <c r="R271" s="236"/>
      <c r="S271" s="236"/>
    </row>
    <row r="272" spans="1:19" x14ac:dyDescent="0.25">
      <c r="A272" s="72" t="e">
        <f>#REF!</f>
        <v>#REF!</v>
      </c>
      <c r="B272" s="178" t="s">
        <v>113</v>
      </c>
      <c r="C272" s="178" t="s">
        <v>268</v>
      </c>
      <c r="D272" s="178" t="s">
        <v>1643</v>
      </c>
      <c r="E272" s="179">
        <v>5.3803819444444443</v>
      </c>
      <c r="F272" s="180">
        <v>297525</v>
      </c>
      <c r="G272" s="179">
        <v>0.43235285310135046</v>
      </c>
      <c r="H272" s="180">
        <v>242677.7655838684</v>
      </c>
      <c r="I272" s="180">
        <v>68477.421271021129</v>
      </c>
      <c r="J272" s="180" t="s">
        <v>1867</v>
      </c>
      <c r="K272" s="233" t="str">
        <f>VLOOKUP(Broadcast_BASE[[#This Row],[Broadcast Market]],Continent_Look_Up[],2,FALSE)</f>
        <v>Europe</v>
      </c>
      <c r="L272" t="str">
        <f>IF(OR(Broadcast_BASE[[#This Row],[Broadcast Continent]]="Digital",Broadcast_BASE[[#This Row],[Programme Type]]="Digital"),"Y","N")</f>
        <v>N</v>
      </c>
      <c r="M272" s="4" t="str">
        <f>IF(ISNUMBER(SEARCH("Pan ",Broadcast_BASE[[#This Row],[Broadcast Market]]))=TRUE,"Y","N")</f>
        <v>N</v>
      </c>
      <c r="N272" t="str">
        <f>VLOOKUP(CONCATENATE(Broadcast_BASE[[#This Row],[Broadcast Market]],Broadcast_BASE[[#This Row],[Broadcaster]]),Table1[[CC]:[Pay TV vs. Free-to-Air]],3,FALSE)</f>
        <v>Pay TV</v>
      </c>
      <c r="O272" s="1">
        <f>VLOOKUP(CONCATENATE(Broadcast_BASE[[#This Row],[Broadcast Market]],Broadcast_BASE[[#This Row],[Broadcaster]]),Table1[[CC]:[Pay TV vs. Free-to-Air]],2,FALSE)</f>
        <v>3087000</v>
      </c>
      <c r="P272" s="234">
        <f>Broadcast_BASE[[#This Row],[Rolex EXP]]*86400</f>
        <v>37355.286507956684</v>
      </c>
      <c r="Q272" s="235" t="str">
        <f>IF(Broadcast_BASE[[#This Row],[Dashboard Rated?]]="No","N","Y")</f>
        <v>N</v>
      </c>
      <c r="R272" s="236"/>
      <c r="S272" s="236"/>
    </row>
    <row r="273" spans="1:19" x14ac:dyDescent="0.25">
      <c r="A273" s="72" t="e">
        <f>#REF!</f>
        <v>#REF!</v>
      </c>
      <c r="B273" s="178" t="s">
        <v>113</v>
      </c>
      <c r="C273" s="178" t="s">
        <v>268</v>
      </c>
      <c r="D273" s="178" t="s">
        <v>1644</v>
      </c>
      <c r="E273" s="179">
        <v>1.4276273148148146</v>
      </c>
      <c r="F273" s="180">
        <v>48235</v>
      </c>
      <c r="G273" s="179">
        <v>0.10829109740960213</v>
      </c>
      <c r="H273" s="180">
        <v>27166.471466657287</v>
      </c>
      <c r="I273" s="180">
        <v>7881.6441200088557</v>
      </c>
      <c r="J273" s="180" t="s">
        <v>1867</v>
      </c>
      <c r="K273" s="233" t="str">
        <f>VLOOKUP(Broadcast_BASE[[#This Row],[Broadcast Market]],Continent_Look_Up[],2,FALSE)</f>
        <v>Europe</v>
      </c>
      <c r="L273" t="str">
        <f>IF(OR(Broadcast_BASE[[#This Row],[Broadcast Continent]]="Digital",Broadcast_BASE[[#This Row],[Programme Type]]="Digital"),"Y","N")</f>
        <v>N</v>
      </c>
      <c r="M273" s="4" t="str">
        <f>IF(ISNUMBER(SEARCH("Pan ",Broadcast_BASE[[#This Row],[Broadcast Market]]))=TRUE,"Y","N")</f>
        <v>N</v>
      </c>
      <c r="N273" t="str">
        <f>VLOOKUP(CONCATENATE(Broadcast_BASE[[#This Row],[Broadcast Market]],Broadcast_BASE[[#This Row],[Broadcaster]]),Table1[[CC]:[Pay TV vs. Free-to-Air]],3,FALSE)</f>
        <v>Pay TV</v>
      </c>
      <c r="O273" s="1">
        <f>VLOOKUP(CONCATENATE(Broadcast_BASE[[#This Row],[Broadcast Market]],Broadcast_BASE[[#This Row],[Broadcaster]]),Table1[[CC]:[Pay TV vs. Free-to-Air]],2,FALSE)</f>
        <v>3087000</v>
      </c>
      <c r="P273" s="234">
        <f>Broadcast_BASE[[#This Row],[Rolex EXP]]*86400</f>
        <v>9356.3508161896243</v>
      </c>
      <c r="Q273" s="235" t="str">
        <f>IF(Broadcast_BASE[[#This Row],[Dashboard Rated?]]="No","N","Y")</f>
        <v>N</v>
      </c>
      <c r="R273" s="236"/>
      <c r="S273" s="236"/>
    </row>
    <row r="274" spans="1:19" x14ac:dyDescent="0.25">
      <c r="A274" s="72" t="e">
        <f>#REF!</f>
        <v>#REF!</v>
      </c>
      <c r="B274" s="178" t="s">
        <v>113</v>
      </c>
      <c r="C274" s="178" t="s">
        <v>269</v>
      </c>
      <c r="D274" s="178" t="s">
        <v>1642</v>
      </c>
      <c r="E274" s="179">
        <v>0.83843749999999995</v>
      </c>
      <c r="F274" s="180">
        <v>56191</v>
      </c>
      <c r="G274" s="179">
        <v>6.5951216212620456E-2</v>
      </c>
      <c r="H274" s="180">
        <v>16620.377748576615</v>
      </c>
      <c r="I274" s="180">
        <v>4754.8274089417291</v>
      </c>
      <c r="J274" s="180" t="s">
        <v>1867</v>
      </c>
      <c r="K274" s="233" t="str">
        <f>VLOOKUP(Broadcast_BASE[[#This Row],[Broadcast Market]],Continent_Look_Up[],2,FALSE)</f>
        <v>Europe</v>
      </c>
      <c r="L274" t="str">
        <f>IF(OR(Broadcast_BASE[[#This Row],[Broadcast Continent]]="Digital",Broadcast_BASE[[#This Row],[Programme Type]]="Digital"),"Y","N")</f>
        <v>N</v>
      </c>
      <c r="M274" s="4" t="str">
        <f>IF(ISNUMBER(SEARCH("Pan ",Broadcast_BASE[[#This Row],[Broadcast Market]]))=TRUE,"Y","N")</f>
        <v>N</v>
      </c>
      <c r="N274" t="str">
        <f>VLOOKUP(CONCATENATE(Broadcast_BASE[[#This Row],[Broadcast Market]],Broadcast_BASE[[#This Row],[Broadcaster]]),Table1[[CC]:[Pay TV vs. Free-to-Air]],3,FALSE)</f>
        <v>Pay TV</v>
      </c>
      <c r="O274" s="1">
        <f>VLOOKUP(CONCATENATE(Broadcast_BASE[[#This Row],[Broadcast Market]],Broadcast_BASE[[#This Row],[Broadcaster]]),Table1[[CC]:[Pay TV vs. Free-to-Air]],2,FALSE)</f>
        <v>1301000</v>
      </c>
      <c r="P274" s="234">
        <f>Broadcast_BASE[[#This Row],[Rolex EXP]]*86400</f>
        <v>5698.1850807704077</v>
      </c>
      <c r="Q274" s="235" t="str">
        <f>IF(Broadcast_BASE[[#This Row],[Dashboard Rated?]]="No","N","Y")</f>
        <v>N</v>
      </c>
      <c r="R274" s="236"/>
      <c r="S274" s="236"/>
    </row>
    <row r="275" spans="1:19" x14ac:dyDescent="0.25">
      <c r="A275" s="72" t="e">
        <f>#REF!</f>
        <v>#REF!</v>
      </c>
      <c r="B275" s="178" t="s">
        <v>113</v>
      </c>
      <c r="C275" s="178" t="s">
        <v>269</v>
      </c>
      <c r="D275" s="178" t="s">
        <v>1643</v>
      </c>
      <c r="E275" s="179">
        <v>3.0458796296296295</v>
      </c>
      <c r="F275" s="180">
        <v>176541</v>
      </c>
      <c r="G275" s="179">
        <v>0.25179070981041834</v>
      </c>
      <c r="H275" s="180">
        <v>153540.7720365214</v>
      </c>
      <c r="I275" s="180">
        <v>46070.236083068063</v>
      </c>
      <c r="J275" s="180" t="s">
        <v>1867</v>
      </c>
      <c r="K275" s="233" t="str">
        <f>VLOOKUP(Broadcast_BASE[[#This Row],[Broadcast Market]],Continent_Look_Up[],2,FALSE)</f>
        <v>Europe</v>
      </c>
      <c r="L275" t="str">
        <f>IF(OR(Broadcast_BASE[[#This Row],[Broadcast Continent]]="Digital",Broadcast_BASE[[#This Row],[Programme Type]]="Digital"),"Y","N")</f>
        <v>N</v>
      </c>
      <c r="M275" s="4" t="str">
        <f>IF(ISNUMBER(SEARCH("Pan ",Broadcast_BASE[[#This Row],[Broadcast Market]]))=TRUE,"Y","N")</f>
        <v>N</v>
      </c>
      <c r="N275" t="str">
        <f>VLOOKUP(CONCATENATE(Broadcast_BASE[[#This Row],[Broadcast Market]],Broadcast_BASE[[#This Row],[Broadcaster]]),Table1[[CC]:[Pay TV vs. Free-to-Air]],3,FALSE)</f>
        <v>Pay TV</v>
      </c>
      <c r="O275" s="1">
        <f>VLOOKUP(CONCATENATE(Broadcast_BASE[[#This Row],[Broadcast Market]],Broadcast_BASE[[#This Row],[Broadcaster]]),Table1[[CC]:[Pay TV vs. Free-to-Air]],2,FALSE)</f>
        <v>1301000</v>
      </c>
      <c r="P275" s="234">
        <f>Broadcast_BASE[[#This Row],[Rolex EXP]]*86400</f>
        <v>21754.717327620147</v>
      </c>
      <c r="Q275" s="235" t="str">
        <f>IF(Broadcast_BASE[[#This Row],[Dashboard Rated?]]="No","N","Y")</f>
        <v>N</v>
      </c>
      <c r="R275" s="236"/>
      <c r="S275" s="236"/>
    </row>
    <row r="276" spans="1:19" x14ac:dyDescent="0.25">
      <c r="A276" s="72" t="e">
        <f>#REF!</f>
        <v>#REF!</v>
      </c>
      <c r="B276" s="178" t="s">
        <v>113</v>
      </c>
      <c r="C276" s="178" t="s">
        <v>269</v>
      </c>
      <c r="D276" s="178" t="s">
        <v>1644</v>
      </c>
      <c r="E276" s="179">
        <v>2.4179629629629633</v>
      </c>
      <c r="F276" s="180">
        <v>69520</v>
      </c>
      <c r="G276" s="179">
        <v>0.18174330250067058</v>
      </c>
      <c r="H276" s="180">
        <v>41415.471524808941</v>
      </c>
      <c r="I276" s="180">
        <v>11745.180908738304</v>
      </c>
      <c r="J276" s="180" t="s">
        <v>1867</v>
      </c>
      <c r="K276" s="233" t="str">
        <f>VLOOKUP(Broadcast_BASE[[#This Row],[Broadcast Market]],Continent_Look_Up[],2,FALSE)</f>
        <v>Europe</v>
      </c>
      <c r="L276" t="str">
        <f>IF(OR(Broadcast_BASE[[#This Row],[Broadcast Continent]]="Digital",Broadcast_BASE[[#This Row],[Programme Type]]="Digital"),"Y","N")</f>
        <v>N</v>
      </c>
      <c r="M276" s="4" t="str">
        <f>IF(ISNUMBER(SEARCH("Pan ",Broadcast_BASE[[#This Row],[Broadcast Market]]))=TRUE,"Y","N")</f>
        <v>N</v>
      </c>
      <c r="N276" t="str">
        <f>VLOOKUP(CONCATENATE(Broadcast_BASE[[#This Row],[Broadcast Market]],Broadcast_BASE[[#This Row],[Broadcaster]]),Table1[[CC]:[Pay TV vs. Free-to-Air]],3,FALSE)</f>
        <v>Pay TV</v>
      </c>
      <c r="O276" s="1">
        <f>VLOOKUP(CONCATENATE(Broadcast_BASE[[#This Row],[Broadcast Market]],Broadcast_BASE[[#This Row],[Broadcaster]]),Table1[[CC]:[Pay TV vs. Free-to-Air]],2,FALSE)</f>
        <v>1301000</v>
      </c>
      <c r="P276" s="234">
        <f>Broadcast_BASE[[#This Row],[Rolex EXP]]*86400</f>
        <v>15702.621336057939</v>
      </c>
      <c r="Q276" s="235" t="str">
        <f>IF(Broadcast_BASE[[#This Row],[Dashboard Rated?]]="No","N","Y")</f>
        <v>N</v>
      </c>
      <c r="R276" s="236"/>
      <c r="S276" s="236"/>
    </row>
    <row r="277" spans="1:19" x14ac:dyDescent="0.25">
      <c r="A277" s="72" t="e">
        <f>#REF!</f>
        <v>#REF!</v>
      </c>
      <c r="B277" s="178" t="s">
        <v>113</v>
      </c>
      <c r="C277" s="178" t="s">
        <v>1473</v>
      </c>
      <c r="D277" s="178" t="s">
        <v>1642</v>
      </c>
      <c r="E277" s="179">
        <v>0.13761574074074073</v>
      </c>
      <c r="F277" s="180">
        <v>80549</v>
      </c>
      <c r="G277" s="179">
        <v>1.0088043732758652E-2</v>
      </c>
      <c r="H277" s="180">
        <v>4967.5251232089213</v>
      </c>
      <c r="I277" s="180">
        <v>1491.5631448421407</v>
      </c>
      <c r="J277" s="180" t="s">
        <v>1868</v>
      </c>
      <c r="K277" s="233" t="str">
        <f>VLOOKUP(Broadcast_BASE[[#This Row],[Broadcast Market]],Continent_Look_Up[],2,FALSE)</f>
        <v>Europe</v>
      </c>
      <c r="L277" t="str">
        <f>IF(OR(Broadcast_BASE[[#This Row],[Broadcast Continent]]="Digital",Broadcast_BASE[[#This Row],[Programme Type]]="Digital"),"Y","N")</f>
        <v>N</v>
      </c>
      <c r="M277" s="4" t="str">
        <f>IF(ISNUMBER(SEARCH("Pan ",Broadcast_BASE[[#This Row],[Broadcast Market]]))=TRUE,"Y","N")</f>
        <v>N</v>
      </c>
      <c r="N277" t="str">
        <f>VLOOKUP(CONCATENATE(Broadcast_BASE[[#This Row],[Broadcast Market]],Broadcast_BASE[[#This Row],[Broadcaster]]),Table1[[CC]:[Pay TV vs. Free-to-Air]],3,FALSE)</f>
        <v>Free-to-Air</v>
      </c>
      <c r="O277" s="1">
        <f>VLOOKUP(CONCATENATE(Broadcast_BASE[[#This Row],[Broadcast Market]],Broadcast_BASE[[#This Row],[Broadcaster]]),Table1[[CC]:[Pay TV vs. Free-to-Air]],2,FALSE)</f>
        <v>1421400</v>
      </c>
      <c r="P277" s="234">
        <f>Broadcast_BASE[[#This Row],[Rolex EXP]]*86400</f>
        <v>871.60697851034752</v>
      </c>
      <c r="Q277" s="235" t="str">
        <f>IF(Broadcast_BASE[[#This Row],[Dashboard Rated?]]="No","N","Y")</f>
        <v>Y</v>
      </c>
      <c r="R277" s="236"/>
      <c r="S277" s="236"/>
    </row>
    <row r="278" spans="1:19" x14ac:dyDescent="0.25">
      <c r="A278" s="72" t="e">
        <f>#REF!</f>
        <v>#REF!</v>
      </c>
      <c r="B278" s="178" t="s">
        <v>113</v>
      </c>
      <c r="C278" s="178" t="s">
        <v>1473</v>
      </c>
      <c r="D278" s="178" t="s">
        <v>1643</v>
      </c>
      <c r="E278" s="179">
        <v>1.0003819444444444</v>
      </c>
      <c r="F278" s="180">
        <v>51225</v>
      </c>
      <c r="G278" s="179">
        <v>7.1833521215212165E-2</v>
      </c>
      <c r="H278" s="180">
        <v>30891.633908666787</v>
      </c>
      <c r="I278" s="180">
        <v>9266.6139963658952</v>
      </c>
      <c r="J278" s="180" t="s">
        <v>1868</v>
      </c>
      <c r="K278" s="233" t="str">
        <f>VLOOKUP(Broadcast_BASE[[#This Row],[Broadcast Market]],Continent_Look_Up[],2,FALSE)</f>
        <v>Europe</v>
      </c>
      <c r="L278" t="str">
        <f>IF(OR(Broadcast_BASE[[#This Row],[Broadcast Continent]]="Digital",Broadcast_BASE[[#This Row],[Programme Type]]="Digital"),"Y","N")</f>
        <v>N</v>
      </c>
      <c r="M278" s="4" t="str">
        <f>IF(ISNUMBER(SEARCH("Pan ",Broadcast_BASE[[#This Row],[Broadcast Market]]))=TRUE,"Y","N")</f>
        <v>N</v>
      </c>
      <c r="N278" t="str">
        <f>VLOOKUP(CONCATENATE(Broadcast_BASE[[#This Row],[Broadcast Market]],Broadcast_BASE[[#This Row],[Broadcaster]]),Table1[[CC]:[Pay TV vs. Free-to-Air]],3,FALSE)</f>
        <v>Free-to-Air</v>
      </c>
      <c r="O278" s="1">
        <f>VLOOKUP(CONCATENATE(Broadcast_BASE[[#This Row],[Broadcast Market]],Broadcast_BASE[[#This Row],[Broadcaster]]),Table1[[CC]:[Pay TV vs. Free-to-Air]],2,FALSE)</f>
        <v>1421400</v>
      </c>
      <c r="P278" s="234">
        <f>Broadcast_BASE[[#This Row],[Rolex EXP]]*86400</f>
        <v>6206.416232994331</v>
      </c>
      <c r="Q278" s="235" t="str">
        <f>IF(Broadcast_BASE[[#This Row],[Dashboard Rated?]]="No","N","Y")</f>
        <v>Y</v>
      </c>
      <c r="R278" s="236"/>
      <c r="S278" s="236"/>
    </row>
    <row r="279" spans="1:19" x14ac:dyDescent="0.25">
      <c r="A279" s="72" t="e">
        <f>#REF!</f>
        <v>#REF!</v>
      </c>
      <c r="B279" s="178" t="s">
        <v>113</v>
      </c>
      <c r="C279" s="178" t="s">
        <v>1473</v>
      </c>
      <c r="D279" s="178" t="s">
        <v>1644</v>
      </c>
      <c r="E279" s="179">
        <v>0.15141203703703704</v>
      </c>
      <c r="F279" s="180">
        <v>2100</v>
      </c>
      <c r="G279" s="179">
        <v>7.8741844421575079E-3</v>
      </c>
      <c r="H279" s="180">
        <v>843.69373177225805</v>
      </c>
      <c r="I279" s="180">
        <v>234.58646855734102</v>
      </c>
      <c r="J279" s="180" t="s">
        <v>1868</v>
      </c>
      <c r="K279" s="233" t="str">
        <f>VLOOKUP(Broadcast_BASE[[#This Row],[Broadcast Market]],Continent_Look_Up[],2,FALSE)</f>
        <v>Europe</v>
      </c>
      <c r="L279" t="str">
        <f>IF(OR(Broadcast_BASE[[#This Row],[Broadcast Continent]]="Digital",Broadcast_BASE[[#This Row],[Programme Type]]="Digital"),"Y","N")</f>
        <v>N</v>
      </c>
      <c r="M279" s="4" t="str">
        <f>IF(ISNUMBER(SEARCH("Pan ",Broadcast_BASE[[#This Row],[Broadcast Market]]))=TRUE,"Y","N")</f>
        <v>N</v>
      </c>
      <c r="N279" t="str">
        <f>VLOOKUP(CONCATENATE(Broadcast_BASE[[#This Row],[Broadcast Market]],Broadcast_BASE[[#This Row],[Broadcaster]]),Table1[[CC]:[Pay TV vs. Free-to-Air]],3,FALSE)</f>
        <v>Free-to-Air</v>
      </c>
      <c r="O279" s="1">
        <f>VLOOKUP(CONCATENATE(Broadcast_BASE[[#This Row],[Broadcast Market]],Broadcast_BASE[[#This Row],[Broadcaster]]),Table1[[CC]:[Pay TV vs. Free-to-Air]],2,FALSE)</f>
        <v>1421400</v>
      </c>
      <c r="P279" s="234">
        <f>Broadcast_BASE[[#This Row],[Rolex EXP]]*86400</f>
        <v>680.32953580240871</v>
      </c>
      <c r="Q279" s="235" t="str">
        <f>IF(Broadcast_BASE[[#This Row],[Dashboard Rated?]]="No","N","Y")</f>
        <v>Y</v>
      </c>
      <c r="R279" s="236"/>
      <c r="S279" s="236"/>
    </row>
    <row r="280" spans="1:19" x14ac:dyDescent="0.25">
      <c r="A280" s="72" t="e">
        <f>#REF!</f>
        <v>#REF!</v>
      </c>
      <c r="B280" s="178" t="s">
        <v>113</v>
      </c>
      <c r="C280" s="178" t="s">
        <v>143</v>
      </c>
      <c r="D280" s="178" t="s">
        <v>1642</v>
      </c>
      <c r="E280" s="179">
        <v>0.17945601851851853</v>
      </c>
      <c r="F280" s="180">
        <v>298900</v>
      </c>
      <c r="G280" s="179">
        <v>1.3915481886281481E-2</v>
      </c>
      <c r="H280" s="180">
        <v>25229.987753153819</v>
      </c>
      <c r="I280" s="180">
        <v>7988.9846326924098</v>
      </c>
      <c r="J280" s="180" t="s">
        <v>1868</v>
      </c>
      <c r="K280" s="233" t="str">
        <f>VLOOKUP(Broadcast_BASE[[#This Row],[Broadcast Market]],Continent_Look_Up[],2,FALSE)</f>
        <v>Europe</v>
      </c>
      <c r="L280" t="str">
        <f>IF(OR(Broadcast_BASE[[#This Row],[Broadcast Continent]]="Digital",Broadcast_BASE[[#This Row],[Programme Type]]="Digital"),"Y","N")</f>
        <v>N</v>
      </c>
      <c r="M280" s="4" t="str">
        <f>IF(ISNUMBER(SEARCH("Pan ",Broadcast_BASE[[#This Row],[Broadcast Market]]))=TRUE,"Y","N")</f>
        <v>N</v>
      </c>
      <c r="N280" t="str">
        <f>VLOOKUP(CONCATENATE(Broadcast_BASE[[#This Row],[Broadcast Market]],Broadcast_BASE[[#This Row],[Broadcaster]]),Table1[[CC]:[Pay TV vs. Free-to-Air]],3,FALSE)</f>
        <v>Free-to-Air</v>
      </c>
      <c r="O280" s="1">
        <f>VLOOKUP(CONCATENATE(Broadcast_BASE[[#This Row],[Broadcast Market]],Broadcast_BASE[[#This Row],[Broadcaster]]),Table1[[CC]:[Pay TV vs. Free-to-Air]],2,FALSE)</f>
        <v>2088840</v>
      </c>
      <c r="P280" s="234">
        <f>Broadcast_BASE[[#This Row],[Rolex EXP]]*86400</f>
        <v>1202.29763497472</v>
      </c>
      <c r="Q280" s="235" t="str">
        <f>IF(Broadcast_BASE[[#This Row],[Dashboard Rated?]]="No","N","Y")</f>
        <v>Y</v>
      </c>
      <c r="R280" s="236"/>
      <c r="S280" s="236"/>
    </row>
    <row r="281" spans="1:19" x14ac:dyDescent="0.25">
      <c r="A281" s="72" t="e">
        <f>#REF!</f>
        <v>#REF!</v>
      </c>
      <c r="B281" s="178" t="s">
        <v>113</v>
      </c>
      <c r="C281" s="178" t="s">
        <v>143</v>
      </c>
      <c r="D281" s="178" t="s">
        <v>1643</v>
      </c>
      <c r="E281" s="179">
        <v>1.0305555555555557</v>
      </c>
      <c r="F281" s="180">
        <v>183037</v>
      </c>
      <c r="G281" s="179">
        <v>7.1422411056001223E-2</v>
      </c>
      <c r="H281" s="180">
        <v>128950.27798941947</v>
      </c>
      <c r="I281" s="180">
        <v>39072.875822915019</v>
      </c>
      <c r="J281" s="180" t="s">
        <v>1868</v>
      </c>
      <c r="K281" s="233" t="str">
        <f>VLOOKUP(Broadcast_BASE[[#This Row],[Broadcast Market]],Continent_Look_Up[],2,FALSE)</f>
        <v>Europe</v>
      </c>
      <c r="L281" t="str">
        <f>IF(OR(Broadcast_BASE[[#This Row],[Broadcast Continent]]="Digital",Broadcast_BASE[[#This Row],[Programme Type]]="Digital"),"Y","N")</f>
        <v>N</v>
      </c>
      <c r="M281" s="4" t="str">
        <f>IF(ISNUMBER(SEARCH("Pan ",Broadcast_BASE[[#This Row],[Broadcast Market]]))=TRUE,"Y","N")</f>
        <v>N</v>
      </c>
      <c r="N281" t="str">
        <f>VLOOKUP(CONCATENATE(Broadcast_BASE[[#This Row],[Broadcast Market]],Broadcast_BASE[[#This Row],[Broadcaster]]),Table1[[CC]:[Pay TV vs. Free-to-Air]],3,FALSE)</f>
        <v>Free-to-Air</v>
      </c>
      <c r="O281" s="1">
        <f>VLOOKUP(CONCATENATE(Broadcast_BASE[[#This Row],[Broadcast Market]],Broadcast_BASE[[#This Row],[Broadcaster]]),Table1[[CC]:[Pay TV vs. Free-to-Air]],2,FALSE)</f>
        <v>2088840</v>
      </c>
      <c r="P281" s="234">
        <f>Broadcast_BASE[[#This Row],[Rolex EXP]]*86400</f>
        <v>6170.8963152385058</v>
      </c>
      <c r="Q281" s="235" t="str">
        <f>IF(Broadcast_BASE[[#This Row],[Dashboard Rated?]]="No","N","Y")</f>
        <v>Y</v>
      </c>
      <c r="R281" s="236"/>
      <c r="S281" s="236"/>
    </row>
    <row r="282" spans="1:19" x14ac:dyDescent="0.25">
      <c r="A282" s="72" t="e">
        <f>#REF!</f>
        <v>#REF!</v>
      </c>
      <c r="B282" s="178" t="s">
        <v>113</v>
      </c>
      <c r="C282" s="178" t="s">
        <v>143</v>
      </c>
      <c r="D282" s="178" t="s">
        <v>1644</v>
      </c>
      <c r="E282" s="179">
        <v>1.073599537037037</v>
      </c>
      <c r="F282" s="180">
        <v>39400</v>
      </c>
      <c r="G282" s="179">
        <v>8.5406885843109945E-2</v>
      </c>
      <c r="H282" s="180">
        <v>31430.554623276454</v>
      </c>
      <c r="I282" s="180">
        <v>9150.3195221089372</v>
      </c>
      <c r="J282" s="180" t="s">
        <v>1868</v>
      </c>
      <c r="K282" s="233" t="str">
        <f>VLOOKUP(Broadcast_BASE[[#This Row],[Broadcast Market]],Continent_Look_Up[],2,FALSE)</f>
        <v>Europe</v>
      </c>
      <c r="L282" t="str">
        <f>IF(OR(Broadcast_BASE[[#This Row],[Broadcast Continent]]="Digital",Broadcast_BASE[[#This Row],[Programme Type]]="Digital"),"Y","N")</f>
        <v>N</v>
      </c>
      <c r="M282" s="4" t="str">
        <f>IF(ISNUMBER(SEARCH("Pan ",Broadcast_BASE[[#This Row],[Broadcast Market]]))=TRUE,"Y","N")</f>
        <v>N</v>
      </c>
      <c r="N282" t="str">
        <f>VLOOKUP(CONCATENATE(Broadcast_BASE[[#This Row],[Broadcast Market]],Broadcast_BASE[[#This Row],[Broadcaster]]),Table1[[CC]:[Pay TV vs. Free-to-Air]],3,FALSE)</f>
        <v>Free-to-Air</v>
      </c>
      <c r="O282" s="1">
        <f>VLOOKUP(CONCATENATE(Broadcast_BASE[[#This Row],[Broadcast Market]],Broadcast_BASE[[#This Row],[Broadcaster]]),Table1[[CC]:[Pay TV vs. Free-to-Air]],2,FALSE)</f>
        <v>2088840</v>
      </c>
      <c r="P282" s="234">
        <f>Broadcast_BASE[[#This Row],[Rolex EXP]]*86400</f>
        <v>7379.1549368446995</v>
      </c>
      <c r="Q282" s="235" t="str">
        <f>IF(Broadcast_BASE[[#This Row],[Dashboard Rated?]]="No","N","Y")</f>
        <v>Y</v>
      </c>
      <c r="R282" s="236"/>
      <c r="S282" s="236"/>
    </row>
    <row r="283" spans="1:19" x14ac:dyDescent="0.25">
      <c r="A283" s="72" t="e">
        <f>#REF!</f>
        <v>#REF!</v>
      </c>
      <c r="B283" s="178" t="s">
        <v>113</v>
      </c>
      <c r="C283" s="178" t="s">
        <v>1480</v>
      </c>
      <c r="D283" s="178" t="s">
        <v>1642</v>
      </c>
      <c r="E283" s="179">
        <v>6.5451388888888892E-2</v>
      </c>
      <c r="F283" s="180">
        <v>374800</v>
      </c>
      <c r="G283" s="179">
        <v>5.0947038499209807E-3</v>
      </c>
      <c r="H283" s="180">
        <v>14268.426170465953</v>
      </c>
      <c r="I283" s="180">
        <v>4250.182396534773</v>
      </c>
      <c r="J283" s="180" t="s">
        <v>1868</v>
      </c>
      <c r="K283" s="233" t="str">
        <f>VLOOKUP(Broadcast_BASE[[#This Row],[Broadcast Market]],Continent_Look_Up[],2,FALSE)</f>
        <v>Europe</v>
      </c>
      <c r="L283" t="str">
        <f>IF(OR(Broadcast_BASE[[#This Row],[Broadcast Continent]]="Digital",Broadcast_BASE[[#This Row],[Programme Type]]="Digital"),"Y","N")</f>
        <v>N</v>
      </c>
      <c r="M283" s="4" t="str">
        <f>IF(ISNUMBER(SEARCH("Pan ",Broadcast_BASE[[#This Row],[Broadcast Market]]))=TRUE,"Y","N")</f>
        <v>N</v>
      </c>
      <c r="N283" t="str">
        <f>VLOOKUP(CONCATENATE(Broadcast_BASE[[#This Row],[Broadcast Market]],Broadcast_BASE[[#This Row],[Broadcaster]]),Table1[[CC]:[Pay TV vs. Free-to-Air]],3,FALSE)</f>
        <v>Free-to-Air</v>
      </c>
      <c r="O283" s="1">
        <f>VLOOKUP(CONCATENATE(Broadcast_BASE[[#This Row],[Broadcast Market]],Broadcast_BASE[[#This Row],[Broadcaster]]),Table1[[CC]:[Pay TV vs. Free-to-Air]],2,FALSE)</f>
        <v>2875760</v>
      </c>
      <c r="P283" s="234">
        <f>Broadcast_BASE[[#This Row],[Rolex EXP]]*86400</f>
        <v>440.18241263317276</v>
      </c>
      <c r="Q283" s="235" t="str">
        <f>IF(Broadcast_BASE[[#This Row],[Dashboard Rated?]]="No","N","Y")</f>
        <v>Y</v>
      </c>
      <c r="R283" s="236"/>
      <c r="S283" s="236"/>
    </row>
    <row r="284" spans="1:19" x14ac:dyDescent="0.25">
      <c r="A284" s="72" t="e">
        <f>#REF!</f>
        <v>#REF!</v>
      </c>
      <c r="B284" s="178" t="s">
        <v>113</v>
      </c>
      <c r="C284" s="178" t="s">
        <v>1480</v>
      </c>
      <c r="D284" s="178" t="s">
        <v>1643</v>
      </c>
      <c r="E284" s="179">
        <v>0.57109953703703698</v>
      </c>
      <c r="F284" s="180">
        <v>287100</v>
      </c>
      <c r="G284" s="179">
        <v>4.1017270247517855E-2</v>
      </c>
      <c r="H284" s="180">
        <v>158326.20200745293</v>
      </c>
      <c r="I284" s="180">
        <v>46753.04813312355</v>
      </c>
      <c r="J284" s="180" t="s">
        <v>1868</v>
      </c>
      <c r="K284" s="233" t="str">
        <f>VLOOKUP(Broadcast_BASE[[#This Row],[Broadcast Market]],Continent_Look_Up[],2,FALSE)</f>
        <v>Europe</v>
      </c>
      <c r="L284" t="str">
        <f>IF(OR(Broadcast_BASE[[#This Row],[Broadcast Continent]]="Digital",Broadcast_BASE[[#This Row],[Programme Type]]="Digital"),"Y","N")</f>
        <v>N</v>
      </c>
      <c r="M284" s="4" t="str">
        <f>IF(ISNUMBER(SEARCH("Pan ",Broadcast_BASE[[#This Row],[Broadcast Market]]))=TRUE,"Y","N")</f>
        <v>N</v>
      </c>
      <c r="N284" t="str">
        <f>VLOOKUP(CONCATENATE(Broadcast_BASE[[#This Row],[Broadcast Market]],Broadcast_BASE[[#This Row],[Broadcaster]]),Table1[[CC]:[Pay TV vs. Free-to-Air]],3,FALSE)</f>
        <v>Free-to-Air</v>
      </c>
      <c r="O284" s="1">
        <f>VLOOKUP(CONCATENATE(Broadcast_BASE[[#This Row],[Broadcast Market]],Broadcast_BASE[[#This Row],[Broadcaster]]),Table1[[CC]:[Pay TV vs. Free-to-Air]],2,FALSE)</f>
        <v>2875760</v>
      </c>
      <c r="P284" s="234">
        <f>Broadcast_BASE[[#This Row],[Rolex EXP]]*86400</f>
        <v>3543.8921493855428</v>
      </c>
      <c r="Q284" s="235" t="str">
        <f>IF(Broadcast_BASE[[#This Row],[Dashboard Rated?]]="No","N","Y")</f>
        <v>Y</v>
      </c>
      <c r="R284" s="236"/>
      <c r="S284" s="236"/>
    </row>
    <row r="285" spans="1:19" x14ac:dyDescent="0.25">
      <c r="A285" s="72" t="e">
        <f>#REF!</f>
        <v>#REF!</v>
      </c>
      <c r="B285" s="178" t="s">
        <v>113</v>
      </c>
      <c r="C285" s="178" t="s">
        <v>1482</v>
      </c>
      <c r="D285" s="178" t="s">
        <v>1642</v>
      </c>
      <c r="E285" s="179">
        <v>8.0914351851851848E-2</v>
      </c>
      <c r="F285" s="180">
        <v>246600</v>
      </c>
      <c r="G285" s="179">
        <v>4.7682893491468844E-3</v>
      </c>
      <c r="H285" s="180">
        <v>17596.977168312438</v>
      </c>
      <c r="I285" s="180">
        <v>5231.4621620031758</v>
      </c>
      <c r="J285" s="180" t="s">
        <v>1868</v>
      </c>
      <c r="K285" s="233" t="str">
        <f>VLOOKUP(Broadcast_BASE[[#This Row],[Broadcast Market]],Continent_Look_Up[],2,FALSE)</f>
        <v>Europe</v>
      </c>
      <c r="L285" t="str">
        <f>IF(OR(Broadcast_BASE[[#This Row],[Broadcast Continent]]="Digital",Broadcast_BASE[[#This Row],[Programme Type]]="Digital"),"Y","N")</f>
        <v>N</v>
      </c>
      <c r="M285" s="4" t="str">
        <f>IF(ISNUMBER(SEARCH("Pan ",Broadcast_BASE[[#This Row],[Broadcast Market]]))=TRUE,"Y","N")</f>
        <v>N</v>
      </c>
      <c r="N285" t="str">
        <f>VLOOKUP(CONCATENATE(Broadcast_BASE[[#This Row],[Broadcast Market]],Broadcast_BASE[[#This Row],[Broadcaster]]),Table1[[CC]:[Pay TV vs. Free-to-Air]],3,FALSE)</f>
        <v>Free-to-Air</v>
      </c>
      <c r="O285" s="1">
        <f>VLOOKUP(CONCATENATE(Broadcast_BASE[[#This Row],[Broadcast Market]],Broadcast_BASE[[#This Row],[Broadcaster]]),Table1[[CC]:[Pay TV vs. Free-to-Air]],2,FALSE)</f>
        <v>3353680</v>
      </c>
      <c r="P285" s="234">
        <f>Broadcast_BASE[[#This Row],[Rolex EXP]]*86400</f>
        <v>411.98019976629081</v>
      </c>
      <c r="Q285" s="235" t="str">
        <f>IF(Broadcast_BASE[[#This Row],[Dashboard Rated?]]="No","N","Y")</f>
        <v>Y</v>
      </c>
      <c r="R285" s="236"/>
      <c r="S285" s="236"/>
    </row>
    <row r="286" spans="1:19" x14ac:dyDescent="0.25">
      <c r="A286" s="72" t="e">
        <f>#REF!</f>
        <v>#REF!</v>
      </c>
      <c r="B286" s="178" t="s">
        <v>113</v>
      </c>
      <c r="C286" s="178" t="s">
        <v>1482</v>
      </c>
      <c r="D286" s="178" t="s">
        <v>1643</v>
      </c>
      <c r="E286" s="179">
        <v>0.48925925925925923</v>
      </c>
      <c r="F286" s="180">
        <v>203700</v>
      </c>
      <c r="G286" s="179">
        <v>3.1557550652346784E-2</v>
      </c>
      <c r="H286" s="180">
        <v>106042.59340521933</v>
      </c>
      <c r="I286" s="180">
        <v>31284.73063356815</v>
      </c>
      <c r="J286" s="180" t="s">
        <v>1868</v>
      </c>
      <c r="K286" s="233" t="str">
        <f>VLOOKUP(Broadcast_BASE[[#This Row],[Broadcast Market]],Continent_Look_Up[],2,FALSE)</f>
        <v>Europe</v>
      </c>
      <c r="L286" t="str">
        <f>IF(OR(Broadcast_BASE[[#This Row],[Broadcast Continent]]="Digital",Broadcast_BASE[[#This Row],[Programme Type]]="Digital"),"Y","N")</f>
        <v>N</v>
      </c>
      <c r="M286" s="4" t="str">
        <f>IF(ISNUMBER(SEARCH("Pan ",Broadcast_BASE[[#This Row],[Broadcast Market]]))=TRUE,"Y","N")</f>
        <v>N</v>
      </c>
      <c r="N286" t="str">
        <f>VLOOKUP(CONCATENATE(Broadcast_BASE[[#This Row],[Broadcast Market]],Broadcast_BASE[[#This Row],[Broadcaster]]),Table1[[CC]:[Pay TV vs. Free-to-Air]],3,FALSE)</f>
        <v>Free-to-Air</v>
      </c>
      <c r="O286" s="1">
        <f>VLOOKUP(CONCATENATE(Broadcast_BASE[[#This Row],[Broadcast Market]],Broadcast_BASE[[#This Row],[Broadcaster]]),Table1[[CC]:[Pay TV vs. Free-to-Air]],2,FALSE)</f>
        <v>3353680</v>
      </c>
      <c r="P286" s="234">
        <f>Broadcast_BASE[[#This Row],[Rolex EXP]]*86400</f>
        <v>2726.572376362762</v>
      </c>
      <c r="Q286" s="235" t="str">
        <f>IF(Broadcast_BASE[[#This Row],[Dashboard Rated?]]="No","N","Y")</f>
        <v>Y</v>
      </c>
      <c r="R286" s="236"/>
      <c r="S286" s="236"/>
    </row>
    <row r="287" spans="1:19" x14ac:dyDescent="0.25">
      <c r="A287" s="72" t="e">
        <f>#REF!</f>
        <v>#REF!</v>
      </c>
      <c r="B287" s="178" t="s">
        <v>114</v>
      </c>
      <c r="C287" s="178" t="s">
        <v>1493</v>
      </c>
      <c r="D287" s="178" t="s">
        <v>1642</v>
      </c>
      <c r="E287" s="179">
        <v>4.1666666666666664E-2</v>
      </c>
      <c r="F287" s="180">
        <v>11878</v>
      </c>
      <c r="G287" s="179">
        <v>2.5522870951555704E-3</v>
      </c>
      <c r="H287" s="180">
        <v>95.80408280656647</v>
      </c>
      <c r="I287" s="180">
        <v>26.598494149889316</v>
      </c>
      <c r="J287" s="180" t="s">
        <v>1867</v>
      </c>
      <c r="K287" s="233" t="str">
        <f>VLOOKUP(Broadcast_BASE[[#This Row],[Broadcast Market]],Continent_Look_Up[],2,FALSE)</f>
        <v>Asia Pacific</v>
      </c>
      <c r="L287" t="str">
        <f>IF(OR(Broadcast_BASE[[#This Row],[Broadcast Continent]]="Digital",Broadcast_BASE[[#This Row],[Programme Type]]="Digital"),"Y","N")</f>
        <v>N</v>
      </c>
      <c r="M287" s="4" t="str">
        <f>IF(ISNUMBER(SEARCH("Pan ",Broadcast_BASE[[#This Row],[Broadcast Market]]))=TRUE,"Y","N")</f>
        <v>N</v>
      </c>
      <c r="N287" t="str">
        <f>VLOOKUP(CONCATENATE(Broadcast_BASE[[#This Row],[Broadcast Market]],Broadcast_BASE[[#This Row],[Broadcaster]]),Table1[[CC]:[Pay TV vs. Free-to-Air]],3,FALSE)</f>
        <v>Pay TV</v>
      </c>
      <c r="O287" s="1">
        <f>VLOOKUP(CONCATENATE(Broadcast_BASE[[#This Row],[Broadcast Market]],Broadcast_BASE[[#This Row],[Broadcaster]]),Table1[[CC]:[Pay TV vs. Free-to-Air]],2,FALSE)</f>
        <v>1334000</v>
      </c>
      <c r="P287" s="234">
        <f>Broadcast_BASE[[#This Row],[Rolex EXP]]*86400</f>
        <v>220.51760502144128</v>
      </c>
      <c r="Q287" s="235" t="str">
        <f>IF(Broadcast_BASE[[#This Row],[Dashboard Rated?]]="No","N","Y")</f>
        <v>N</v>
      </c>
      <c r="R287" s="236"/>
      <c r="S287" s="236"/>
    </row>
    <row r="288" spans="1:19" x14ac:dyDescent="0.25">
      <c r="A288" s="72" t="e">
        <f>#REF!</f>
        <v>#REF!</v>
      </c>
      <c r="B288" s="178" t="s">
        <v>114</v>
      </c>
      <c r="C288" s="178" t="s">
        <v>1493</v>
      </c>
      <c r="D288" s="178" t="s">
        <v>1643</v>
      </c>
      <c r="E288" s="179">
        <v>6.041666666666667</v>
      </c>
      <c r="F288" s="180">
        <v>300270</v>
      </c>
      <c r="G288" s="179">
        <v>0.39117003197303785</v>
      </c>
      <c r="H288" s="180">
        <v>24745.568312372787</v>
      </c>
      <c r="I288" s="180">
        <v>6965.3262820887048</v>
      </c>
      <c r="J288" s="180" t="s">
        <v>1867</v>
      </c>
      <c r="K288" s="233" t="str">
        <f>VLOOKUP(Broadcast_BASE[[#This Row],[Broadcast Market]],Continent_Look_Up[],2,FALSE)</f>
        <v>Asia Pacific</v>
      </c>
      <c r="L288" t="str">
        <f>IF(OR(Broadcast_BASE[[#This Row],[Broadcast Continent]]="Digital",Broadcast_BASE[[#This Row],[Programme Type]]="Digital"),"Y","N")</f>
        <v>N</v>
      </c>
      <c r="M288" s="4" t="str">
        <f>IF(ISNUMBER(SEARCH("Pan ",Broadcast_BASE[[#This Row],[Broadcast Market]]))=TRUE,"Y","N")</f>
        <v>N</v>
      </c>
      <c r="N288" t="str">
        <f>VLOOKUP(CONCATENATE(Broadcast_BASE[[#This Row],[Broadcast Market]],Broadcast_BASE[[#This Row],[Broadcaster]]),Table1[[CC]:[Pay TV vs. Free-to-Air]],3,FALSE)</f>
        <v>Pay TV</v>
      </c>
      <c r="O288" s="1">
        <f>VLOOKUP(CONCATENATE(Broadcast_BASE[[#This Row],[Broadcast Market]],Broadcast_BASE[[#This Row],[Broadcaster]]),Table1[[CC]:[Pay TV vs. Free-to-Air]],2,FALSE)</f>
        <v>1334000</v>
      </c>
      <c r="P288" s="234">
        <f>Broadcast_BASE[[#This Row],[Rolex EXP]]*86400</f>
        <v>33797.090762470471</v>
      </c>
      <c r="Q288" s="235" t="str">
        <f>IF(Broadcast_BASE[[#This Row],[Dashboard Rated?]]="No","N","Y")</f>
        <v>N</v>
      </c>
      <c r="R288" s="236"/>
      <c r="S288" s="236"/>
    </row>
    <row r="289" spans="1:19" x14ac:dyDescent="0.25">
      <c r="A289" s="72" t="e">
        <f>#REF!</f>
        <v>#REF!</v>
      </c>
      <c r="B289" s="178" t="s">
        <v>114</v>
      </c>
      <c r="C289" s="178" t="s">
        <v>1493</v>
      </c>
      <c r="D289" s="178" t="s">
        <v>1644</v>
      </c>
      <c r="E289" s="179">
        <v>8.7291666666666661</v>
      </c>
      <c r="F289" s="180">
        <v>230170</v>
      </c>
      <c r="G289" s="179">
        <v>0.57151325969438604</v>
      </c>
      <c r="H289" s="180">
        <v>17725.740298089586</v>
      </c>
      <c r="I289" s="180">
        <v>4952.7368945182407</v>
      </c>
      <c r="J289" s="180" t="s">
        <v>1867</v>
      </c>
      <c r="K289" s="233" t="str">
        <f>VLOOKUP(Broadcast_BASE[[#This Row],[Broadcast Market]],Continent_Look_Up[],2,FALSE)</f>
        <v>Asia Pacific</v>
      </c>
      <c r="L289" t="str">
        <f>IF(OR(Broadcast_BASE[[#This Row],[Broadcast Continent]]="Digital",Broadcast_BASE[[#This Row],[Programme Type]]="Digital"),"Y","N")</f>
        <v>N</v>
      </c>
      <c r="M289" s="4" t="str">
        <f>IF(ISNUMBER(SEARCH("Pan ",Broadcast_BASE[[#This Row],[Broadcast Market]]))=TRUE,"Y","N")</f>
        <v>N</v>
      </c>
      <c r="N289" t="str">
        <f>VLOOKUP(CONCATENATE(Broadcast_BASE[[#This Row],[Broadcast Market]],Broadcast_BASE[[#This Row],[Broadcaster]]),Table1[[CC]:[Pay TV vs. Free-to-Air]],3,FALSE)</f>
        <v>Pay TV</v>
      </c>
      <c r="O289" s="1">
        <f>VLOOKUP(CONCATENATE(Broadcast_BASE[[#This Row],[Broadcast Market]],Broadcast_BASE[[#This Row],[Broadcaster]]),Table1[[CC]:[Pay TV vs. Free-to-Air]],2,FALSE)</f>
        <v>1334000</v>
      </c>
      <c r="P289" s="234">
        <f>Broadcast_BASE[[#This Row],[Rolex EXP]]*86400</f>
        <v>49378.745637594955</v>
      </c>
      <c r="Q289" s="235" t="str">
        <f>IF(Broadcast_BASE[[#This Row],[Dashboard Rated?]]="No","N","Y")</f>
        <v>N</v>
      </c>
      <c r="R289" s="236"/>
      <c r="S289" s="236"/>
    </row>
    <row r="290" spans="1:19" x14ac:dyDescent="0.25">
      <c r="A290" s="72" t="e">
        <f>#REF!</f>
        <v>#REF!</v>
      </c>
      <c r="B290" s="178" t="s">
        <v>114</v>
      </c>
      <c r="C290" s="178" t="s">
        <v>1494</v>
      </c>
      <c r="D290" s="178" t="s">
        <v>1643</v>
      </c>
      <c r="E290" s="179">
        <v>6.041666666666667</v>
      </c>
      <c r="F290" s="180">
        <v>290261</v>
      </c>
      <c r="G290" s="179">
        <v>0.39117003197303785</v>
      </c>
      <c r="H290" s="180">
        <v>24745.56831237279</v>
      </c>
      <c r="I290" s="180">
        <v>6965.3262820887048</v>
      </c>
      <c r="J290" s="180" t="s">
        <v>1867</v>
      </c>
      <c r="K290" s="233" t="str">
        <f>VLOOKUP(Broadcast_BASE[[#This Row],[Broadcast Market]],Continent_Look_Up[],2,FALSE)</f>
        <v>Asia Pacific</v>
      </c>
      <c r="L290" t="str">
        <f>IF(OR(Broadcast_BASE[[#This Row],[Broadcast Continent]]="Digital",Broadcast_BASE[[#This Row],[Programme Type]]="Digital"),"Y","N")</f>
        <v>N</v>
      </c>
      <c r="M290" s="4" t="str">
        <f>IF(ISNUMBER(SEARCH("Pan ",Broadcast_BASE[[#This Row],[Broadcast Market]]))=TRUE,"Y","N")</f>
        <v>N</v>
      </c>
      <c r="N290" t="str">
        <f>VLOOKUP(CONCATENATE(Broadcast_BASE[[#This Row],[Broadcast Market]],Broadcast_BASE[[#This Row],[Broadcaster]]),Table1[[CC]:[Pay TV vs. Free-to-Air]],3,FALSE)</f>
        <v>Pay TV</v>
      </c>
      <c r="O290" s="1">
        <f>VLOOKUP(CONCATENATE(Broadcast_BASE[[#This Row],[Broadcast Market]],Broadcast_BASE[[#This Row],[Broadcaster]]),Table1[[CC]:[Pay TV vs. Free-to-Air]],2,FALSE)</f>
        <v>1334000</v>
      </c>
      <c r="P290" s="234">
        <f>Broadcast_BASE[[#This Row],[Rolex EXP]]*86400</f>
        <v>33797.090762470471</v>
      </c>
      <c r="Q290" s="235" t="str">
        <f>IF(Broadcast_BASE[[#This Row],[Dashboard Rated?]]="No","N","Y")</f>
        <v>N</v>
      </c>
      <c r="R290" s="236"/>
      <c r="S290" s="236"/>
    </row>
    <row r="291" spans="1:19" x14ac:dyDescent="0.25">
      <c r="A291" s="72" t="e">
        <f>#REF!</f>
        <v>#REF!</v>
      </c>
      <c r="B291" s="178" t="s">
        <v>114</v>
      </c>
      <c r="C291" s="178" t="s">
        <v>1494</v>
      </c>
      <c r="D291" s="178" t="s">
        <v>1644</v>
      </c>
      <c r="E291" s="179">
        <v>8</v>
      </c>
      <c r="F291" s="180">
        <v>183031</v>
      </c>
      <c r="G291" s="179">
        <v>0.49576719860717694</v>
      </c>
      <c r="H291" s="180">
        <v>15259.778640880028</v>
      </c>
      <c r="I291" s="180">
        <v>4260.4627907530266</v>
      </c>
      <c r="J291" s="180" t="s">
        <v>1867</v>
      </c>
      <c r="K291" s="233" t="str">
        <f>VLOOKUP(Broadcast_BASE[[#This Row],[Broadcast Market]],Continent_Look_Up[],2,FALSE)</f>
        <v>Asia Pacific</v>
      </c>
      <c r="L291" t="str">
        <f>IF(OR(Broadcast_BASE[[#This Row],[Broadcast Continent]]="Digital",Broadcast_BASE[[#This Row],[Programme Type]]="Digital"),"Y","N")</f>
        <v>N</v>
      </c>
      <c r="M291" s="4" t="str">
        <f>IF(ISNUMBER(SEARCH("Pan ",Broadcast_BASE[[#This Row],[Broadcast Market]]))=TRUE,"Y","N")</f>
        <v>N</v>
      </c>
      <c r="N291" t="str">
        <f>VLOOKUP(CONCATENATE(Broadcast_BASE[[#This Row],[Broadcast Market]],Broadcast_BASE[[#This Row],[Broadcaster]]),Table1[[CC]:[Pay TV vs. Free-to-Air]],3,FALSE)</f>
        <v>Pay TV</v>
      </c>
      <c r="O291" s="1">
        <f>VLOOKUP(CONCATENATE(Broadcast_BASE[[#This Row],[Broadcast Market]],Broadcast_BASE[[#This Row],[Broadcaster]]),Table1[[CC]:[Pay TV vs. Free-to-Air]],2,FALSE)</f>
        <v>1334000</v>
      </c>
      <c r="P291" s="234">
        <f>Broadcast_BASE[[#This Row],[Rolex EXP]]*86400</f>
        <v>42834.28595966009</v>
      </c>
      <c r="Q291" s="235" t="str">
        <f>IF(Broadcast_BASE[[#This Row],[Dashboard Rated?]]="No","N","Y")</f>
        <v>N</v>
      </c>
      <c r="R291" s="236"/>
      <c r="S291" s="236"/>
    </row>
    <row r="292" spans="1:19" x14ac:dyDescent="0.25">
      <c r="A292" s="72" t="e">
        <f>#REF!</f>
        <v>#REF!</v>
      </c>
      <c r="B292" s="178" t="s">
        <v>121</v>
      </c>
      <c r="C292" s="178" t="s">
        <v>1560</v>
      </c>
      <c r="D292" s="178" t="s">
        <v>1643</v>
      </c>
      <c r="E292" s="179">
        <v>0.15528935185185186</v>
      </c>
      <c r="F292" s="180">
        <v>6013000</v>
      </c>
      <c r="G292" s="179">
        <v>9.5122322099173012E-3</v>
      </c>
      <c r="H292" s="180">
        <v>1555831.8766729331</v>
      </c>
      <c r="I292" s="180">
        <v>431952.20764704118</v>
      </c>
      <c r="J292" s="180" t="s">
        <v>1868</v>
      </c>
      <c r="K292" s="233" t="str">
        <f>VLOOKUP(Broadcast_BASE[[#This Row],[Broadcast Market]],Continent_Look_Up[],2,FALSE)</f>
        <v>Europe</v>
      </c>
      <c r="L292" t="str">
        <f>IF(OR(Broadcast_BASE[[#This Row],[Broadcast Continent]]="Digital",Broadcast_BASE[[#This Row],[Programme Type]]="Digital"),"Y","N")</f>
        <v>N</v>
      </c>
      <c r="M292" s="4" t="str">
        <f>IF(ISNUMBER(SEARCH("Pan ",Broadcast_BASE[[#This Row],[Broadcast Market]]))=TRUE,"Y","N")</f>
        <v>N</v>
      </c>
      <c r="N292" t="str">
        <f>VLOOKUP(CONCATENATE(Broadcast_BASE[[#This Row],[Broadcast Market]],Broadcast_BASE[[#This Row],[Broadcaster]]),Table1[[CC]:[Pay TV vs. Free-to-Air]],3,FALSE)</f>
        <v>Free-to-Air</v>
      </c>
      <c r="O292" s="1">
        <f>VLOOKUP(CONCATENATE(Broadcast_BASE[[#This Row],[Broadcast Market]],Broadcast_BASE[[#This Row],[Broadcaster]]),Table1[[CC]:[Pay TV vs. Free-to-Air]],2,FALSE)</f>
        <v>25754600</v>
      </c>
      <c r="P292" s="234">
        <f>Broadcast_BASE[[#This Row],[Rolex EXP]]*86400</f>
        <v>821.85686293685478</v>
      </c>
      <c r="Q292" s="235" t="str">
        <f>IF(Broadcast_BASE[[#This Row],[Dashboard Rated?]]="No","N","Y")</f>
        <v>Y</v>
      </c>
      <c r="R292" s="236"/>
      <c r="S292" s="236"/>
    </row>
    <row r="293" spans="1:19" x14ac:dyDescent="0.25">
      <c r="A293" s="72" t="e">
        <f>#REF!</f>
        <v>#REF!</v>
      </c>
      <c r="B293" s="178" t="s">
        <v>122</v>
      </c>
      <c r="C293" s="178" t="s">
        <v>1573</v>
      </c>
      <c r="D293" s="178" t="s">
        <v>1643</v>
      </c>
      <c r="E293" s="179">
        <v>3.625</v>
      </c>
      <c r="F293" s="180">
        <v>23190</v>
      </c>
      <c r="G293" s="179">
        <v>0.22204897727853465</v>
      </c>
      <c r="H293" s="180">
        <v>18248.525180315111</v>
      </c>
      <c r="I293" s="180">
        <v>5066.4155016517843</v>
      </c>
      <c r="J293" s="180" t="s">
        <v>1867</v>
      </c>
      <c r="K293" s="233" t="str">
        <f>VLOOKUP(Broadcast_BASE[[#This Row],[Broadcast Market]],Continent_Look_Up[],2,FALSE)</f>
        <v>North America</v>
      </c>
      <c r="L293" t="str">
        <f>IF(OR(Broadcast_BASE[[#This Row],[Broadcast Continent]]="Digital",Broadcast_BASE[[#This Row],[Programme Type]]="Digital"),"Y","N")</f>
        <v>N</v>
      </c>
      <c r="M293" s="4" t="str">
        <f>IF(ISNUMBER(SEARCH("Pan ",Broadcast_BASE[[#This Row],[Broadcast Market]]))=TRUE,"Y","N")</f>
        <v>N</v>
      </c>
      <c r="N293" t="str">
        <f>VLOOKUP(CONCATENATE(Broadcast_BASE[[#This Row],[Broadcast Market]],Broadcast_BASE[[#This Row],[Broadcaster]]),Table1[[CC]:[Pay TV vs. Free-to-Air]],3,FALSE)</f>
        <v>Pay TV</v>
      </c>
      <c r="O293" s="1">
        <f>VLOOKUP(CONCATENATE(Broadcast_BASE[[#This Row],[Broadcast Market]],Broadcast_BASE[[#This Row],[Broadcaster]]),Table1[[CC]:[Pay TV vs. Free-to-Air]],2,FALSE)</f>
        <v>0</v>
      </c>
      <c r="P293" s="234">
        <f>Broadcast_BASE[[#This Row],[Rolex EXP]]*86400</f>
        <v>19185.031636865395</v>
      </c>
      <c r="Q293" s="235" t="str">
        <f>IF(Broadcast_BASE[[#This Row],[Dashboard Rated?]]="No","N","Y")</f>
        <v>N</v>
      </c>
      <c r="R293" s="236"/>
      <c r="S293" s="236"/>
    </row>
    <row r="294" spans="1:19" x14ac:dyDescent="0.25">
      <c r="A294" s="72" t="e">
        <f>#REF!</f>
        <v>#REF!</v>
      </c>
      <c r="B294" s="178" t="s">
        <v>122</v>
      </c>
      <c r="C294" s="178" t="s">
        <v>1573</v>
      </c>
      <c r="D294" s="178" t="s">
        <v>1644</v>
      </c>
      <c r="E294" s="179">
        <v>1.0416666666666667</v>
      </c>
      <c r="F294" s="180">
        <v>10070</v>
      </c>
      <c r="G294" s="179">
        <v>6.380717737888926E-2</v>
      </c>
      <c r="H294" s="180">
        <v>5608.9818881396959</v>
      </c>
      <c r="I294" s="180">
        <v>1557.2454489204008</v>
      </c>
      <c r="J294" s="180" t="s">
        <v>1867</v>
      </c>
      <c r="K294" s="233" t="str">
        <f>VLOOKUP(Broadcast_BASE[[#This Row],[Broadcast Market]],Continent_Look_Up[],2,FALSE)</f>
        <v>North America</v>
      </c>
      <c r="L294" t="str">
        <f>IF(OR(Broadcast_BASE[[#This Row],[Broadcast Continent]]="Digital",Broadcast_BASE[[#This Row],[Programme Type]]="Digital"),"Y","N")</f>
        <v>N</v>
      </c>
      <c r="M294" s="4" t="str">
        <f>IF(ISNUMBER(SEARCH("Pan ",Broadcast_BASE[[#This Row],[Broadcast Market]]))=TRUE,"Y","N")</f>
        <v>N</v>
      </c>
      <c r="N294" t="str">
        <f>VLOOKUP(CONCATENATE(Broadcast_BASE[[#This Row],[Broadcast Market]],Broadcast_BASE[[#This Row],[Broadcaster]]),Table1[[CC]:[Pay TV vs. Free-to-Air]],3,FALSE)</f>
        <v>Pay TV</v>
      </c>
      <c r="O294" s="1">
        <f>VLOOKUP(CONCATENATE(Broadcast_BASE[[#This Row],[Broadcast Market]],Broadcast_BASE[[#This Row],[Broadcaster]]),Table1[[CC]:[Pay TV vs. Free-to-Air]],2,FALSE)</f>
        <v>0</v>
      </c>
      <c r="P294" s="234">
        <f>Broadcast_BASE[[#This Row],[Rolex EXP]]*86400</f>
        <v>5512.9401255360317</v>
      </c>
      <c r="Q294" s="235" t="str">
        <f>IF(Broadcast_BASE[[#This Row],[Dashboard Rated?]]="No","N","Y")</f>
        <v>N</v>
      </c>
      <c r="R294" s="236"/>
      <c r="S294" s="236"/>
    </row>
    <row r="295" spans="1:19" x14ac:dyDescent="0.25">
      <c r="A295" s="72" t="e">
        <f>#REF!</f>
        <v>#REF!</v>
      </c>
      <c r="B295" s="178" t="s">
        <v>122</v>
      </c>
      <c r="C295" s="178" t="s">
        <v>1574</v>
      </c>
      <c r="D295" s="178" t="s">
        <v>1643</v>
      </c>
      <c r="E295" s="179">
        <v>1.5416666666666667</v>
      </c>
      <c r="F295" s="180">
        <v>7872</v>
      </c>
      <c r="G295" s="179">
        <v>9.4434622520756115E-2</v>
      </c>
      <c r="H295" s="180">
        <v>7584.2571732779988</v>
      </c>
      <c r="I295" s="180">
        <v>2105.6495103866728</v>
      </c>
      <c r="J295" s="180" t="s">
        <v>1867</v>
      </c>
      <c r="K295" s="233" t="str">
        <f>VLOOKUP(Broadcast_BASE[[#This Row],[Broadcast Market]],Continent_Look_Up[],2,FALSE)</f>
        <v>North America</v>
      </c>
      <c r="L295" t="str">
        <f>IF(OR(Broadcast_BASE[[#This Row],[Broadcast Continent]]="Digital",Broadcast_BASE[[#This Row],[Programme Type]]="Digital"),"Y","N")</f>
        <v>N</v>
      </c>
      <c r="M295" s="4" t="str">
        <f>IF(ISNUMBER(SEARCH("Pan ",Broadcast_BASE[[#This Row],[Broadcast Market]]))=TRUE,"Y","N")</f>
        <v>N</v>
      </c>
      <c r="N295" t="str">
        <f>VLOOKUP(CONCATENATE(Broadcast_BASE[[#This Row],[Broadcast Market]],Broadcast_BASE[[#This Row],[Broadcaster]]),Table1[[CC]:[Pay TV vs. Free-to-Air]],3,FALSE)</f>
        <v>Pay TV</v>
      </c>
      <c r="O295" s="1">
        <f>VLOOKUP(CONCATENATE(Broadcast_BASE[[#This Row],[Broadcast Market]],Broadcast_BASE[[#This Row],[Broadcaster]]),Table1[[CC]:[Pay TV vs. Free-to-Air]],2,FALSE)</f>
        <v>0</v>
      </c>
      <c r="P295" s="234">
        <f>Broadcast_BASE[[#This Row],[Rolex EXP]]*86400</f>
        <v>8159.1513857933287</v>
      </c>
      <c r="Q295" s="235" t="str">
        <f>IF(Broadcast_BASE[[#This Row],[Dashboard Rated?]]="No","N","Y")</f>
        <v>N</v>
      </c>
      <c r="R295" s="236"/>
      <c r="S295" s="236"/>
    </row>
    <row r="296" spans="1:19" x14ac:dyDescent="0.25">
      <c r="A296" s="72" t="e">
        <f>#REF!</f>
        <v>#REF!</v>
      </c>
      <c r="B296" s="178" t="s">
        <v>122</v>
      </c>
      <c r="C296" s="178" t="s">
        <v>1574</v>
      </c>
      <c r="D296" s="178" t="s">
        <v>1644</v>
      </c>
      <c r="E296" s="179">
        <v>0.83333333333333337</v>
      </c>
      <c r="F296" s="180">
        <v>6560</v>
      </c>
      <c r="G296" s="179">
        <v>5.1045741903111418E-2</v>
      </c>
      <c r="H296" s="180">
        <v>4099.598472042162</v>
      </c>
      <c r="I296" s="180">
        <v>1138.1889245333366</v>
      </c>
      <c r="J296" s="180" t="s">
        <v>1867</v>
      </c>
      <c r="K296" s="233" t="str">
        <f>VLOOKUP(Broadcast_BASE[[#This Row],[Broadcast Market]],Continent_Look_Up[],2,FALSE)</f>
        <v>North America</v>
      </c>
      <c r="L296" t="str">
        <f>IF(OR(Broadcast_BASE[[#This Row],[Broadcast Continent]]="Digital",Broadcast_BASE[[#This Row],[Programme Type]]="Digital"),"Y","N")</f>
        <v>N</v>
      </c>
      <c r="M296" s="4" t="str">
        <f>IF(ISNUMBER(SEARCH("Pan ",Broadcast_BASE[[#This Row],[Broadcast Market]]))=TRUE,"Y","N")</f>
        <v>N</v>
      </c>
      <c r="N296" t="str">
        <f>VLOOKUP(CONCATENATE(Broadcast_BASE[[#This Row],[Broadcast Market]],Broadcast_BASE[[#This Row],[Broadcaster]]),Table1[[CC]:[Pay TV vs. Free-to-Air]],3,FALSE)</f>
        <v>Pay TV</v>
      </c>
      <c r="O296" s="1">
        <f>VLOOKUP(CONCATENATE(Broadcast_BASE[[#This Row],[Broadcast Market]],Broadcast_BASE[[#This Row],[Broadcaster]]),Table1[[CC]:[Pay TV vs. Free-to-Air]],2,FALSE)</f>
        <v>0</v>
      </c>
      <c r="P296" s="234">
        <f>Broadcast_BASE[[#This Row],[Rolex EXP]]*86400</f>
        <v>4410.3521004288268</v>
      </c>
      <c r="Q296" s="235" t="str">
        <f>IF(Broadcast_BASE[[#This Row],[Dashboard Rated?]]="No","N","Y")</f>
        <v>N</v>
      </c>
      <c r="R296" s="236"/>
      <c r="S296" s="236"/>
    </row>
    <row r="297" spans="1:19" x14ac:dyDescent="0.25">
      <c r="A297" s="72" t="e">
        <f>#REF!</f>
        <v>#REF!</v>
      </c>
      <c r="B297" s="178" t="s">
        <v>122</v>
      </c>
      <c r="C297" s="178" t="s">
        <v>183</v>
      </c>
      <c r="D297" s="178" t="s">
        <v>1642</v>
      </c>
      <c r="E297" s="179">
        <v>2.9861111111111113E-2</v>
      </c>
      <c r="F297" s="180">
        <v>495000</v>
      </c>
      <c r="G297" s="179">
        <v>1.5838364237458671E-3</v>
      </c>
      <c r="H297" s="180">
        <v>47991.408088267788</v>
      </c>
      <c r="I297" s="180">
        <v>14398.674885179225</v>
      </c>
      <c r="J297" s="180" t="s">
        <v>1868</v>
      </c>
      <c r="K297" s="233" t="str">
        <f>VLOOKUP(Broadcast_BASE[[#This Row],[Broadcast Market]],Continent_Look_Up[],2,FALSE)</f>
        <v>North America</v>
      </c>
      <c r="L297" t="str">
        <f>IF(OR(Broadcast_BASE[[#This Row],[Broadcast Continent]]="Digital",Broadcast_BASE[[#This Row],[Programme Type]]="Digital"),"Y","N")</f>
        <v>N</v>
      </c>
      <c r="M297" s="4" t="str">
        <f>IF(ISNUMBER(SEARCH("Pan ",Broadcast_BASE[[#This Row],[Broadcast Market]]))=TRUE,"Y","N")</f>
        <v>N</v>
      </c>
      <c r="N297" t="str">
        <f>VLOOKUP(CONCATENATE(Broadcast_BASE[[#This Row],[Broadcast Market]],Broadcast_BASE[[#This Row],[Broadcaster]]),Table1[[CC]:[Pay TV vs. Free-to-Air]],3,FALSE)</f>
        <v>Pay TV</v>
      </c>
      <c r="O297" s="1">
        <f>VLOOKUP(CONCATENATE(Broadcast_BASE[[#This Row],[Broadcast Market]],Broadcast_BASE[[#This Row],[Broadcaster]]),Table1[[CC]:[Pay TV vs. Free-to-Air]],2,FALSE)</f>
        <v>93000000</v>
      </c>
      <c r="P297" s="234">
        <f>Broadcast_BASE[[#This Row],[Rolex EXP]]*86400</f>
        <v>136.84346701164293</v>
      </c>
      <c r="Q297" s="235" t="str">
        <f>IF(Broadcast_BASE[[#This Row],[Dashboard Rated?]]="No","N","Y")</f>
        <v>Y</v>
      </c>
      <c r="R297" s="236"/>
      <c r="S297" s="236"/>
    </row>
    <row r="298" spans="1:19" x14ac:dyDescent="0.25">
      <c r="A298" s="72" t="e">
        <f>#REF!</f>
        <v>#REF!</v>
      </c>
      <c r="B298" s="178" t="s">
        <v>122</v>
      </c>
      <c r="C298" s="178" t="s">
        <v>183</v>
      </c>
      <c r="D298" s="178" t="s">
        <v>1643</v>
      </c>
      <c r="E298" s="179">
        <v>3.6236111111111113</v>
      </c>
      <c r="F298" s="180">
        <v>16528600</v>
      </c>
      <c r="G298" s="179">
        <v>0.23973030131560388</v>
      </c>
      <c r="H298" s="180">
        <v>12996921.535725407</v>
      </c>
      <c r="I298" s="180">
        <v>3698360.6338043101</v>
      </c>
      <c r="J298" s="180" t="s">
        <v>1868</v>
      </c>
      <c r="K298" s="233" t="str">
        <f>VLOOKUP(Broadcast_BASE[[#This Row],[Broadcast Market]],Continent_Look_Up[],2,FALSE)</f>
        <v>North America</v>
      </c>
      <c r="L298" t="str">
        <f>IF(OR(Broadcast_BASE[[#This Row],[Broadcast Continent]]="Digital",Broadcast_BASE[[#This Row],[Programme Type]]="Digital"),"Y","N")</f>
        <v>N</v>
      </c>
      <c r="M298" s="4" t="str">
        <f>IF(ISNUMBER(SEARCH("Pan ",Broadcast_BASE[[#This Row],[Broadcast Market]]))=TRUE,"Y","N")</f>
        <v>N</v>
      </c>
      <c r="N298" t="str">
        <f>VLOOKUP(CONCATENATE(Broadcast_BASE[[#This Row],[Broadcast Market]],Broadcast_BASE[[#This Row],[Broadcaster]]),Table1[[CC]:[Pay TV vs. Free-to-Air]],3,FALSE)</f>
        <v>Pay TV</v>
      </c>
      <c r="O298" s="1">
        <f>VLOOKUP(CONCATENATE(Broadcast_BASE[[#This Row],[Broadcast Market]],Broadcast_BASE[[#This Row],[Broadcaster]]),Table1[[CC]:[Pay TV vs. Free-to-Air]],2,FALSE)</f>
        <v>93000000</v>
      </c>
      <c r="P298" s="234">
        <f>Broadcast_BASE[[#This Row],[Rolex EXP]]*86400</f>
        <v>20712.698033668177</v>
      </c>
      <c r="Q298" s="235" t="str">
        <f>IF(Broadcast_BASE[[#This Row],[Dashboard Rated?]]="No","N","Y")</f>
        <v>Y</v>
      </c>
      <c r="R298" s="236"/>
      <c r="S298" s="236"/>
    </row>
    <row r="299" spans="1:19" x14ac:dyDescent="0.25">
      <c r="A299" s="72" t="e">
        <f>#REF!</f>
        <v>#REF!</v>
      </c>
      <c r="B299" s="178" t="s">
        <v>122</v>
      </c>
      <c r="C299" s="178" t="s">
        <v>187</v>
      </c>
      <c r="D299" s="178" t="s">
        <v>1642</v>
      </c>
      <c r="E299" s="179">
        <v>2.0833333333333332E-2</v>
      </c>
      <c r="F299" s="180">
        <v>3600</v>
      </c>
      <c r="G299" s="179">
        <v>1.1050021561017675E-3</v>
      </c>
      <c r="H299" s="180">
        <v>243.50820171636883</v>
      </c>
      <c r="I299" s="180">
        <v>73.058815485053003</v>
      </c>
      <c r="J299" s="180" t="s">
        <v>1868</v>
      </c>
      <c r="K299" s="233" t="str">
        <f>VLOOKUP(Broadcast_BASE[[#This Row],[Broadcast Market]],Continent_Look_Up[],2,FALSE)</f>
        <v>North America</v>
      </c>
      <c r="L299" t="str">
        <f>IF(OR(Broadcast_BASE[[#This Row],[Broadcast Continent]]="Digital",Broadcast_BASE[[#This Row],[Programme Type]]="Digital"),"Y","N")</f>
        <v>N</v>
      </c>
      <c r="M299" s="4" t="str">
        <f>IF(ISNUMBER(SEARCH("Pan ",Broadcast_BASE[[#This Row],[Broadcast Market]]))=TRUE,"Y","N")</f>
        <v>N</v>
      </c>
      <c r="N299" t="str">
        <f>VLOOKUP(CONCATENATE(Broadcast_BASE[[#This Row],[Broadcast Market]],Broadcast_BASE[[#This Row],[Broadcaster]]),Table1[[CC]:[Pay TV vs. Free-to-Air]],3,FALSE)</f>
        <v>Pay TV</v>
      </c>
      <c r="O299" s="1">
        <f>VLOOKUP(CONCATENATE(Broadcast_BASE[[#This Row],[Broadcast Market]],Broadcast_BASE[[#This Row],[Broadcaster]]),Table1[[CC]:[Pay TV vs. Free-to-Air]],2,FALSE)</f>
        <v>38400000</v>
      </c>
      <c r="P299" s="234">
        <f>Broadcast_BASE[[#This Row],[Rolex EXP]]*86400</f>
        <v>95.472186287192713</v>
      </c>
      <c r="Q299" s="235" t="str">
        <f>IF(Broadcast_BASE[[#This Row],[Dashboard Rated?]]="No","N","Y")</f>
        <v>Y</v>
      </c>
      <c r="R299" s="236"/>
      <c r="S299" s="236"/>
    </row>
    <row r="300" spans="1:19" x14ac:dyDescent="0.25">
      <c r="A300" s="72" t="e">
        <f>#REF!</f>
        <v>#REF!</v>
      </c>
      <c r="B300" s="178" t="s">
        <v>122</v>
      </c>
      <c r="C300" s="178" t="s">
        <v>187</v>
      </c>
      <c r="D300" s="178" t="s">
        <v>1643</v>
      </c>
      <c r="E300" s="179">
        <v>3.4756944444444446</v>
      </c>
      <c r="F300" s="180">
        <v>189000</v>
      </c>
      <c r="G300" s="179">
        <v>0.22578861464324354</v>
      </c>
      <c r="H300" s="180">
        <v>147706.49412330848</v>
      </c>
      <c r="I300" s="180">
        <v>41346.155592766845</v>
      </c>
      <c r="J300" s="180" t="s">
        <v>1868</v>
      </c>
      <c r="K300" s="233" t="str">
        <f>VLOOKUP(Broadcast_BASE[[#This Row],[Broadcast Market]],Continent_Look_Up[],2,FALSE)</f>
        <v>North America</v>
      </c>
      <c r="L300" t="str">
        <f>IF(OR(Broadcast_BASE[[#This Row],[Broadcast Continent]]="Digital",Broadcast_BASE[[#This Row],[Programme Type]]="Digital"),"Y","N")</f>
        <v>N</v>
      </c>
      <c r="M300" s="4" t="str">
        <f>IF(ISNUMBER(SEARCH("Pan ",Broadcast_BASE[[#This Row],[Broadcast Market]]))=TRUE,"Y","N")</f>
        <v>N</v>
      </c>
      <c r="N300" t="str">
        <f>VLOOKUP(CONCATENATE(Broadcast_BASE[[#This Row],[Broadcast Market]],Broadcast_BASE[[#This Row],[Broadcaster]]),Table1[[CC]:[Pay TV vs. Free-to-Air]],3,FALSE)</f>
        <v>Pay TV</v>
      </c>
      <c r="O300" s="1">
        <f>VLOOKUP(CONCATENATE(Broadcast_BASE[[#This Row],[Broadcast Market]],Broadcast_BASE[[#This Row],[Broadcaster]]),Table1[[CC]:[Pay TV vs. Free-to-Air]],2,FALSE)</f>
        <v>38400000</v>
      </c>
      <c r="P300" s="234">
        <f>Broadcast_BASE[[#This Row],[Rolex EXP]]*86400</f>
        <v>19508.136305176242</v>
      </c>
      <c r="Q300" s="235" t="str">
        <f>IF(Broadcast_BASE[[#This Row],[Dashboard Rated?]]="No","N","Y")</f>
        <v>Y</v>
      </c>
      <c r="R300" s="236"/>
      <c r="S300" s="236"/>
    </row>
    <row r="301" spans="1:19" x14ac:dyDescent="0.25">
      <c r="A301" s="72" t="e">
        <f>#REF!</f>
        <v>#REF!</v>
      </c>
      <c r="B301" s="178" t="s">
        <v>122</v>
      </c>
      <c r="C301" s="178" t="s">
        <v>187</v>
      </c>
      <c r="D301" s="178" t="s">
        <v>1644</v>
      </c>
      <c r="E301" s="179">
        <v>8.3333333333333329E-2</v>
      </c>
      <c r="F301" s="180">
        <v>49</v>
      </c>
      <c r="G301" s="179">
        <v>4.4200086244070699E-3</v>
      </c>
      <c r="H301" s="180">
        <v>13.257668760113461</v>
      </c>
      <c r="I301" s="180">
        <v>3.9776466208529002</v>
      </c>
      <c r="J301" s="180" t="s">
        <v>1868</v>
      </c>
      <c r="K301" s="233" t="str">
        <f>VLOOKUP(Broadcast_BASE[[#This Row],[Broadcast Market]],Continent_Look_Up[],2,FALSE)</f>
        <v>North America</v>
      </c>
      <c r="L301" t="str">
        <f>IF(OR(Broadcast_BASE[[#This Row],[Broadcast Continent]]="Digital",Broadcast_BASE[[#This Row],[Programme Type]]="Digital"),"Y","N")</f>
        <v>N</v>
      </c>
      <c r="M301" s="4" t="str">
        <f>IF(ISNUMBER(SEARCH("Pan ",Broadcast_BASE[[#This Row],[Broadcast Market]]))=TRUE,"Y","N")</f>
        <v>N</v>
      </c>
      <c r="N301" t="str">
        <f>VLOOKUP(CONCATENATE(Broadcast_BASE[[#This Row],[Broadcast Market]],Broadcast_BASE[[#This Row],[Broadcaster]]),Table1[[CC]:[Pay TV vs. Free-to-Air]],3,FALSE)</f>
        <v>Pay TV</v>
      </c>
      <c r="O301" s="1">
        <f>VLOOKUP(CONCATENATE(Broadcast_BASE[[#This Row],[Broadcast Market]],Broadcast_BASE[[#This Row],[Broadcaster]]),Table1[[CC]:[Pay TV vs. Free-to-Air]],2,FALSE)</f>
        <v>38400000</v>
      </c>
      <c r="P301" s="234">
        <f>Broadcast_BASE[[#This Row],[Rolex EXP]]*86400</f>
        <v>381.88874514877085</v>
      </c>
      <c r="Q301" s="235" t="str">
        <f>IF(Broadcast_BASE[[#This Row],[Dashboard Rated?]]="No","N","Y")</f>
        <v>Y</v>
      </c>
      <c r="R301" s="236"/>
      <c r="S301" s="236"/>
    </row>
    <row r="302" spans="1:19" x14ac:dyDescent="0.25">
      <c r="A302" s="72" t="e">
        <f>#REF!</f>
        <v>#REF!</v>
      </c>
      <c r="B302" s="178" t="s">
        <v>122</v>
      </c>
      <c r="C302" s="178" t="s">
        <v>220</v>
      </c>
      <c r="D302" s="178" t="s">
        <v>1643</v>
      </c>
      <c r="E302" s="179">
        <v>2.7229166666666664</v>
      </c>
      <c r="F302" s="180">
        <v>8458400</v>
      </c>
      <c r="G302" s="179">
        <v>0.1638027479334519</v>
      </c>
      <c r="H302" s="180">
        <v>6857408.1850569854</v>
      </c>
      <c r="I302" s="180">
        <v>1904711.2624953447</v>
      </c>
      <c r="J302" s="180" t="s">
        <v>1868</v>
      </c>
      <c r="K302" s="233" t="str">
        <f>VLOOKUP(Broadcast_BASE[[#This Row],[Broadcast Market]],Continent_Look_Up[],2,FALSE)</f>
        <v>North America</v>
      </c>
      <c r="L302" t="str">
        <f>IF(OR(Broadcast_BASE[[#This Row],[Broadcast Continent]]="Digital",Broadcast_BASE[[#This Row],[Programme Type]]="Digital"),"Y","N")</f>
        <v>N</v>
      </c>
      <c r="M302" s="4" t="str">
        <f>IF(ISNUMBER(SEARCH("Pan ",Broadcast_BASE[[#This Row],[Broadcast Market]]))=TRUE,"Y","N")</f>
        <v>N</v>
      </c>
      <c r="N302" t="str">
        <f>VLOOKUP(CONCATENATE(Broadcast_BASE[[#This Row],[Broadcast Market]],Broadcast_BASE[[#This Row],[Broadcaster]]),Table1[[CC]:[Pay TV vs. Free-to-Air]],3,FALSE)</f>
        <v>Pay TV</v>
      </c>
      <c r="O302" s="1">
        <f>VLOOKUP(CONCATENATE(Broadcast_BASE[[#This Row],[Broadcast Market]],Broadcast_BASE[[#This Row],[Broadcaster]]),Table1[[CC]:[Pay TV vs. Free-to-Air]],2,FALSE)</f>
        <v>93000000</v>
      </c>
      <c r="P302" s="234">
        <f>Broadcast_BASE[[#This Row],[Rolex EXP]]*86400</f>
        <v>14152.557421450243</v>
      </c>
      <c r="Q302" s="235" t="str">
        <f>IF(Broadcast_BASE[[#This Row],[Dashboard Rated?]]="No","N","Y")</f>
        <v>Y</v>
      </c>
      <c r="R302" s="236"/>
      <c r="S302" s="236"/>
    </row>
    <row r="303" spans="1:19" x14ac:dyDescent="0.25">
      <c r="A303" s="72" t="e">
        <f>#REF!</f>
        <v>#REF!</v>
      </c>
      <c r="B303" s="178" t="s">
        <v>122</v>
      </c>
      <c r="C303" s="178" t="s">
        <v>220</v>
      </c>
      <c r="D303" s="178" t="s">
        <v>1644</v>
      </c>
      <c r="E303" s="179">
        <v>0.125</v>
      </c>
      <c r="F303" s="180">
        <v>134700</v>
      </c>
      <c r="G303" s="179">
        <v>6.6300129366106053E-3</v>
      </c>
      <c r="H303" s="180">
        <v>54667.591285324721</v>
      </c>
      <c r="I303" s="180">
        <v>16401.704076394377</v>
      </c>
      <c r="J303" s="180" t="s">
        <v>1868</v>
      </c>
      <c r="K303" s="233" t="str">
        <f>VLOOKUP(Broadcast_BASE[[#This Row],[Broadcast Market]],Continent_Look_Up[],2,FALSE)</f>
        <v>North America</v>
      </c>
      <c r="L303" t="str">
        <f>IF(OR(Broadcast_BASE[[#This Row],[Broadcast Continent]]="Digital",Broadcast_BASE[[#This Row],[Programme Type]]="Digital"),"Y","N")</f>
        <v>N</v>
      </c>
      <c r="M303" s="4" t="str">
        <f>IF(ISNUMBER(SEARCH("Pan ",Broadcast_BASE[[#This Row],[Broadcast Market]]))=TRUE,"Y","N")</f>
        <v>N</v>
      </c>
      <c r="N303" t="str">
        <f>VLOOKUP(CONCATENATE(Broadcast_BASE[[#This Row],[Broadcast Market]],Broadcast_BASE[[#This Row],[Broadcaster]]),Table1[[CC]:[Pay TV vs. Free-to-Air]],3,FALSE)</f>
        <v>Pay TV</v>
      </c>
      <c r="O303" s="1">
        <f>VLOOKUP(CONCATENATE(Broadcast_BASE[[#This Row],[Broadcast Market]],Broadcast_BASE[[#This Row],[Broadcaster]]),Table1[[CC]:[Pay TV vs. Free-to-Air]],2,FALSE)</f>
        <v>93000000</v>
      </c>
      <c r="P303" s="234">
        <f>Broadcast_BASE[[#This Row],[Rolex EXP]]*86400</f>
        <v>572.83311772315631</v>
      </c>
      <c r="Q303" s="235" t="str">
        <f>IF(Broadcast_BASE[[#This Row],[Dashboard Rated?]]="No","N","Y")</f>
        <v>Y</v>
      </c>
      <c r="R303" s="236"/>
      <c r="S303" s="236"/>
    </row>
    <row r="304" spans="1:19" x14ac:dyDescent="0.25">
      <c r="A304" s="72" t="e">
        <f>#REF!</f>
        <v>#REF!</v>
      </c>
      <c r="B304" s="178" t="s">
        <v>122</v>
      </c>
      <c r="C304" s="178" t="s">
        <v>1594</v>
      </c>
      <c r="D304" s="178" t="s">
        <v>1642</v>
      </c>
      <c r="E304" s="179">
        <v>0.81597222222222221</v>
      </c>
      <c r="F304" s="180">
        <v>729652</v>
      </c>
      <c r="G304" s="179">
        <v>4.9982288946796592E-2</v>
      </c>
      <c r="H304" s="180">
        <v>108229.73296260191</v>
      </c>
      <c r="I304" s="180">
        <v>30048.280143365024</v>
      </c>
      <c r="J304" s="180" t="s">
        <v>1868</v>
      </c>
      <c r="K304" s="233" t="str">
        <f>VLOOKUP(Broadcast_BASE[[#This Row],[Broadcast Market]],Continent_Look_Up[],2,FALSE)</f>
        <v>North America</v>
      </c>
      <c r="L304" t="str">
        <f>IF(OR(Broadcast_BASE[[#This Row],[Broadcast Continent]]="Digital",Broadcast_BASE[[#This Row],[Programme Type]]="Digital"),"Y","N")</f>
        <v>N</v>
      </c>
      <c r="M304" s="4" t="str">
        <f>IF(ISNUMBER(SEARCH("Pan ",Broadcast_BASE[[#This Row],[Broadcast Market]]))=TRUE,"Y","N")</f>
        <v>N</v>
      </c>
      <c r="N304" t="str">
        <f>VLOOKUP(CONCATENATE(Broadcast_BASE[[#This Row],[Broadcast Market]],Broadcast_BASE[[#This Row],[Broadcaster]]),Table1[[CC]:[Pay TV vs. Free-to-Air]],3,FALSE)</f>
        <v>Pay TV</v>
      </c>
      <c r="O304" s="1">
        <f>VLOOKUP(CONCATENATE(Broadcast_BASE[[#This Row],[Broadcast Market]],Broadcast_BASE[[#This Row],[Broadcaster]]),Table1[[CC]:[Pay TV vs. Free-to-Air]],2,FALSE)</f>
        <v>34000000</v>
      </c>
      <c r="P304" s="234">
        <f>Broadcast_BASE[[#This Row],[Rolex EXP]]*86400</f>
        <v>4318.4697650032258</v>
      </c>
      <c r="Q304" s="235" t="str">
        <f>IF(Broadcast_BASE[[#This Row],[Dashboard Rated?]]="No","N","Y")</f>
        <v>Y</v>
      </c>
      <c r="R304" s="236"/>
      <c r="S304" s="236"/>
    </row>
    <row r="305" spans="1:19" x14ac:dyDescent="0.25">
      <c r="A305" s="72" t="e">
        <f>#REF!</f>
        <v>#REF!</v>
      </c>
      <c r="B305" s="178" t="s">
        <v>122</v>
      </c>
      <c r="C305" s="178" t="s">
        <v>1594</v>
      </c>
      <c r="D305" s="178" t="s">
        <v>1643</v>
      </c>
      <c r="E305" s="179">
        <v>7.7777777777777779E-2</v>
      </c>
      <c r="F305" s="180">
        <v>33700</v>
      </c>
      <c r="G305" s="179">
        <v>4.6611625665311596E-3</v>
      </c>
      <c r="H305" s="180">
        <v>9615.5054456685266</v>
      </c>
      <c r="I305" s="180">
        <v>2596.389687579921</v>
      </c>
      <c r="J305" s="180" t="s">
        <v>1868</v>
      </c>
      <c r="K305" s="233" t="str">
        <f>VLOOKUP(Broadcast_BASE[[#This Row],[Broadcast Market]],Continent_Look_Up[],2,FALSE)</f>
        <v>North America</v>
      </c>
      <c r="L305" t="str">
        <f>IF(OR(Broadcast_BASE[[#This Row],[Broadcast Continent]]="Digital",Broadcast_BASE[[#This Row],[Programme Type]]="Digital"),"Y","N")</f>
        <v>N</v>
      </c>
      <c r="M305" s="4" t="str">
        <f>IF(ISNUMBER(SEARCH("Pan ",Broadcast_BASE[[#This Row],[Broadcast Market]]))=TRUE,"Y","N")</f>
        <v>N</v>
      </c>
      <c r="N305" t="str">
        <f>VLOOKUP(CONCATENATE(Broadcast_BASE[[#This Row],[Broadcast Market]],Broadcast_BASE[[#This Row],[Broadcaster]]),Table1[[CC]:[Pay TV vs. Free-to-Air]],3,FALSE)</f>
        <v>Pay TV</v>
      </c>
      <c r="O305" s="1">
        <f>VLOOKUP(CONCATENATE(Broadcast_BASE[[#This Row],[Broadcast Market]],Broadcast_BASE[[#This Row],[Broadcaster]]),Table1[[CC]:[Pay TV vs. Free-to-Air]],2,FALSE)</f>
        <v>34000000</v>
      </c>
      <c r="P305" s="234">
        <f>Broadcast_BASE[[#This Row],[Rolex EXP]]*86400</f>
        <v>402.72444574829217</v>
      </c>
      <c r="Q305" s="235" t="str">
        <f>IF(Broadcast_BASE[[#This Row],[Dashboard Rated?]]="No","N","Y")</f>
        <v>Y</v>
      </c>
      <c r="R305" s="236"/>
      <c r="S305" s="236"/>
    </row>
    <row r="306" spans="1:19" x14ac:dyDescent="0.25">
      <c r="A306" s="72" t="e">
        <f>#REF!</f>
        <v>#REF!</v>
      </c>
      <c r="B306" s="178" t="s">
        <v>122</v>
      </c>
      <c r="C306" s="178" t="s">
        <v>1594</v>
      </c>
      <c r="D306" s="178" t="s">
        <v>1644</v>
      </c>
      <c r="E306" s="179">
        <v>5.8694444444444445</v>
      </c>
      <c r="F306" s="180">
        <v>2146167</v>
      </c>
      <c r="G306" s="179">
        <v>0.4798744346934834</v>
      </c>
      <c r="H306" s="180">
        <v>958013.94507618796</v>
      </c>
      <c r="I306" s="180">
        <v>271544.17115897627</v>
      </c>
      <c r="J306" s="180" t="s">
        <v>1868</v>
      </c>
      <c r="K306" s="233" t="str">
        <f>VLOOKUP(Broadcast_BASE[[#This Row],[Broadcast Market]],Continent_Look_Up[],2,FALSE)</f>
        <v>North America</v>
      </c>
      <c r="L306" t="str">
        <f>IF(OR(Broadcast_BASE[[#This Row],[Broadcast Continent]]="Digital",Broadcast_BASE[[#This Row],[Programme Type]]="Digital"),"Y","N")</f>
        <v>N</v>
      </c>
      <c r="M306" s="4" t="str">
        <f>IF(ISNUMBER(SEARCH("Pan ",Broadcast_BASE[[#This Row],[Broadcast Market]]))=TRUE,"Y","N")</f>
        <v>N</v>
      </c>
      <c r="N306" t="str">
        <f>VLOOKUP(CONCATENATE(Broadcast_BASE[[#This Row],[Broadcast Market]],Broadcast_BASE[[#This Row],[Broadcaster]]),Table1[[CC]:[Pay TV vs. Free-to-Air]],3,FALSE)</f>
        <v>Pay TV</v>
      </c>
      <c r="O306" s="1">
        <f>VLOOKUP(CONCATENATE(Broadcast_BASE[[#This Row],[Broadcast Market]],Broadcast_BASE[[#This Row],[Broadcaster]]),Table1[[CC]:[Pay TV vs. Free-to-Air]],2,FALSE)</f>
        <v>34000000</v>
      </c>
      <c r="P306" s="234">
        <f>Broadcast_BASE[[#This Row],[Rolex EXP]]*86400</f>
        <v>41461.151157516964</v>
      </c>
      <c r="Q306" s="235" t="str">
        <f>IF(Broadcast_BASE[[#This Row],[Dashboard Rated?]]="No","N","Y")</f>
        <v>Y</v>
      </c>
      <c r="R306" s="236"/>
      <c r="S306" s="236"/>
    </row>
    <row r="307" spans="1:19" x14ac:dyDescent="0.25">
      <c r="A307" s="72" t="e">
        <f>#REF!</f>
        <v>#REF!</v>
      </c>
      <c r="B307" s="178" t="s">
        <v>126</v>
      </c>
      <c r="C307" s="178" t="s">
        <v>468</v>
      </c>
      <c r="D307" s="178" t="s">
        <v>1642</v>
      </c>
      <c r="E307" s="179">
        <v>2.75</v>
      </c>
      <c r="F307" s="180">
        <v>1558526</v>
      </c>
      <c r="G307" s="179">
        <v>0.1773896728554343</v>
      </c>
      <c r="H307" s="180">
        <v>69457.254364648572</v>
      </c>
      <c r="I307" s="180">
        <v>19614.383329594533</v>
      </c>
      <c r="J307" s="180" t="s">
        <v>1867</v>
      </c>
      <c r="K307" s="233" t="str">
        <f>VLOOKUP(Broadcast_BASE[[#This Row],[Broadcast Market]],Continent_Look_Up[],2,FALSE)</f>
        <v>Asia Pacific</v>
      </c>
      <c r="L307" t="str">
        <f>IF(OR(Broadcast_BASE[[#This Row],[Broadcast Continent]]="Digital",Broadcast_BASE[[#This Row],[Programme Type]]="Digital"),"Y","N")</f>
        <v>N</v>
      </c>
      <c r="M307" s="4" t="str">
        <f>IF(ISNUMBER(SEARCH("Pan ",Broadcast_BASE[[#This Row],[Broadcast Market]]))=TRUE,"Y","N")</f>
        <v>N</v>
      </c>
      <c r="N307" t="str">
        <f>VLOOKUP(CONCATENATE(Broadcast_BASE[[#This Row],[Broadcast Market]],Broadcast_BASE[[#This Row],[Broadcaster]]),Table1[[CC]:[Pay TV vs. Free-to-Air]],3,FALSE)</f>
        <v>Pay TV</v>
      </c>
      <c r="O307" s="1">
        <f>VLOOKUP(CONCATENATE(Broadcast_BASE[[#This Row],[Broadcast Market]],Broadcast_BASE[[#This Row],[Broadcaster]]),Table1[[CC]:[Pay TV vs. Free-to-Air]],2,FALSE)</f>
        <v>6225000</v>
      </c>
      <c r="P307" s="234">
        <f>Broadcast_BASE[[#This Row],[Rolex EXP]]*86400</f>
        <v>15326.467734709524</v>
      </c>
      <c r="Q307" s="235" t="str">
        <f>IF(Broadcast_BASE[[#This Row],[Dashboard Rated?]]="No","N","Y")</f>
        <v>N</v>
      </c>
      <c r="R307" s="236"/>
      <c r="S307" s="236"/>
    </row>
    <row r="308" spans="1:19" x14ac:dyDescent="0.25">
      <c r="A308" s="72" t="e">
        <f>#REF!</f>
        <v>#REF!</v>
      </c>
      <c r="B308" s="178" t="s">
        <v>126</v>
      </c>
      <c r="C308" s="178" t="s">
        <v>468</v>
      </c>
      <c r="D308" s="178" t="s">
        <v>1643</v>
      </c>
      <c r="E308" s="179">
        <v>4.6875</v>
      </c>
      <c r="F308" s="180">
        <v>632060</v>
      </c>
      <c r="G308" s="179">
        <v>0.28713229820500163</v>
      </c>
      <c r="H308" s="180">
        <v>291557.05443888041</v>
      </c>
      <c r="I308" s="180">
        <v>80946.222537396825</v>
      </c>
      <c r="J308" s="180" t="s">
        <v>1867</v>
      </c>
      <c r="K308" s="233" t="str">
        <f>VLOOKUP(Broadcast_BASE[[#This Row],[Broadcast Market]],Continent_Look_Up[],2,FALSE)</f>
        <v>Asia Pacific</v>
      </c>
      <c r="L308" t="str">
        <f>IF(OR(Broadcast_BASE[[#This Row],[Broadcast Continent]]="Digital",Broadcast_BASE[[#This Row],[Programme Type]]="Digital"),"Y","N")</f>
        <v>N</v>
      </c>
      <c r="M308" s="4" t="str">
        <f>IF(ISNUMBER(SEARCH("Pan ",Broadcast_BASE[[#This Row],[Broadcast Market]]))=TRUE,"Y","N")</f>
        <v>N</v>
      </c>
      <c r="N308" t="str">
        <f>VLOOKUP(CONCATENATE(Broadcast_BASE[[#This Row],[Broadcast Market]],Broadcast_BASE[[#This Row],[Broadcaster]]),Table1[[CC]:[Pay TV vs. Free-to-Air]],3,FALSE)</f>
        <v>Pay TV</v>
      </c>
      <c r="O308" s="1">
        <f>VLOOKUP(CONCATENATE(Broadcast_BASE[[#This Row],[Broadcast Market]],Broadcast_BASE[[#This Row],[Broadcaster]]),Table1[[CC]:[Pay TV vs. Free-to-Air]],2,FALSE)</f>
        <v>6225000</v>
      </c>
      <c r="P308" s="234">
        <f>Broadcast_BASE[[#This Row],[Rolex EXP]]*86400</f>
        <v>24808.230564912141</v>
      </c>
      <c r="Q308" s="235" t="str">
        <f>IF(Broadcast_BASE[[#This Row],[Dashboard Rated?]]="No","N","Y")</f>
        <v>N</v>
      </c>
      <c r="R308" s="236"/>
      <c r="S308" s="236"/>
    </row>
    <row r="309" spans="1:19" x14ac:dyDescent="0.25">
      <c r="A309" s="72" t="e">
        <f>#REF!</f>
        <v>#REF!</v>
      </c>
      <c r="B309" s="178" t="s">
        <v>126</v>
      </c>
      <c r="C309" s="178" t="s">
        <v>225</v>
      </c>
      <c r="D309" s="178" t="s">
        <v>1642</v>
      </c>
      <c r="E309" s="179">
        <v>0.89236111111111116</v>
      </c>
      <c r="F309" s="180">
        <v>255353</v>
      </c>
      <c r="G309" s="179">
        <v>5.2467252341392982E-2</v>
      </c>
      <c r="H309" s="180">
        <v>11088.148669990625</v>
      </c>
      <c r="I309" s="180">
        <v>3151.00814867402</v>
      </c>
      <c r="J309" s="180" t="s">
        <v>1867</v>
      </c>
      <c r="K309" s="233" t="str">
        <f>VLOOKUP(Broadcast_BASE[[#This Row],[Broadcast Market]],Continent_Look_Up[],2,FALSE)</f>
        <v>Asia Pacific</v>
      </c>
      <c r="L309" t="str">
        <f>IF(OR(Broadcast_BASE[[#This Row],[Broadcast Continent]]="Digital",Broadcast_BASE[[#This Row],[Programme Type]]="Digital"),"Y","N")</f>
        <v>N</v>
      </c>
      <c r="M309" s="4" t="str">
        <f>IF(ISNUMBER(SEARCH("Pan ",Broadcast_BASE[[#This Row],[Broadcast Market]]))=TRUE,"Y","N")</f>
        <v>N</v>
      </c>
      <c r="N309" t="str">
        <f>VLOOKUP(CONCATENATE(Broadcast_BASE[[#This Row],[Broadcast Market]],Broadcast_BASE[[#This Row],[Broadcaster]]),Table1[[CC]:[Pay TV vs. Free-to-Air]],3,FALSE)</f>
        <v>Pay TV</v>
      </c>
      <c r="O309" s="1">
        <f>VLOOKUP(CONCATENATE(Broadcast_BASE[[#This Row],[Broadcast Market]],Broadcast_BASE[[#This Row],[Broadcaster]]),Table1[[CC]:[Pay TV vs. Free-to-Air]],2,FALSE)</f>
        <v>6225000</v>
      </c>
      <c r="P309" s="234">
        <f>Broadcast_BASE[[#This Row],[Rolex EXP]]*86400</f>
        <v>4533.1706022963535</v>
      </c>
      <c r="Q309" s="235" t="str">
        <f>IF(Broadcast_BASE[[#This Row],[Dashboard Rated?]]="No","N","Y")</f>
        <v>N</v>
      </c>
      <c r="R309" s="236"/>
      <c r="S309" s="236"/>
    </row>
    <row r="310" spans="1:19" x14ac:dyDescent="0.25">
      <c r="A310" s="72" t="e">
        <f>#REF!</f>
        <v>#REF!</v>
      </c>
      <c r="B310" s="178" t="s">
        <v>126</v>
      </c>
      <c r="C310" s="178" t="s">
        <v>225</v>
      </c>
      <c r="D310" s="178" t="s">
        <v>1643</v>
      </c>
      <c r="E310" s="179">
        <v>3.2291666666666665</v>
      </c>
      <c r="F310" s="180">
        <v>181272</v>
      </c>
      <c r="G310" s="179">
        <v>0.19780224987455672</v>
      </c>
      <c r="H310" s="180">
        <v>93604.886051669833</v>
      </c>
      <c r="I310" s="180">
        <v>25987.921820339663</v>
      </c>
      <c r="J310" s="180" t="s">
        <v>1867</v>
      </c>
      <c r="K310" s="233" t="str">
        <f>VLOOKUP(Broadcast_BASE[[#This Row],[Broadcast Market]],Continent_Look_Up[],2,FALSE)</f>
        <v>Asia Pacific</v>
      </c>
      <c r="L310" t="str">
        <f>IF(OR(Broadcast_BASE[[#This Row],[Broadcast Continent]]="Digital",Broadcast_BASE[[#This Row],[Programme Type]]="Digital"),"Y","N")</f>
        <v>N</v>
      </c>
      <c r="M310" s="4" t="str">
        <f>IF(ISNUMBER(SEARCH("Pan ",Broadcast_BASE[[#This Row],[Broadcast Market]]))=TRUE,"Y","N")</f>
        <v>N</v>
      </c>
      <c r="N310" t="str">
        <f>VLOOKUP(CONCATENATE(Broadcast_BASE[[#This Row],[Broadcast Market]],Broadcast_BASE[[#This Row],[Broadcaster]]),Table1[[CC]:[Pay TV vs. Free-to-Air]],3,FALSE)</f>
        <v>Pay TV</v>
      </c>
      <c r="O310" s="1">
        <f>VLOOKUP(CONCATENATE(Broadcast_BASE[[#This Row],[Broadcast Market]],Broadcast_BASE[[#This Row],[Broadcaster]]),Table1[[CC]:[Pay TV vs. Free-to-Air]],2,FALSE)</f>
        <v>6225000</v>
      </c>
      <c r="P310" s="234">
        <f>Broadcast_BASE[[#This Row],[Rolex EXP]]*86400</f>
        <v>17090.114389161699</v>
      </c>
      <c r="Q310" s="235" t="str">
        <f>IF(Broadcast_BASE[[#This Row],[Dashboard Rated?]]="No","N","Y")</f>
        <v>N</v>
      </c>
      <c r="R310" s="236"/>
      <c r="S310" s="236"/>
    </row>
    <row r="311" spans="1:19" x14ac:dyDescent="0.25">
      <c r="A311" s="72" t="e">
        <f>#REF!</f>
        <v>#REF!</v>
      </c>
      <c r="B311" s="178" t="s">
        <v>126</v>
      </c>
      <c r="C311" s="178" t="s">
        <v>197</v>
      </c>
      <c r="D311" s="178" t="s">
        <v>1643</v>
      </c>
      <c r="E311" s="179">
        <v>3.0416666666666665</v>
      </c>
      <c r="F311" s="180">
        <v>37806</v>
      </c>
      <c r="G311" s="179">
        <v>0.18631695794635661</v>
      </c>
      <c r="H311" s="180">
        <v>24518.190593978765</v>
      </c>
      <c r="I311" s="180">
        <v>6807.0893220337484</v>
      </c>
      <c r="J311" s="180" t="s">
        <v>1867</v>
      </c>
      <c r="K311" s="233" t="str">
        <f>VLOOKUP(Broadcast_BASE[[#This Row],[Broadcast Market]],Continent_Look_Up[],2,FALSE)</f>
        <v>Asia Pacific</v>
      </c>
      <c r="L311" t="str">
        <f>IF(OR(Broadcast_BASE[[#This Row],[Broadcast Continent]]="Digital",Broadcast_BASE[[#This Row],[Programme Type]]="Digital"),"Y","N")</f>
        <v>N</v>
      </c>
      <c r="M311" s="4" t="str">
        <f>IF(ISNUMBER(SEARCH("Pan ",Broadcast_BASE[[#This Row],[Broadcast Market]]))=TRUE,"Y","N")</f>
        <v>N</v>
      </c>
      <c r="N311" t="str">
        <f>VLOOKUP(CONCATENATE(Broadcast_BASE[[#This Row],[Broadcast Market]],Broadcast_BASE[[#This Row],[Broadcaster]]),Table1[[CC]:[Pay TV vs. Free-to-Air]],3,FALSE)</f>
        <v>Pay TV</v>
      </c>
      <c r="O311" s="1">
        <f>VLOOKUP(CONCATENATE(Broadcast_BASE[[#This Row],[Broadcast Market]],Broadcast_BASE[[#This Row],[Broadcaster]]),Table1[[CC]:[Pay TV vs. Free-to-Air]],2,FALSE)</f>
        <v>6225000</v>
      </c>
      <c r="P311" s="234">
        <f>Broadcast_BASE[[#This Row],[Rolex EXP]]*86400</f>
        <v>16097.785166565211</v>
      </c>
      <c r="Q311" s="235" t="str">
        <f>IF(Broadcast_BASE[[#This Row],[Dashboard Rated?]]="No","N","Y")</f>
        <v>N</v>
      </c>
      <c r="R311" s="236"/>
      <c r="S311" s="236"/>
    </row>
    <row r="312" spans="1:19" x14ac:dyDescent="0.25">
      <c r="A312" s="72" t="e">
        <f>#REF!</f>
        <v>#REF!</v>
      </c>
      <c r="B312" s="178" t="s">
        <v>126</v>
      </c>
      <c r="C312" s="178" t="s">
        <v>1617</v>
      </c>
      <c r="D312" s="178" t="s">
        <v>1642</v>
      </c>
      <c r="E312" s="179">
        <v>0.10416666666666667</v>
      </c>
      <c r="F312" s="180">
        <v>14465</v>
      </c>
      <c r="G312" s="179">
        <v>6.3807177378889272E-3</v>
      </c>
      <c r="H312" s="180">
        <v>385.51787489907304</v>
      </c>
      <c r="I312" s="180">
        <v>107.0329639383378</v>
      </c>
      <c r="J312" s="180" t="s">
        <v>1867</v>
      </c>
      <c r="K312" s="233" t="str">
        <f>VLOOKUP(Broadcast_BASE[[#This Row],[Broadcast Market]],Continent_Look_Up[],2,FALSE)</f>
        <v>Asia Pacific</v>
      </c>
      <c r="L312" t="str">
        <f>IF(OR(Broadcast_BASE[[#This Row],[Broadcast Continent]]="Digital",Broadcast_BASE[[#This Row],[Programme Type]]="Digital"),"Y","N")</f>
        <v>N</v>
      </c>
      <c r="M312" s="4" t="str">
        <f>IF(ISNUMBER(SEARCH("Pan ",Broadcast_BASE[[#This Row],[Broadcast Market]]))=TRUE,"Y","N")</f>
        <v>N</v>
      </c>
      <c r="N312" t="str">
        <f>VLOOKUP(CONCATENATE(Broadcast_BASE[[#This Row],[Broadcast Market]],Broadcast_BASE[[#This Row],[Broadcaster]]),Table1[[CC]:[Pay TV vs. Free-to-Air]],3,FALSE)</f>
        <v>Pay TV</v>
      </c>
      <c r="O312" s="1">
        <f>VLOOKUP(CONCATENATE(Broadcast_BASE[[#This Row],[Broadcast Market]],Broadcast_BASE[[#This Row],[Broadcaster]]),Table1[[CC]:[Pay TV vs. Free-to-Air]],2,FALSE)</f>
        <v>0</v>
      </c>
      <c r="P312" s="234">
        <f>Broadcast_BASE[[#This Row],[Rolex EXP]]*86400</f>
        <v>551.29401255360335</v>
      </c>
      <c r="Q312" s="235" t="str">
        <f>IF(Broadcast_BASE[[#This Row],[Dashboard Rated?]]="No","N","Y")</f>
        <v>N</v>
      </c>
      <c r="R312" s="236"/>
      <c r="S312" s="236"/>
    </row>
    <row r="313" spans="1:19" x14ac:dyDescent="0.25">
      <c r="A313" s="72" t="e">
        <f>#REF!</f>
        <v>#REF!</v>
      </c>
      <c r="B313" s="178" t="s">
        <v>126</v>
      </c>
      <c r="C313" s="178" t="s">
        <v>1617</v>
      </c>
      <c r="D313" s="178" t="s">
        <v>1643</v>
      </c>
      <c r="E313" s="179">
        <v>0.41666666666666669</v>
      </c>
      <c r="F313" s="180">
        <v>31880</v>
      </c>
      <c r="G313" s="179">
        <v>2.5522870951555709E-2</v>
      </c>
      <c r="H313" s="180">
        <v>3398.6339030162349</v>
      </c>
      <c r="I313" s="180">
        <v>943.57715599148617</v>
      </c>
      <c r="J313" s="180" t="s">
        <v>1867</v>
      </c>
      <c r="K313" s="233" t="str">
        <f>VLOOKUP(Broadcast_BASE[[#This Row],[Broadcast Market]],Continent_Look_Up[],2,FALSE)</f>
        <v>Asia Pacific</v>
      </c>
      <c r="L313" t="str">
        <f>IF(OR(Broadcast_BASE[[#This Row],[Broadcast Continent]]="Digital",Broadcast_BASE[[#This Row],[Programme Type]]="Digital"),"Y","N")</f>
        <v>N</v>
      </c>
      <c r="M313" s="4" t="str">
        <f>IF(ISNUMBER(SEARCH("Pan ",Broadcast_BASE[[#This Row],[Broadcast Market]]))=TRUE,"Y","N")</f>
        <v>N</v>
      </c>
      <c r="N313" t="str">
        <f>VLOOKUP(CONCATENATE(Broadcast_BASE[[#This Row],[Broadcast Market]],Broadcast_BASE[[#This Row],[Broadcaster]]),Table1[[CC]:[Pay TV vs. Free-to-Air]],3,FALSE)</f>
        <v>Pay TV</v>
      </c>
      <c r="O313" s="1">
        <f>VLOOKUP(CONCATENATE(Broadcast_BASE[[#This Row],[Broadcast Market]],Broadcast_BASE[[#This Row],[Broadcaster]]),Table1[[CC]:[Pay TV vs. Free-to-Air]],2,FALSE)</f>
        <v>0</v>
      </c>
      <c r="P313" s="234">
        <f>Broadcast_BASE[[#This Row],[Rolex EXP]]*86400</f>
        <v>2205.1760502144134</v>
      </c>
      <c r="Q313" s="235" t="str">
        <f>IF(Broadcast_BASE[[#This Row],[Dashboard Rated?]]="No","N","Y")</f>
        <v>N</v>
      </c>
      <c r="R313" s="236"/>
      <c r="S313" s="236"/>
    </row>
    <row r="314" spans="1:19" x14ac:dyDescent="0.25">
      <c r="A314" s="72" t="e">
        <f>#REF!</f>
        <v>#REF!</v>
      </c>
      <c r="B314" s="178" t="s">
        <v>126</v>
      </c>
      <c r="C314" s="178" t="s">
        <v>1617</v>
      </c>
      <c r="D314" s="178" t="s">
        <v>1644</v>
      </c>
      <c r="E314" s="179">
        <v>4.145833333333333</v>
      </c>
      <c r="F314" s="180">
        <v>125413</v>
      </c>
      <c r="G314" s="179">
        <v>0.25395256596797944</v>
      </c>
      <c r="H314" s="180">
        <v>14382.588517972546</v>
      </c>
      <c r="I314" s="180">
        <v>3993.0990971225847</v>
      </c>
      <c r="J314" s="180" t="s">
        <v>1867</v>
      </c>
      <c r="K314" s="233" t="str">
        <f>VLOOKUP(Broadcast_BASE[[#This Row],[Broadcast Market]],Continent_Look_Up[],2,FALSE)</f>
        <v>Asia Pacific</v>
      </c>
      <c r="L314" t="str">
        <f>IF(OR(Broadcast_BASE[[#This Row],[Broadcast Continent]]="Digital",Broadcast_BASE[[#This Row],[Programme Type]]="Digital"),"Y","N")</f>
        <v>N</v>
      </c>
      <c r="M314" s="4" t="str">
        <f>IF(ISNUMBER(SEARCH("Pan ",Broadcast_BASE[[#This Row],[Broadcast Market]]))=TRUE,"Y","N")</f>
        <v>N</v>
      </c>
      <c r="N314" t="str">
        <f>VLOOKUP(CONCATENATE(Broadcast_BASE[[#This Row],[Broadcast Market]],Broadcast_BASE[[#This Row],[Broadcaster]]),Table1[[CC]:[Pay TV vs. Free-to-Air]],3,FALSE)</f>
        <v>Pay TV</v>
      </c>
      <c r="O314" s="1">
        <f>VLOOKUP(CONCATENATE(Broadcast_BASE[[#This Row],[Broadcast Market]],Broadcast_BASE[[#This Row],[Broadcaster]]),Table1[[CC]:[Pay TV vs. Free-to-Air]],2,FALSE)</f>
        <v>0</v>
      </c>
      <c r="P314" s="234">
        <f>Broadcast_BASE[[#This Row],[Rolex EXP]]*86400</f>
        <v>21941.501699633423</v>
      </c>
      <c r="Q314" s="235" t="str">
        <f>IF(Broadcast_BASE[[#This Row],[Dashboard Rated?]]="No","N","Y")</f>
        <v>N</v>
      </c>
      <c r="R314" s="236"/>
      <c r="S314" s="236"/>
    </row>
    <row r="315" spans="1:19" x14ac:dyDescent="0.25">
      <c r="A315" s="72" t="e">
        <f>#REF!</f>
        <v>#REF!</v>
      </c>
      <c r="B315" t="s">
        <v>45</v>
      </c>
      <c r="C315" t="s">
        <v>45</v>
      </c>
      <c r="D315" t="s">
        <v>1643</v>
      </c>
      <c r="E315" s="102">
        <v>4.020833333333333</v>
      </c>
      <c r="F315" s="101">
        <v>212205.01379444238</v>
      </c>
      <c r="G315" s="102">
        <v>0.25213755771503465</v>
      </c>
      <c r="H315" s="101">
        <v>113585.27558386273</v>
      </c>
      <c r="I315" s="101">
        <v>31661.075978971821</v>
      </c>
      <c r="J315" s="101"/>
      <c r="K315" s="233" t="str">
        <f>VLOOKUP(Broadcast_BASE[[#This Row],[Broadcast Market]],Continent_Look_Up[],2,FALSE)</f>
        <v>Digital</v>
      </c>
      <c r="L315" t="str">
        <f>IF(OR(Broadcast_BASE[[#This Row],[Broadcast Continent]]="Digital",Broadcast_BASE[[#This Row],[Programme Type]]="Digital"),"Y","N")</f>
        <v>Y</v>
      </c>
      <c r="M315" s="4" t="str">
        <f>IF(ISNUMBER(SEARCH("Pan ",Broadcast_BASE[[#This Row],[Broadcast Market]]))=TRUE,"Y","N")</f>
        <v>N</v>
      </c>
      <c r="N315" t="str">
        <f>VLOOKUP(CONCATENATE(Broadcast_BASE[[#This Row],[Broadcast Market]],Broadcast_BASE[[#This Row],[Broadcaster]]),Table1[[CC]:[Pay TV vs. Free-to-Air]],3,FALSE)</f>
        <v>Digital</v>
      </c>
      <c r="O315" s="1" t="str">
        <f>VLOOKUP(CONCATENATE(Broadcast_BASE[[#This Row],[Broadcast Market]],Broadcast_BASE[[#This Row],[Broadcaster]]),Table1[[CC]:[Pay TV vs. Free-to-Air]],2,FALSE)</f>
        <v>-</v>
      </c>
      <c r="P315" s="234">
        <f>Broadcast_BASE[[#This Row],[Rolex EXP]]*86400</f>
        <v>21784.684986578995</v>
      </c>
      <c r="Q315" s="235" t="str">
        <f>IF(Broadcast_BASE[[#This Row],[Dashboard Rated?]]="No","N","Y")</f>
        <v>Y</v>
      </c>
      <c r="R315" s="236"/>
      <c r="S315" s="236"/>
    </row>
    <row r="316" spans="1:19" x14ac:dyDescent="0.25">
      <c r="A316" s="72" t="e">
        <f>#REF!</f>
        <v>#REF!</v>
      </c>
      <c r="B316" t="s">
        <v>45</v>
      </c>
      <c r="C316" t="s">
        <v>45</v>
      </c>
      <c r="D316" t="s">
        <v>1644</v>
      </c>
      <c r="E316" s="102">
        <v>0.5</v>
      </c>
      <c r="F316" s="101">
        <v>3637.360563158712</v>
      </c>
      <c r="G316" s="102">
        <v>2.8351594999103055E-2</v>
      </c>
      <c r="H316" s="101">
        <v>1026.1666643274677</v>
      </c>
      <c r="I316" s="101">
        <v>298.60061902102041</v>
      </c>
      <c r="J316" s="101"/>
      <c r="K316" s="233" t="str">
        <f>VLOOKUP(Broadcast_BASE[[#This Row],[Broadcast Market]],Continent_Look_Up[],2,FALSE)</f>
        <v>Digital</v>
      </c>
      <c r="L316" t="str">
        <f>IF(OR(Broadcast_BASE[[#This Row],[Broadcast Continent]]="Digital",Broadcast_BASE[[#This Row],[Programme Type]]="Digital"),"Y","N")</f>
        <v>Y</v>
      </c>
      <c r="M316" s="4" t="str">
        <f>IF(ISNUMBER(SEARCH("Pan ",Broadcast_BASE[[#This Row],[Broadcast Market]]))=TRUE,"Y","N")</f>
        <v>N</v>
      </c>
      <c r="N316" t="str">
        <f>VLOOKUP(CONCATENATE(Broadcast_BASE[[#This Row],[Broadcast Market]],Broadcast_BASE[[#This Row],[Broadcaster]]),Table1[[CC]:[Pay TV vs. Free-to-Air]],3,FALSE)</f>
        <v>Digital</v>
      </c>
      <c r="O316" s="1" t="str">
        <f>VLOOKUP(CONCATENATE(Broadcast_BASE[[#This Row],[Broadcast Market]],Broadcast_BASE[[#This Row],[Broadcaster]]),Table1[[CC]:[Pay TV vs. Free-to-Air]],2,FALSE)</f>
        <v>-</v>
      </c>
      <c r="P316" s="234">
        <f>Broadcast_BASE[[#This Row],[Rolex EXP]]*86400</f>
        <v>2449.5778079225038</v>
      </c>
      <c r="Q316" s="235" t="str">
        <f>IF(Broadcast_BASE[[#This Row],[Dashboard Rated?]]="No","N","Y")</f>
        <v>Y</v>
      </c>
      <c r="R316" s="236"/>
      <c r="S316" s="236"/>
    </row>
    <row r="317" spans="1:19" x14ac:dyDescent="0.25">
      <c r="A317" s="72" t="e">
        <f>#REF!</f>
        <v>#REF!</v>
      </c>
      <c r="B317" t="s">
        <v>45</v>
      </c>
      <c r="C317" t="s">
        <v>45</v>
      </c>
      <c r="D317" t="s">
        <v>1643</v>
      </c>
      <c r="E317" s="102">
        <v>0.83333333333333337</v>
      </c>
      <c r="F317" s="101">
        <v>38943.8089681622</v>
      </c>
      <c r="G317" s="102">
        <v>5.1045741903111418E-2</v>
      </c>
      <c r="H317" s="101">
        <v>19781.171056988034</v>
      </c>
      <c r="I317" s="101">
        <v>5491.9304817058755</v>
      </c>
      <c r="J317" s="101"/>
      <c r="K317" s="233" t="str">
        <f>VLOOKUP(Broadcast_BASE[[#This Row],[Broadcast Market]],Continent_Look_Up[],2,FALSE)</f>
        <v>Digital</v>
      </c>
      <c r="L317" t="str">
        <f>IF(OR(Broadcast_BASE[[#This Row],[Broadcast Continent]]="Digital",Broadcast_BASE[[#This Row],[Programme Type]]="Digital"),"Y","N")</f>
        <v>Y</v>
      </c>
      <c r="M317" s="4" t="str">
        <f>IF(ISNUMBER(SEARCH("Pan ",Broadcast_BASE[[#This Row],[Broadcast Market]]))=TRUE,"Y","N")</f>
        <v>N</v>
      </c>
      <c r="N317" t="str">
        <f>VLOOKUP(CONCATENATE(Broadcast_BASE[[#This Row],[Broadcast Market]],Broadcast_BASE[[#This Row],[Broadcaster]]),Table1[[CC]:[Pay TV vs. Free-to-Air]],3,FALSE)</f>
        <v>Digital</v>
      </c>
      <c r="O317" s="1" t="str">
        <f>VLOOKUP(CONCATENATE(Broadcast_BASE[[#This Row],[Broadcast Market]],Broadcast_BASE[[#This Row],[Broadcaster]]),Table1[[CC]:[Pay TV vs. Free-to-Air]],2,FALSE)</f>
        <v>-</v>
      </c>
      <c r="P317" s="234">
        <f>Broadcast_BASE[[#This Row],[Rolex EXP]]*86400</f>
        <v>4410.3521004288268</v>
      </c>
      <c r="Q317" s="235" t="str">
        <f>IF(Broadcast_BASE[[#This Row],[Dashboard Rated?]]="No","N","Y")</f>
        <v>Y</v>
      </c>
      <c r="R317" s="236"/>
      <c r="S317" s="236"/>
    </row>
    <row r="318" spans="1:19" x14ac:dyDescent="0.25">
      <c r="A318" s="72" t="e">
        <f>#REF!</f>
        <v>#REF!</v>
      </c>
      <c r="B318" t="s">
        <v>45</v>
      </c>
      <c r="C318" t="s">
        <v>45</v>
      </c>
      <c r="D318" t="s">
        <v>1644</v>
      </c>
      <c r="E318" s="102">
        <v>0.89583333333333337</v>
      </c>
      <c r="F318" s="101">
        <v>8348.3060622677076</v>
      </c>
      <c r="G318" s="102">
        <v>5.5063380569066733E-2</v>
      </c>
      <c r="H318" s="101">
        <v>2246.6819224011247</v>
      </c>
      <c r="I318" s="101">
        <v>642.45999077915894</v>
      </c>
      <c r="J318" s="101"/>
      <c r="K318" s="233" t="str">
        <f>VLOOKUP(Broadcast_BASE[[#This Row],[Broadcast Market]],Continent_Look_Up[],2,FALSE)</f>
        <v>Digital</v>
      </c>
      <c r="L318" t="str">
        <f>IF(OR(Broadcast_BASE[[#This Row],[Broadcast Continent]]="Digital",Broadcast_BASE[[#This Row],[Programme Type]]="Digital"),"Y","N")</f>
        <v>Y</v>
      </c>
      <c r="M318" s="4" t="str">
        <f>IF(ISNUMBER(SEARCH("Pan ",Broadcast_BASE[[#This Row],[Broadcast Market]]))=TRUE,"Y","N")</f>
        <v>N</v>
      </c>
      <c r="N318" t="str">
        <f>VLOOKUP(CONCATENATE(Broadcast_BASE[[#This Row],[Broadcast Market]],Broadcast_BASE[[#This Row],[Broadcaster]]),Table1[[CC]:[Pay TV vs. Free-to-Air]],3,FALSE)</f>
        <v>Digital</v>
      </c>
      <c r="O318" s="1" t="str">
        <f>VLOOKUP(CONCATENATE(Broadcast_BASE[[#This Row],[Broadcast Market]],Broadcast_BASE[[#This Row],[Broadcaster]]),Table1[[CC]:[Pay TV vs. Free-to-Air]],2,FALSE)</f>
        <v>-</v>
      </c>
      <c r="P318" s="234">
        <f>Broadcast_BASE[[#This Row],[Rolex EXP]]*86400</f>
        <v>4757.4760811673659</v>
      </c>
      <c r="Q318" s="235" t="str">
        <f>IF(Broadcast_BASE[[#This Row],[Dashboard Rated?]]="No","N","Y")</f>
        <v>Y</v>
      </c>
      <c r="R318" s="236"/>
      <c r="S318" s="236"/>
    </row>
    <row r="319" spans="1:19" x14ac:dyDescent="0.25">
      <c r="A319" s="72" t="e">
        <f>#REF!</f>
        <v>#REF!</v>
      </c>
      <c r="B319" t="s">
        <v>45</v>
      </c>
      <c r="C319" t="s">
        <v>45</v>
      </c>
      <c r="D319" t="s">
        <v>1642</v>
      </c>
      <c r="E319" s="102">
        <v>2.0833333333333332E-2</v>
      </c>
      <c r="F319" s="101">
        <v>689.59461626911104</v>
      </c>
      <c r="G319" s="102">
        <v>1.1050021561017675E-3</v>
      </c>
      <c r="H319" s="101">
        <v>30.32990367582067</v>
      </c>
      <c r="I319" s="101">
        <v>9.099762639256765</v>
      </c>
      <c r="J319" s="101"/>
      <c r="K319" s="233" t="str">
        <f>VLOOKUP(Broadcast_BASE[[#This Row],[Broadcast Market]],Continent_Look_Up[],2,FALSE)</f>
        <v>Digital</v>
      </c>
      <c r="L319" t="str">
        <f>IF(OR(Broadcast_BASE[[#This Row],[Broadcast Continent]]="Digital",Broadcast_BASE[[#This Row],[Programme Type]]="Digital"),"Y","N")</f>
        <v>Y</v>
      </c>
      <c r="M319" s="4" t="str">
        <f>IF(ISNUMBER(SEARCH("Pan ",Broadcast_BASE[[#This Row],[Broadcast Market]]))=TRUE,"Y","N")</f>
        <v>N</v>
      </c>
      <c r="N319" t="str">
        <f>VLOOKUP(CONCATENATE(Broadcast_BASE[[#This Row],[Broadcast Market]],Broadcast_BASE[[#This Row],[Broadcaster]]),Table1[[CC]:[Pay TV vs. Free-to-Air]],3,FALSE)</f>
        <v>Digital</v>
      </c>
      <c r="O319" s="1" t="str">
        <f>VLOOKUP(CONCATENATE(Broadcast_BASE[[#This Row],[Broadcast Market]],Broadcast_BASE[[#This Row],[Broadcaster]]),Table1[[CC]:[Pay TV vs. Free-to-Air]],2,FALSE)</f>
        <v>-</v>
      </c>
      <c r="P319" s="234">
        <f>Broadcast_BASE[[#This Row],[Rolex EXP]]*86400</f>
        <v>95.472186287192713</v>
      </c>
      <c r="Q319" s="235" t="str">
        <f>IF(Broadcast_BASE[[#This Row],[Dashboard Rated?]]="No","N","Y")</f>
        <v>Y</v>
      </c>
      <c r="R319" s="236"/>
      <c r="S319" s="236"/>
    </row>
    <row r="320" spans="1:19" x14ac:dyDescent="0.25">
      <c r="A320" s="72" t="e">
        <f>#REF!</f>
        <v>#REF!</v>
      </c>
      <c r="B320" t="s">
        <v>45</v>
      </c>
      <c r="C320" t="s">
        <v>45</v>
      </c>
      <c r="D320" t="s">
        <v>1643</v>
      </c>
      <c r="E320" s="102">
        <v>2.4895833333333335</v>
      </c>
      <c r="F320" s="101">
        <v>137654.74117784092</v>
      </c>
      <c r="G320" s="102">
        <v>0.1623918098142384</v>
      </c>
      <c r="H320" s="101">
        <v>67019.228960032633</v>
      </c>
      <c r="I320" s="101">
        <v>19032.947231832113</v>
      </c>
      <c r="J320" s="101"/>
      <c r="K320" s="233" t="str">
        <f>VLOOKUP(Broadcast_BASE[[#This Row],[Broadcast Market]],Continent_Look_Up[],2,FALSE)</f>
        <v>Digital</v>
      </c>
      <c r="L320" t="str">
        <f>IF(OR(Broadcast_BASE[[#This Row],[Broadcast Continent]]="Digital",Broadcast_BASE[[#This Row],[Programme Type]]="Digital"),"Y","N")</f>
        <v>Y</v>
      </c>
      <c r="M320" s="4" t="str">
        <f>IF(ISNUMBER(SEARCH("Pan ",Broadcast_BASE[[#This Row],[Broadcast Market]]))=TRUE,"Y","N")</f>
        <v>N</v>
      </c>
      <c r="N320" t="str">
        <f>VLOOKUP(CONCATENATE(Broadcast_BASE[[#This Row],[Broadcast Market]],Broadcast_BASE[[#This Row],[Broadcaster]]),Table1[[CC]:[Pay TV vs. Free-to-Air]],3,FALSE)</f>
        <v>Digital</v>
      </c>
      <c r="O320" s="1" t="str">
        <f>VLOOKUP(CONCATENATE(Broadcast_BASE[[#This Row],[Broadcast Market]],Broadcast_BASE[[#This Row],[Broadcaster]]),Table1[[CC]:[Pay TV vs. Free-to-Air]],2,FALSE)</f>
        <v>-</v>
      </c>
      <c r="P320" s="234">
        <f>Broadcast_BASE[[#This Row],[Rolex EXP]]*86400</f>
        <v>14030.652367950197</v>
      </c>
      <c r="Q320" s="235" t="str">
        <f>IF(Broadcast_BASE[[#This Row],[Dashboard Rated?]]="No","N","Y")</f>
        <v>Y</v>
      </c>
      <c r="R320" s="236"/>
      <c r="S320" s="236"/>
    </row>
    <row r="321" spans="1:19" x14ac:dyDescent="0.25">
      <c r="A321" s="72" t="e">
        <f>#REF!</f>
        <v>#REF!</v>
      </c>
      <c r="B321" t="s">
        <v>45</v>
      </c>
      <c r="C321" t="s">
        <v>45</v>
      </c>
      <c r="D321" t="s">
        <v>1644</v>
      </c>
      <c r="E321" s="102">
        <v>0.68055555555555547</v>
      </c>
      <c r="F321" s="101">
        <v>5456.0408447380678</v>
      </c>
      <c r="G321" s="102">
        <v>4.8966650719378835E-2</v>
      </c>
      <c r="H321" s="101">
        <v>1772.3145605593913</v>
      </c>
      <c r="I321" s="101">
        <v>507.77627505644415</v>
      </c>
      <c r="J321" s="101"/>
      <c r="K321" s="233" t="str">
        <f>VLOOKUP(Broadcast_BASE[[#This Row],[Broadcast Market]],Continent_Look_Up[],2,FALSE)</f>
        <v>Digital</v>
      </c>
      <c r="L321" t="str">
        <f>IF(OR(Broadcast_BASE[[#This Row],[Broadcast Continent]]="Digital",Broadcast_BASE[[#This Row],[Programme Type]]="Digital"),"Y","N")</f>
        <v>Y</v>
      </c>
      <c r="M321" s="4" t="str">
        <f>IF(ISNUMBER(SEARCH("Pan ",Broadcast_BASE[[#This Row],[Broadcast Market]]))=TRUE,"Y","N")</f>
        <v>N</v>
      </c>
      <c r="N321" t="str">
        <f>VLOOKUP(CONCATENATE(Broadcast_BASE[[#This Row],[Broadcast Market]],Broadcast_BASE[[#This Row],[Broadcaster]]),Table1[[CC]:[Pay TV vs. Free-to-Air]],3,FALSE)</f>
        <v>Digital</v>
      </c>
      <c r="O321" s="1" t="str">
        <f>VLOOKUP(CONCATENATE(Broadcast_BASE[[#This Row],[Broadcast Market]],Broadcast_BASE[[#This Row],[Broadcaster]]),Table1[[CC]:[Pay TV vs. Free-to-Air]],2,FALSE)</f>
        <v>-</v>
      </c>
      <c r="P321" s="234">
        <f>Broadcast_BASE[[#This Row],[Rolex EXP]]*86400</f>
        <v>4230.7186221543316</v>
      </c>
      <c r="Q321" s="235" t="str">
        <f>IF(Broadcast_BASE[[#This Row],[Dashboard Rated?]]="No","N","Y")</f>
        <v>Y</v>
      </c>
      <c r="R321" s="236"/>
      <c r="S321" s="236"/>
    </row>
    <row r="322" spans="1:19" x14ac:dyDescent="0.25">
      <c r="A322" s="72" t="e">
        <f>#REF!</f>
        <v>#REF!</v>
      </c>
      <c r="B322" t="s">
        <v>45</v>
      </c>
      <c r="C322" t="s">
        <v>45</v>
      </c>
      <c r="D322" t="s">
        <v>1643</v>
      </c>
      <c r="E322" s="102">
        <v>1.8125</v>
      </c>
      <c r="F322" s="101">
        <v>108446.88445171926</v>
      </c>
      <c r="G322" s="102">
        <v>0.116254862647638</v>
      </c>
      <c r="H322" s="101">
        <v>49556.297661618912</v>
      </c>
      <c r="I322" s="101">
        <v>13918.079236552017</v>
      </c>
      <c r="J322" s="101"/>
      <c r="K322" s="233" t="str">
        <f>VLOOKUP(Broadcast_BASE[[#This Row],[Broadcast Market]],Continent_Look_Up[],2,FALSE)</f>
        <v>Digital</v>
      </c>
      <c r="L322" t="str">
        <f>IF(OR(Broadcast_BASE[[#This Row],[Broadcast Continent]]="Digital",Broadcast_BASE[[#This Row],[Programme Type]]="Digital"),"Y","N")</f>
        <v>Y</v>
      </c>
      <c r="M322" s="4" t="str">
        <f>IF(ISNUMBER(SEARCH("Pan ",Broadcast_BASE[[#This Row],[Broadcast Market]]))=TRUE,"Y","N")</f>
        <v>N</v>
      </c>
      <c r="N322" t="str">
        <f>VLOOKUP(CONCATENATE(Broadcast_BASE[[#This Row],[Broadcast Market]],Broadcast_BASE[[#This Row],[Broadcaster]]),Table1[[CC]:[Pay TV vs. Free-to-Air]],3,FALSE)</f>
        <v>Digital</v>
      </c>
      <c r="O322" s="1" t="str">
        <f>VLOOKUP(CONCATENATE(Broadcast_BASE[[#This Row],[Broadcast Market]],Broadcast_BASE[[#This Row],[Broadcaster]]),Table1[[CC]:[Pay TV vs. Free-to-Air]],2,FALSE)</f>
        <v>-</v>
      </c>
      <c r="P322" s="234">
        <f>Broadcast_BASE[[#This Row],[Rolex EXP]]*86400</f>
        <v>10044.420132755924</v>
      </c>
      <c r="Q322" s="235" t="str">
        <f>IF(Broadcast_BASE[[#This Row],[Dashboard Rated?]]="No","N","Y")</f>
        <v>Y</v>
      </c>
      <c r="R322" s="236"/>
      <c r="S322" s="236"/>
    </row>
    <row r="323" spans="1:19" x14ac:dyDescent="0.25">
      <c r="A323" s="72" t="e">
        <f>#REF!</f>
        <v>#REF!</v>
      </c>
      <c r="B323" t="s">
        <v>45</v>
      </c>
      <c r="C323" t="s">
        <v>45</v>
      </c>
      <c r="D323" t="s">
        <v>1644</v>
      </c>
      <c r="E323" s="102">
        <v>0.35416666666666669</v>
      </c>
      <c r="F323" s="101">
        <v>3637.360563158712</v>
      </c>
      <c r="G323" s="102">
        <v>2.3085538803348991E-2</v>
      </c>
      <c r="H323" s="101">
        <v>835.56534822059984</v>
      </c>
      <c r="I323" s="101">
        <v>237.6571366056146</v>
      </c>
      <c r="J323" s="101"/>
      <c r="K323" s="233" t="str">
        <f>VLOOKUP(Broadcast_BASE[[#This Row],[Broadcast Market]],Continent_Look_Up[],2,FALSE)</f>
        <v>Digital</v>
      </c>
      <c r="L323" t="str">
        <f>IF(OR(Broadcast_BASE[[#This Row],[Broadcast Continent]]="Digital",Broadcast_BASE[[#This Row],[Programme Type]]="Digital"),"Y","N")</f>
        <v>Y</v>
      </c>
      <c r="M323" s="4" t="str">
        <f>IF(ISNUMBER(SEARCH("Pan ",Broadcast_BASE[[#This Row],[Broadcast Market]]))=TRUE,"Y","N")</f>
        <v>N</v>
      </c>
      <c r="N323" t="str">
        <f>VLOOKUP(CONCATENATE(Broadcast_BASE[[#This Row],[Broadcast Market]],Broadcast_BASE[[#This Row],[Broadcaster]]),Table1[[CC]:[Pay TV vs. Free-to-Air]],3,FALSE)</f>
        <v>Digital</v>
      </c>
      <c r="O323" s="1" t="str">
        <f>VLOOKUP(CONCATENATE(Broadcast_BASE[[#This Row],[Broadcast Market]],Broadcast_BASE[[#This Row],[Broadcaster]]),Table1[[CC]:[Pay TV vs. Free-to-Air]],2,FALSE)</f>
        <v>-</v>
      </c>
      <c r="P323" s="234">
        <f>Broadcast_BASE[[#This Row],[Rolex EXP]]*86400</f>
        <v>1994.5905526093527</v>
      </c>
      <c r="Q323" s="235" t="str">
        <f>IF(Broadcast_BASE[[#This Row],[Dashboard Rated?]]="No","N","Y")</f>
        <v>Y</v>
      </c>
      <c r="R323" s="236"/>
      <c r="S323" s="236"/>
    </row>
    <row r="324" spans="1:19" x14ac:dyDescent="0.25">
      <c r="A324" s="72" t="e">
        <f>#REF!</f>
        <v>#REF!</v>
      </c>
      <c r="B324" t="s">
        <v>45</v>
      </c>
      <c r="C324" t="s">
        <v>45</v>
      </c>
      <c r="D324" t="s">
        <v>1642</v>
      </c>
      <c r="E324" s="102">
        <v>0.10413194444444444</v>
      </c>
      <c r="F324" s="101">
        <v>3948.3612269711589</v>
      </c>
      <c r="G324" s="102">
        <v>7.8966015824072696E-3</v>
      </c>
      <c r="H324" s="101">
        <v>431.14844103205581</v>
      </c>
      <c r="I324" s="101">
        <v>125.15631451566287</v>
      </c>
      <c r="J324" s="101"/>
      <c r="K324" s="233" t="str">
        <f>VLOOKUP(Broadcast_BASE[[#This Row],[Broadcast Market]],Continent_Look_Up[],2,FALSE)</f>
        <v>Digital</v>
      </c>
      <c r="L324" t="str">
        <f>IF(OR(Broadcast_BASE[[#This Row],[Broadcast Continent]]="Digital",Broadcast_BASE[[#This Row],[Programme Type]]="Digital"),"Y","N")</f>
        <v>Y</v>
      </c>
      <c r="M324" s="4" t="str">
        <f>IF(ISNUMBER(SEARCH("Pan ",Broadcast_BASE[[#This Row],[Broadcast Market]]))=TRUE,"Y","N")</f>
        <v>N</v>
      </c>
      <c r="N324" t="str">
        <f>VLOOKUP(CONCATENATE(Broadcast_BASE[[#This Row],[Broadcast Market]],Broadcast_BASE[[#This Row],[Broadcaster]]),Table1[[CC]:[Pay TV vs. Free-to-Air]],3,FALSE)</f>
        <v>Digital</v>
      </c>
      <c r="O324" s="1" t="str">
        <f>VLOOKUP(CONCATENATE(Broadcast_BASE[[#This Row],[Broadcast Market]],Broadcast_BASE[[#This Row],[Broadcaster]]),Table1[[CC]:[Pay TV vs. Free-to-Air]],2,FALSE)</f>
        <v>-</v>
      </c>
      <c r="P324" s="234">
        <f>Broadcast_BASE[[#This Row],[Rolex EXP]]*86400</f>
        <v>682.2663767199881</v>
      </c>
      <c r="Q324" s="235" t="str">
        <f>IF(Broadcast_BASE[[#This Row],[Dashboard Rated?]]="No","N","Y")</f>
        <v>Y</v>
      </c>
      <c r="R324" s="236"/>
      <c r="S324" s="236"/>
    </row>
    <row r="325" spans="1:19" x14ac:dyDescent="0.25">
      <c r="A325" s="72" t="e">
        <f>#REF!</f>
        <v>#REF!</v>
      </c>
      <c r="B325" t="s">
        <v>45</v>
      </c>
      <c r="C325" t="s">
        <v>45</v>
      </c>
      <c r="D325" t="s">
        <v>1643</v>
      </c>
      <c r="E325" s="102">
        <v>3.9679513888888889</v>
      </c>
      <c r="F325" s="101">
        <v>55329.579758175467</v>
      </c>
      <c r="G325" s="102">
        <v>0.2549813588544339</v>
      </c>
      <c r="H325" s="101">
        <v>21494.338447577778</v>
      </c>
      <c r="I325" s="101">
        <v>6011.0344657638689</v>
      </c>
      <c r="J325" s="101"/>
      <c r="K325" s="233" t="str">
        <f>VLOOKUP(Broadcast_BASE[[#This Row],[Broadcast Market]],Continent_Look_Up[],2,FALSE)</f>
        <v>Digital</v>
      </c>
      <c r="L325" t="str">
        <f>IF(OR(Broadcast_BASE[[#This Row],[Broadcast Continent]]="Digital",Broadcast_BASE[[#This Row],[Programme Type]]="Digital"),"Y","N")</f>
        <v>Y</v>
      </c>
      <c r="M325" s="4" t="str">
        <f>IF(ISNUMBER(SEARCH("Pan ",Broadcast_BASE[[#This Row],[Broadcast Market]]))=TRUE,"Y","N")</f>
        <v>N</v>
      </c>
      <c r="N325" t="str">
        <f>VLOOKUP(CONCATENATE(Broadcast_BASE[[#This Row],[Broadcast Market]],Broadcast_BASE[[#This Row],[Broadcaster]]),Table1[[CC]:[Pay TV vs. Free-to-Air]],3,FALSE)</f>
        <v>Digital</v>
      </c>
      <c r="O325" s="1" t="str">
        <f>VLOOKUP(CONCATENATE(Broadcast_BASE[[#This Row],[Broadcast Market]],Broadcast_BASE[[#This Row],[Broadcaster]]),Table1[[CC]:[Pay TV vs. Free-to-Air]],2,FALSE)</f>
        <v>-</v>
      </c>
      <c r="P325" s="234">
        <f>Broadcast_BASE[[#This Row],[Rolex EXP]]*86400</f>
        <v>22030.389405023088</v>
      </c>
      <c r="Q325" s="235" t="str">
        <f>IF(Broadcast_BASE[[#This Row],[Dashboard Rated?]]="No","N","Y")</f>
        <v>Y</v>
      </c>
      <c r="R325" s="236"/>
      <c r="S325" s="236"/>
    </row>
    <row r="326" spans="1:19" x14ac:dyDescent="0.25">
      <c r="A326" s="72" t="e">
        <f>#REF!</f>
        <v>#REF!</v>
      </c>
      <c r="B326" t="s">
        <v>45</v>
      </c>
      <c r="C326" t="s">
        <v>45</v>
      </c>
      <c r="D326" t="s">
        <v>1644</v>
      </c>
      <c r="E326" s="102">
        <v>3.788148148148148</v>
      </c>
      <c r="F326" s="101">
        <v>23827.900893000409</v>
      </c>
      <c r="G326" s="102">
        <v>0.25710537979214287</v>
      </c>
      <c r="H326" s="101">
        <v>6698.012222258988</v>
      </c>
      <c r="I326" s="101">
        <v>1878.5945552016872</v>
      </c>
      <c r="J326" s="101"/>
      <c r="K326" s="233" t="str">
        <f>VLOOKUP(Broadcast_BASE[[#This Row],[Broadcast Market]],Continent_Look_Up[],2,FALSE)</f>
        <v>Digital</v>
      </c>
      <c r="L326" t="str">
        <f>IF(OR(Broadcast_BASE[[#This Row],[Broadcast Continent]]="Digital",Broadcast_BASE[[#This Row],[Programme Type]]="Digital"),"Y","N")</f>
        <v>Y</v>
      </c>
      <c r="M326" s="4" t="str">
        <f>IF(ISNUMBER(SEARCH("Pan ",Broadcast_BASE[[#This Row],[Broadcast Market]]))=TRUE,"Y","N")</f>
        <v>N</v>
      </c>
      <c r="N326" t="str">
        <f>VLOOKUP(CONCATENATE(Broadcast_BASE[[#This Row],[Broadcast Market]],Broadcast_BASE[[#This Row],[Broadcaster]]),Table1[[CC]:[Pay TV vs. Free-to-Air]],3,FALSE)</f>
        <v>Digital</v>
      </c>
      <c r="O326" s="1" t="str">
        <f>VLOOKUP(CONCATENATE(Broadcast_BASE[[#This Row],[Broadcast Market]],Broadcast_BASE[[#This Row],[Broadcaster]]),Table1[[CC]:[Pay TV vs. Free-to-Air]],2,FALSE)</f>
        <v>-</v>
      </c>
      <c r="P326" s="234">
        <f>Broadcast_BASE[[#This Row],[Rolex EXP]]*86400</f>
        <v>22213.904814041143</v>
      </c>
      <c r="Q326" s="235" t="str">
        <f>IF(Broadcast_BASE[[#This Row],[Dashboard Rated?]]="No","N","Y")</f>
        <v>Y</v>
      </c>
      <c r="R326" s="236"/>
      <c r="S326" s="236"/>
    </row>
    <row r="327" spans="1:19" x14ac:dyDescent="0.25">
      <c r="A327" s="72" t="e">
        <f>#REF!</f>
        <v>#REF!</v>
      </c>
      <c r="B327" t="s">
        <v>45</v>
      </c>
      <c r="C327" t="s">
        <v>45</v>
      </c>
      <c r="D327" t="s">
        <v>1644</v>
      </c>
      <c r="E327" s="102">
        <v>0.33333333333333331</v>
      </c>
      <c r="F327" s="101">
        <v>1060.250565956823</v>
      </c>
      <c r="G327" s="102">
        <v>1.7659022544354131E-2</v>
      </c>
      <c r="H327" s="101">
        <v>248.40936382580867</v>
      </c>
      <c r="I327" s="101">
        <v>69.825753265873246</v>
      </c>
      <c r="J327" s="101"/>
      <c r="K327" s="233" t="str">
        <f>VLOOKUP(Broadcast_BASE[[#This Row],[Broadcast Market]],Continent_Look_Up[],2,FALSE)</f>
        <v>Digital</v>
      </c>
      <c r="L327" t="str">
        <f>IF(OR(Broadcast_BASE[[#This Row],[Broadcast Continent]]="Digital",Broadcast_BASE[[#This Row],[Programme Type]]="Digital"),"Y","N")</f>
        <v>Y</v>
      </c>
      <c r="M327" s="4" t="str">
        <f>IF(ISNUMBER(SEARCH("Pan ",Broadcast_BASE[[#This Row],[Broadcast Market]]))=TRUE,"Y","N")</f>
        <v>N</v>
      </c>
      <c r="N327" t="str">
        <f>VLOOKUP(CONCATENATE(Broadcast_BASE[[#This Row],[Broadcast Market]],Broadcast_BASE[[#This Row],[Broadcaster]]),Table1[[CC]:[Pay TV vs. Free-to-Air]],3,FALSE)</f>
        <v>Digital</v>
      </c>
      <c r="O327" s="1" t="str">
        <f>VLOOKUP(CONCATENATE(Broadcast_BASE[[#This Row],[Broadcast Market]],Broadcast_BASE[[#This Row],[Broadcaster]]),Table1[[CC]:[Pay TV vs. Free-to-Air]],2,FALSE)</f>
        <v>-</v>
      </c>
      <c r="P327" s="234">
        <f>Broadcast_BASE[[#This Row],[Rolex EXP]]*86400</f>
        <v>1525.7395478321969</v>
      </c>
      <c r="Q327" s="235" t="str">
        <f>IF(Broadcast_BASE[[#This Row],[Dashboard Rated?]]="No","N","Y")</f>
        <v>Y</v>
      </c>
      <c r="R327" s="236"/>
      <c r="S327" s="236"/>
    </row>
    <row r="328" spans="1:19" x14ac:dyDescent="0.25">
      <c r="A328" s="72" t="e">
        <f>#REF!</f>
        <v>#REF!</v>
      </c>
      <c r="B328" t="s">
        <v>45</v>
      </c>
      <c r="C328" t="s">
        <v>45</v>
      </c>
      <c r="D328" t="s">
        <v>1642</v>
      </c>
      <c r="E328" s="102">
        <v>4.4421296296296299E-2</v>
      </c>
      <c r="F328" s="101">
        <v>15472.06666848004</v>
      </c>
      <c r="G328" s="102">
        <v>2.6442935155782245E-3</v>
      </c>
      <c r="H328" s="101">
        <v>840.60985831668995</v>
      </c>
      <c r="I328" s="101">
        <v>233.27958957285719</v>
      </c>
      <c r="J328" s="101"/>
      <c r="K328" s="233" t="str">
        <f>VLOOKUP(Broadcast_BASE[[#This Row],[Broadcast Market]],Continent_Look_Up[],2,FALSE)</f>
        <v>Digital</v>
      </c>
      <c r="L328" t="str">
        <f>IF(OR(Broadcast_BASE[[#This Row],[Broadcast Continent]]="Digital",Broadcast_BASE[[#This Row],[Programme Type]]="Digital"),"Y","N")</f>
        <v>Y</v>
      </c>
      <c r="M328" s="4" t="str">
        <f>IF(ISNUMBER(SEARCH("Pan ",Broadcast_BASE[[#This Row],[Broadcast Market]]))=TRUE,"Y","N")</f>
        <v>N</v>
      </c>
      <c r="N328" t="str">
        <f>VLOOKUP(CONCATENATE(Broadcast_BASE[[#This Row],[Broadcast Market]],Broadcast_BASE[[#This Row],[Broadcaster]]),Table1[[CC]:[Pay TV vs. Free-to-Air]],3,FALSE)</f>
        <v>Digital</v>
      </c>
      <c r="O328" s="1" t="str">
        <f>VLOOKUP(CONCATENATE(Broadcast_BASE[[#This Row],[Broadcast Market]],Broadcast_BASE[[#This Row],[Broadcaster]]),Table1[[CC]:[Pay TV vs. Free-to-Air]],2,FALSE)</f>
        <v>-</v>
      </c>
      <c r="P328" s="234">
        <f>Broadcast_BASE[[#This Row],[Rolex EXP]]*86400</f>
        <v>228.4669597459586</v>
      </c>
      <c r="Q328" s="235" t="str">
        <f>IF(Broadcast_BASE[[#This Row],[Dashboard Rated?]]="No","N","Y")</f>
        <v>Y</v>
      </c>
      <c r="R328" s="236"/>
      <c r="S328" s="236"/>
    </row>
    <row r="329" spans="1:19" x14ac:dyDescent="0.25">
      <c r="A329" s="72" t="e">
        <f>#REF!</f>
        <v>#REF!</v>
      </c>
      <c r="B329" t="s">
        <v>45</v>
      </c>
      <c r="C329" t="s">
        <v>45</v>
      </c>
      <c r="D329" t="s">
        <v>1643</v>
      </c>
      <c r="E329" s="102">
        <v>1.6811574074074074</v>
      </c>
      <c r="F329" s="101">
        <v>73176.061909807569</v>
      </c>
      <c r="G329" s="102">
        <v>0.12307074059135846</v>
      </c>
      <c r="H329" s="101">
        <v>37293.385801438846</v>
      </c>
      <c r="I329" s="101">
        <v>10646.443864981084</v>
      </c>
      <c r="J329" s="101"/>
      <c r="K329" s="233" t="str">
        <f>VLOOKUP(Broadcast_BASE[[#This Row],[Broadcast Market]],Continent_Look_Up[],2,FALSE)</f>
        <v>Digital</v>
      </c>
      <c r="L329" t="str">
        <f>IF(OR(Broadcast_BASE[[#This Row],[Broadcast Continent]]="Digital",Broadcast_BASE[[#This Row],[Programme Type]]="Digital"),"Y","N")</f>
        <v>Y</v>
      </c>
      <c r="M329" s="4" t="str">
        <f>IF(ISNUMBER(SEARCH("Pan ",Broadcast_BASE[[#This Row],[Broadcast Market]]))=TRUE,"Y","N")</f>
        <v>N</v>
      </c>
      <c r="N329" t="str">
        <f>VLOOKUP(CONCATENATE(Broadcast_BASE[[#This Row],[Broadcast Market]],Broadcast_BASE[[#This Row],[Broadcaster]]),Table1[[CC]:[Pay TV vs. Free-to-Air]],3,FALSE)</f>
        <v>Digital</v>
      </c>
      <c r="O329" s="1" t="str">
        <f>VLOOKUP(CONCATENATE(Broadcast_BASE[[#This Row],[Broadcast Market]],Broadcast_BASE[[#This Row],[Broadcaster]]),Table1[[CC]:[Pay TV vs. Free-to-Air]],2,FALSE)</f>
        <v>-</v>
      </c>
      <c r="P329" s="234">
        <f>Broadcast_BASE[[#This Row],[Rolex EXP]]*86400</f>
        <v>10633.311987093371</v>
      </c>
      <c r="Q329" s="235" t="str">
        <f>IF(Broadcast_BASE[[#This Row],[Dashboard Rated?]]="No","N","Y")</f>
        <v>Y</v>
      </c>
      <c r="R329" s="236"/>
      <c r="S329" s="236"/>
    </row>
    <row r="330" spans="1:19" x14ac:dyDescent="0.25">
      <c r="A330" s="72" t="e">
        <f>#REF!</f>
        <v>#REF!</v>
      </c>
      <c r="B330" t="s">
        <v>45</v>
      </c>
      <c r="C330" t="s">
        <v>45</v>
      </c>
      <c r="D330" t="s">
        <v>1643</v>
      </c>
      <c r="E330" s="102">
        <v>6.5694444444444438</v>
      </c>
      <c r="F330" s="101">
        <v>8826</v>
      </c>
      <c r="G330" s="102">
        <v>0.42219400197905926</v>
      </c>
      <c r="H330" s="101">
        <v>8017.4407289400915</v>
      </c>
      <c r="I330" s="101">
        <v>2256.4845024669726</v>
      </c>
      <c r="J330" s="101"/>
      <c r="K330" s="233" t="str">
        <f>VLOOKUP(Broadcast_BASE[[#This Row],[Broadcast Market]],Continent_Look_Up[],2,FALSE)</f>
        <v>Digital</v>
      </c>
      <c r="L330" t="str">
        <f>IF(OR(Broadcast_BASE[[#This Row],[Broadcast Continent]]="Digital",Broadcast_BASE[[#This Row],[Programme Type]]="Digital"),"Y","N")</f>
        <v>Y</v>
      </c>
      <c r="M330" s="4" t="str">
        <f>IF(ISNUMBER(SEARCH("Pan ",Broadcast_BASE[[#This Row],[Broadcast Market]]))=TRUE,"Y","N")</f>
        <v>N</v>
      </c>
      <c r="N330" t="str">
        <f>VLOOKUP(CONCATENATE(Broadcast_BASE[[#This Row],[Broadcast Market]],Broadcast_BASE[[#This Row],[Broadcaster]]),Table1[[CC]:[Pay TV vs. Free-to-Air]],3,FALSE)</f>
        <v>Digital</v>
      </c>
      <c r="O330" s="1" t="str">
        <f>VLOOKUP(CONCATENATE(Broadcast_BASE[[#This Row],[Broadcast Market]],Broadcast_BASE[[#This Row],[Broadcaster]]),Table1[[CC]:[Pay TV vs. Free-to-Air]],2,FALSE)</f>
        <v>-</v>
      </c>
      <c r="P330" s="234">
        <f>Broadcast_BASE[[#This Row],[Rolex EXP]]*86400</f>
        <v>36477.561770990724</v>
      </c>
      <c r="Q330" s="235" t="str">
        <f>IF(Broadcast_BASE[[#This Row],[Dashboard Rated?]]="No","N","Y")</f>
        <v>Y</v>
      </c>
      <c r="R330" s="236"/>
      <c r="S330" s="236"/>
    </row>
    <row r="331" spans="1:19" x14ac:dyDescent="0.25">
      <c r="A331" s="72" t="e">
        <f>#REF!</f>
        <v>#REF!</v>
      </c>
      <c r="B331" t="s">
        <v>45</v>
      </c>
      <c r="C331" t="s">
        <v>45</v>
      </c>
      <c r="D331" t="s">
        <v>1642</v>
      </c>
      <c r="E331" s="102">
        <v>0.98788194444444433</v>
      </c>
      <c r="F331" s="101">
        <v>41031.194814187715</v>
      </c>
      <c r="G331" s="102">
        <v>7.2513948579480847E-2</v>
      </c>
      <c r="H331" s="101">
        <v>2300.8202321977064</v>
      </c>
      <c r="I331" s="101">
        <v>662.03314706924323</v>
      </c>
      <c r="J331" s="101"/>
      <c r="K331" s="233" t="str">
        <f>VLOOKUP(Broadcast_BASE[[#This Row],[Broadcast Market]],Continent_Look_Up[],2,FALSE)</f>
        <v>Digital</v>
      </c>
      <c r="L331" t="str">
        <f>IF(OR(Broadcast_BASE[[#This Row],[Broadcast Continent]]="Digital",Broadcast_BASE[[#This Row],[Programme Type]]="Digital"),"Y","N")</f>
        <v>Y</v>
      </c>
      <c r="M331" s="4" t="str">
        <f>IF(ISNUMBER(SEARCH("Pan ",Broadcast_BASE[[#This Row],[Broadcast Market]]))=TRUE,"Y","N")</f>
        <v>N</v>
      </c>
      <c r="N331" t="str">
        <f>VLOOKUP(CONCATENATE(Broadcast_BASE[[#This Row],[Broadcast Market]],Broadcast_BASE[[#This Row],[Broadcaster]]),Table1[[CC]:[Pay TV vs. Free-to-Air]],3,FALSE)</f>
        <v>Digital</v>
      </c>
      <c r="O331" s="1" t="str">
        <f>VLOOKUP(CONCATENATE(Broadcast_BASE[[#This Row],[Broadcast Market]],Broadcast_BASE[[#This Row],[Broadcaster]]),Table1[[CC]:[Pay TV vs. Free-to-Air]],2,FALSE)</f>
        <v>-</v>
      </c>
      <c r="P331" s="234">
        <f>Broadcast_BASE[[#This Row],[Rolex EXP]]*86400</f>
        <v>6265.2051572671453</v>
      </c>
      <c r="Q331" s="235" t="str">
        <f>IF(Broadcast_BASE[[#This Row],[Dashboard Rated?]]="No","N","Y")</f>
        <v>Y</v>
      </c>
      <c r="R331" s="236"/>
      <c r="S331" s="236"/>
    </row>
    <row r="332" spans="1:19" x14ac:dyDescent="0.25">
      <c r="A332" s="72" t="e">
        <f>#REF!</f>
        <v>#REF!</v>
      </c>
      <c r="B332" t="s">
        <v>45</v>
      </c>
      <c r="C332" t="s">
        <v>45</v>
      </c>
      <c r="D332" t="s">
        <v>1643</v>
      </c>
      <c r="E332" s="102">
        <v>5.3811805555555559</v>
      </c>
      <c r="F332" s="101">
        <v>155515.70876871521</v>
      </c>
      <c r="G332" s="102">
        <v>0.43241720758072172</v>
      </c>
      <c r="H332" s="101">
        <v>37673.789407754353</v>
      </c>
      <c r="I332" s="101">
        <v>10812.524406787337</v>
      </c>
      <c r="J332" s="101"/>
      <c r="K332" s="233" t="str">
        <f>VLOOKUP(Broadcast_BASE[[#This Row],[Broadcast Market]],Continent_Look_Up[],2,FALSE)</f>
        <v>Digital</v>
      </c>
      <c r="L332" t="str">
        <f>IF(OR(Broadcast_BASE[[#This Row],[Broadcast Continent]]="Digital",Broadcast_BASE[[#This Row],[Programme Type]]="Digital"),"Y","N")</f>
        <v>Y</v>
      </c>
      <c r="M332" s="4" t="str">
        <f>IF(ISNUMBER(SEARCH("Pan ",Broadcast_BASE[[#This Row],[Broadcast Market]]))=TRUE,"Y","N")</f>
        <v>N</v>
      </c>
      <c r="N332" t="str">
        <f>VLOOKUP(CONCATENATE(Broadcast_BASE[[#This Row],[Broadcast Market]],Broadcast_BASE[[#This Row],[Broadcaster]]),Table1[[CC]:[Pay TV vs. Free-to-Air]],3,FALSE)</f>
        <v>Digital</v>
      </c>
      <c r="O332" s="1" t="str">
        <f>VLOOKUP(CONCATENATE(Broadcast_BASE[[#This Row],[Broadcast Market]],Broadcast_BASE[[#This Row],[Broadcaster]]),Table1[[CC]:[Pay TV vs. Free-to-Air]],2,FALSE)</f>
        <v>-</v>
      </c>
      <c r="P332" s="234">
        <f>Broadcast_BASE[[#This Row],[Rolex EXP]]*86400</f>
        <v>37360.846734974359</v>
      </c>
      <c r="Q332" s="235" t="str">
        <f>IF(Broadcast_BASE[[#This Row],[Dashboard Rated?]]="No","N","Y")</f>
        <v>Y</v>
      </c>
      <c r="R332" s="236"/>
      <c r="S332" s="236"/>
    </row>
    <row r="333" spans="1:19" x14ac:dyDescent="0.25">
      <c r="A333" s="72" t="e">
        <f>#REF!</f>
        <v>#REF!</v>
      </c>
      <c r="B333" t="s">
        <v>45</v>
      </c>
      <c r="C333" t="s">
        <v>45</v>
      </c>
      <c r="D333" t="s">
        <v>1644</v>
      </c>
      <c r="E333" s="102">
        <v>1.4279050925925925</v>
      </c>
      <c r="F333" s="101">
        <v>17625.7329321527</v>
      </c>
      <c r="G333" s="102">
        <v>0.10831253951933363</v>
      </c>
      <c r="H333" s="101">
        <v>2987.7440723959867</v>
      </c>
      <c r="I333" s="101">
        <v>888.27142319628797</v>
      </c>
      <c r="J333" s="101"/>
      <c r="K333" s="233" t="str">
        <f>VLOOKUP(Broadcast_BASE[[#This Row],[Broadcast Market]],Continent_Look_Up[],2,FALSE)</f>
        <v>Digital</v>
      </c>
      <c r="L333" t="str">
        <f>IF(OR(Broadcast_BASE[[#This Row],[Broadcast Continent]]="Digital",Broadcast_BASE[[#This Row],[Programme Type]]="Digital"),"Y","N")</f>
        <v>Y</v>
      </c>
      <c r="M333" s="4" t="str">
        <f>IF(ISNUMBER(SEARCH("Pan ",Broadcast_BASE[[#This Row],[Broadcast Market]]))=TRUE,"Y","N")</f>
        <v>N</v>
      </c>
      <c r="N333" t="str">
        <f>VLOOKUP(CONCATENATE(Broadcast_BASE[[#This Row],[Broadcast Market]],Broadcast_BASE[[#This Row],[Broadcaster]]),Table1[[CC]:[Pay TV vs. Free-to-Air]],3,FALSE)</f>
        <v>Digital</v>
      </c>
      <c r="O333" s="1" t="str">
        <f>VLOOKUP(CONCATENATE(Broadcast_BASE[[#This Row],[Broadcast Market]],Broadcast_BASE[[#This Row],[Broadcaster]]),Table1[[CC]:[Pay TV vs. Free-to-Air]],2,FALSE)</f>
        <v>-</v>
      </c>
      <c r="P333" s="234">
        <f>Broadcast_BASE[[#This Row],[Rolex EXP]]*86400</f>
        <v>9358.2034144704248</v>
      </c>
      <c r="Q333" s="235" t="str">
        <f>IF(Broadcast_BASE[[#This Row],[Dashboard Rated?]]="No","N","Y")</f>
        <v>Y</v>
      </c>
      <c r="R333" s="236"/>
      <c r="S333" s="236"/>
    </row>
    <row r="334" spans="1:19" x14ac:dyDescent="0.25">
      <c r="A334" s="72" t="e">
        <f>#REF!</f>
        <v>#REF!</v>
      </c>
      <c r="B334" t="s">
        <v>45</v>
      </c>
      <c r="C334" t="s">
        <v>45</v>
      </c>
      <c r="D334" t="s">
        <v>1642</v>
      </c>
      <c r="E334" s="102">
        <v>0.83843749999999995</v>
      </c>
      <c r="F334" s="101">
        <v>7177.4720507497659</v>
      </c>
      <c r="G334" s="102">
        <v>6.5951216212620456E-2</v>
      </c>
      <c r="H334" s="101">
        <v>654.77376294979172</v>
      </c>
      <c r="I334" s="101">
        <v>187.63341125353048</v>
      </c>
      <c r="J334" s="101"/>
      <c r="K334" s="233" t="str">
        <f>VLOOKUP(Broadcast_BASE[[#This Row],[Broadcast Market]],Continent_Look_Up[],2,FALSE)</f>
        <v>Digital</v>
      </c>
      <c r="L334" t="str">
        <f>IF(OR(Broadcast_BASE[[#This Row],[Broadcast Continent]]="Digital",Broadcast_BASE[[#This Row],[Programme Type]]="Digital"),"Y","N")</f>
        <v>Y</v>
      </c>
      <c r="M334" s="4" t="str">
        <f>IF(ISNUMBER(SEARCH("Pan ",Broadcast_BASE[[#This Row],[Broadcast Market]]))=TRUE,"Y","N")</f>
        <v>N</v>
      </c>
      <c r="N334" t="str">
        <f>VLOOKUP(CONCATENATE(Broadcast_BASE[[#This Row],[Broadcast Market]],Broadcast_BASE[[#This Row],[Broadcaster]]),Table1[[CC]:[Pay TV vs. Free-to-Air]],3,FALSE)</f>
        <v>Digital</v>
      </c>
      <c r="O334" s="1" t="str">
        <f>VLOOKUP(CONCATENATE(Broadcast_BASE[[#This Row],[Broadcast Market]],Broadcast_BASE[[#This Row],[Broadcaster]]),Table1[[CC]:[Pay TV vs. Free-to-Air]],2,FALSE)</f>
        <v>-</v>
      </c>
      <c r="P334" s="234">
        <f>Broadcast_BASE[[#This Row],[Rolex EXP]]*86400</f>
        <v>5698.1850807704077</v>
      </c>
      <c r="Q334" s="235" t="str">
        <f>IF(Broadcast_BASE[[#This Row],[Dashboard Rated?]]="No","N","Y")</f>
        <v>Y</v>
      </c>
      <c r="R334" s="236"/>
      <c r="S334" s="236"/>
    </row>
    <row r="335" spans="1:19" x14ac:dyDescent="0.25">
      <c r="A335" s="72" t="e">
        <f>#REF!</f>
        <v>#REF!</v>
      </c>
      <c r="B335" t="s">
        <v>45</v>
      </c>
      <c r="C335" t="s">
        <v>45</v>
      </c>
      <c r="D335" t="s">
        <v>1643</v>
      </c>
      <c r="E335" s="102">
        <v>3.0458796296296295</v>
      </c>
      <c r="F335" s="101">
        <v>22938.652320774807</v>
      </c>
      <c r="G335" s="102">
        <v>0.25179070981041834</v>
      </c>
      <c r="H335" s="101">
        <v>5921.3879428860964</v>
      </c>
      <c r="I335" s="101">
        <v>1780.3787987982369</v>
      </c>
      <c r="J335" s="101"/>
      <c r="K335" s="233" t="str">
        <f>VLOOKUP(Broadcast_BASE[[#This Row],[Broadcast Market]],Continent_Look_Up[],2,FALSE)</f>
        <v>Digital</v>
      </c>
      <c r="L335" t="str">
        <f>IF(OR(Broadcast_BASE[[#This Row],[Broadcast Continent]]="Digital",Broadcast_BASE[[#This Row],[Programme Type]]="Digital"),"Y","N")</f>
        <v>Y</v>
      </c>
      <c r="M335" s="4" t="str">
        <f>IF(ISNUMBER(SEARCH("Pan ",Broadcast_BASE[[#This Row],[Broadcast Market]]))=TRUE,"Y","N")</f>
        <v>N</v>
      </c>
      <c r="N335" t="str">
        <f>VLOOKUP(CONCATENATE(Broadcast_BASE[[#This Row],[Broadcast Market]],Broadcast_BASE[[#This Row],[Broadcaster]]),Table1[[CC]:[Pay TV vs. Free-to-Air]],3,FALSE)</f>
        <v>Digital</v>
      </c>
      <c r="O335" s="1" t="str">
        <f>VLOOKUP(CONCATENATE(Broadcast_BASE[[#This Row],[Broadcast Market]],Broadcast_BASE[[#This Row],[Broadcaster]]),Table1[[CC]:[Pay TV vs. Free-to-Air]],2,FALSE)</f>
        <v>-</v>
      </c>
      <c r="P335" s="234">
        <f>Broadcast_BASE[[#This Row],[Rolex EXP]]*86400</f>
        <v>21754.717327620147</v>
      </c>
      <c r="Q335" s="235" t="str">
        <f>IF(Broadcast_BASE[[#This Row],[Dashboard Rated?]]="No","N","Y")</f>
        <v>Y</v>
      </c>
      <c r="R335" s="236"/>
      <c r="S335" s="236"/>
    </row>
    <row r="336" spans="1:19" x14ac:dyDescent="0.25">
      <c r="A336" s="72" t="e">
        <f>#REF!</f>
        <v>#REF!</v>
      </c>
      <c r="B336" t="s">
        <v>45</v>
      </c>
      <c r="C336" t="s">
        <v>45</v>
      </c>
      <c r="D336" t="s">
        <v>1644</v>
      </c>
      <c r="E336" s="102">
        <v>2.4179629629629633</v>
      </c>
      <c r="F336" s="101">
        <v>6909.4692434244826</v>
      </c>
      <c r="G336" s="102">
        <v>0.18174330250067058</v>
      </c>
      <c r="H336" s="101">
        <v>1218.7053513717276</v>
      </c>
      <c r="I336" s="101">
        <v>345.5921822565096</v>
      </c>
      <c r="J336" s="101"/>
      <c r="K336" s="233" t="str">
        <f>VLOOKUP(Broadcast_BASE[[#This Row],[Broadcast Market]],Continent_Look_Up[],2,FALSE)</f>
        <v>Digital</v>
      </c>
      <c r="L336" t="str">
        <f>IF(OR(Broadcast_BASE[[#This Row],[Broadcast Continent]]="Digital",Broadcast_BASE[[#This Row],[Programme Type]]="Digital"),"Y","N")</f>
        <v>Y</v>
      </c>
      <c r="M336" s="4" t="str">
        <f>IF(ISNUMBER(SEARCH("Pan ",Broadcast_BASE[[#This Row],[Broadcast Market]]))=TRUE,"Y","N")</f>
        <v>N</v>
      </c>
      <c r="N336" t="str">
        <f>VLOOKUP(CONCATENATE(Broadcast_BASE[[#This Row],[Broadcast Market]],Broadcast_BASE[[#This Row],[Broadcaster]]),Table1[[CC]:[Pay TV vs. Free-to-Air]],3,FALSE)</f>
        <v>Digital</v>
      </c>
      <c r="O336" s="1" t="str">
        <f>VLOOKUP(CONCATENATE(Broadcast_BASE[[#This Row],[Broadcast Market]],Broadcast_BASE[[#This Row],[Broadcaster]]),Table1[[CC]:[Pay TV vs. Free-to-Air]],2,FALSE)</f>
        <v>-</v>
      </c>
      <c r="P336" s="234">
        <f>Broadcast_BASE[[#This Row],[Rolex EXP]]*86400</f>
        <v>15702.621336057939</v>
      </c>
      <c r="Q336" s="235" t="str">
        <f>IF(Broadcast_BASE[[#This Row],[Dashboard Rated?]]="No","N","Y")</f>
        <v>Y</v>
      </c>
      <c r="R336" s="236"/>
      <c r="S336" s="236"/>
    </row>
    <row r="337" spans="1:19" x14ac:dyDescent="0.25">
      <c r="A337" s="72" t="e">
        <f>#REF!</f>
        <v>#REF!</v>
      </c>
      <c r="B337" t="s">
        <v>45</v>
      </c>
      <c r="C337" t="s">
        <v>45</v>
      </c>
      <c r="D337" t="s">
        <v>1642</v>
      </c>
      <c r="E337" s="102">
        <v>0.1514351851851852</v>
      </c>
      <c r="F337" s="101">
        <v>30572.437739286412</v>
      </c>
      <c r="G337" s="102">
        <v>1.1182679922079974E-2</v>
      </c>
      <c r="H337" s="101">
        <v>1155.4989728426613</v>
      </c>
      <c r="I337" s="101">
        <v>335.99521479723694</v>
      </c>
      <c r="J337" s="101"/>
      <c r="K337" s="233" t="str">
        <f>VLOOKUP(Broadcast_BASE[[#This Row],[Broadcast Market]],Continent_Look_Up[],2,FALSE)</f>
        <v>Digital</v>
      </c>
      <c r="L337" t="str">
        <f>IF(OR(Broadcast_BASE[[#This Row],[Broadcast Continent]]="Digital",Broadcast_BASE[[#This Row],[Programme Type]]="Digital"),"Y","N")</f>
        <v>Y</v>
      </c>
      <c r="M337" s="4" t="str">
        <f>IF(ISNUMBER(SEARCH("Pan ",Broadcast_BASE[[#This Row],[Broadcast Market]]))=TRUE,"Y","N")</f>
        <v>N</v>
      </c>
      <c r="N337" t="str">
        <f>VLOOKUP(CONCATENATE(Broadcast_BASE[[#This Row],[Broadcast Market]],Broadcast_BASE[[#This Row],[Broadcaster]]),Table1[[CC]:[Pay TV vs. Free-to-Air]],3,FALSE)</f>
        <v>Digital</v>
      </c>
      <c r="O337" s="1" t="str">
        <f>VLOOKUP(CONCATENATE(Broadcast_BASE[[#This Row],[Broadcast Market]],Broadcast_BASE[[#This Row],[Broadcaster]]),Table1[[CC]:[Pay TV vs. Free-to-Air]],2,FALSE)</f>
        <v>-</v>
      </c>
      <c r="P337" s="234">
        <f>Broadcast_BASE[[#This Row],[Rolex EXP]]*86400</f>
        <v>966.18354526770975</v>
      </c>
      <c r="Q337" s="235" t="str">
        <f>IF(Broadcast_BASE[[#This Row],[Dashboard Rated?]]="No","N","Y")</f>
        <v>Y</v>
      </c>
      <c r="R337" s="236"/>
      <c r="S337" s="236"/>
    </row>
    <row r="338" spans="1:19" x14ac:dyDescent="0.25">
      <c r="A338" s="72" t="e">
        <f>#REF!</f>
        <v>#REF!</v>
      </c>
      <c r="B338" t="s">
        <v>45</v>
      </c>
      <c r="C338" t="s">
        <v>45</v>
      </c>
      <c r="D338" t="s">
        <v>1643</v>
      </c>
      <c r="E338" s="102">
        <v>0.63780092592592585</v>
      </c>
      <c r="F338" s="101">
        <v>32164.271371402665</v>
      </c>
      <c r="G338" s="102">
        <v>4.5068817364730486E-2</v>
      </c>
      <c r="H338" s="101">
        <v>7035.3079949180219</v>
      </c>
      <c r="I338" s="101">
        <v>2038.4884418480967</v>
      </c>
      <c r="J338" s="101"/>
      <c r="K338" s="233" t="str">
        <f>VLOOKUP(Broadcast_BASE[[#This Row],[Broadcast Market]],Continent_Look_Up[],2,FALSE)</f>
        <v>Digital</v>
      </c>
      <c r="L338" t="str">
        <f>IF(OR(Broadcast_BASE[[#This Row],[Broadcast Continent]]="Digital",Broadcast_BASE[[#This Row],[Programme Type]]="Digital"),"Y","N")</f>
        <v>Y</v>
      </c>
      <c r="M338" s="4" t="str">
        <f>IF(ISNUMBER(SEARCH("Pan ",Broadcast_BASE[[#This Row],[Broadcast Market]]))=TRUE,"Y","N")</f>
        <v>N</v>
      </c>
      <c r="N338" t="str">
        <f>VLOOKUP(CONCATENATE(Broadcast_BASE[[#This Row],[Broadcast Market]],Broadcast_BASE[[#This Row],[Broadcaster]]),Table1[[CC]:[Pay TV vs. Free-to-Air]],3,FALSE)</f>
        <v>Digital</v>
      </c>
      <c r="O338" s="1" t="str">
        <f>VLOOKUP(CONCATENATE(Broadcast_BASE[[#This Row],[Broadcast Market]],Broadcast_BASE[[#This Row],[Broadcaster]]),Table1[[CC]:[Pay TV vs. Free-to-Air]],2,FALSE)</f>
        <v>-</v>
      </c>
      <c r="P338" s="234">
        <f>Broadcast_BASE[[#This Row],[Rolex EXP]]*86400</f>
        <v>3893.9458203127142</v>
      </c>
      <c r="Q338" s="235" t="str">
        <f>IF(Broadcast_BASE[[#This Row],[Dashboard Rated?]]="No","N","Y")</f>
        <v>Y</v>
      </c>
      <c r="R338" s="236"/>
      <c r="S338" s="236"/>
    </row>
    <row r="339" spans="1:19" x14ac:dyDescent="0.25">
      <c r="A339" s="72" t="e">
        <f>#REF!</f>
        <v>#REF!</v>
      </c>
      <c r="B339" t="s">
        <v>45</v>
      </c>
      <c r="C339" t="s">
        <v>45</v>
      </c>
      <c r="D339" t="s">
        <v>1642</v>
      </c>
      <c r="E339" s="102">
        <v>0.64212962962962961</v>
      </c>
      <c r="F339" s="101">
        <v>12656.711349096866</v>
      </c>
      <c r="G339" s="102">
        <v>4.8620784393871568E-2</v>
      </c>
      <c r="H339" s="101">
        <v>1161.10430475868</v>
      </c>
      <c r="I339" s="101">
        <v>331.55576858919079</v>
      </c>
      <c r="J339" s="101"/>
      <c r="K339" s="233" t="str">
        <f>VLOOKUP(Broadcast_BASE[[#This Row],[Broadcast Market]],Continent_Look_Up[],2,FALSE)</f>
        <v>Digital</v>
      </c>
      <c r="L339" t="str">
        <f>IF(OR(Broadcast_BASE[[#This Row],[Broadcast Continent]]="Digital",Broadcast_BASE[[#This Row],[Programme Type]]="Digital"),"Y","N")</f>
        <v>Y</v>
      </c>
      <c r="M339" s="4" t="str">
        <f>IF(ISNUMBER(SEARCH("Pan ",Broadcast_BASE[[#This Row],[Broadcast Market]]))=TRUE,"Y","N")</f>
        <v>N</v>
      </c>
      <c r="N339" t="str">
        <f>VLOOKUP(CONCATENATE(Broadcast_BASE[[#This Row],[Broadcast Market]],Broadcast_BASE[[#This Row],[Broadcaster]]),Table1[[CC]:[Pay TV vs. Free-to-Air]],3,FALSE)</f>
        <v>Digital</v>
      </c>
      <c r="O339" s="1" t="str">
        <f>VLOOKUP(CONCATENATE(Broadcast_BASE[[#This Row],[Broadcast Market]],Broadcast_BASE[[#This Row],[Broadcaster]]),Table1[[CC]:[Pay TV vs. Free-to-Air]],2,FALSE)</f>
        <v>-</v>
      </c>
      <c r="P339" s="234">
        <f>Broadcast_BASE[[#This Row],[Rolex EXP]]*86400</f>
        <v>4200.8357716305036</v>
      </c>
      <c r="Q339" s="235" t="str">
        <f>IF(Broadcast_BASE[[#This Row],[Dashboard Rated?]]="No","N","Y")</f>
        <v>Y</v>
      </c>
      <c r="R339" s="236"/>
      <c r="S339" s="236"/>
    </row>
    <row r="340" spans="1:19" x14ac:dyDescent="0.25">
      <c r="A340" s="72" t="e">
        <f>#REF!</f>
        <v>#REF!</v>
      </c>
      <c r="B340" t="s">
        <v>45</v>
      </c>
      <c r="C340" t="s">
        <v>45</v>
      </c>
      <c r="D340" t="s">
        <v>1643</v>
      </c>
      <c r="E340" s="102">
        <v>6.5962731481481489</v>
      </c>
      <c r="F340" s="101">
        <v>88698.044495693655</v>
      </c>
      <c r="G340" s="102">
        <v>0.52260817746664345</v>
      </c>
      <c r="H340" s="101">
        <v>39363.179247610722</v>
      </c>
      <c r="I340" s="101">
        <v>11138.472838455496</v>
      </c>
      <c r="J340" s="101"/>
      <c r="K340" s="233" t="str">
        <f>VLOOKUP(Broadcast_BASE[[#This Row],[Broadcast Market]],Continent_Look_Up[],2,FALSE)</f>
        <v>Digital</v>
      </c>
      <c r="L340" t="str">
        <f>IF(OR(Broadcast_BASE[[#This Row],[Broadcast Continent]]="Digital",Broadcast_BASE[[#This Row],[Programme Type]]="Digital"),"Y","N")</f>
        <v>Y</v>
      </c>
      <c r="M340" s="4" t="str">
        <f>IF(ISNUMBER(SEARCH("Pan ",Broadcast_BASE[[#This Row],[Broadcast Market]]))=TRUE,"Y","N")</f>
        <v>N</v>
      </c>
      <c r="N340" t="str">
        <f>VLOOKUP(CONCATENATE(Broadcast_BASE[[#This Row],[Broadcast Market]],Broadcast_BASE[[#This Row],[Broadcaster]]),Table1[[CC]:[Pay TV vs. Free-to-Air]],3,FALSE)</f>
        <v>Digital</v>
      </c>
      <c r="O340" s="1" t="str">
        <f>VLOOKUP(CONCATENATE(Broadcast_BASE[[#This Row],[Broadcast Market]],Broadcast_BASE[[#This Row],[Broadcaster]]),Table1[[CC]:[Pay TV vs. Free-to-Air]],2,FALSE)</f>
        <v>-</v>
      </c>
      <c r="P340" s="234">
        <f>Broadcast_BASE[[#This Row],[Rolex EXP]]*86400</f>
        <v>45153.346533117998</v>
      </c>
      <c r="Q340" s="235" t="str">
        <f>IF(Broadcast_BASE[[#This Row],[Dashboard Rated?]]="No","N","Y")</f>
        <v>Y</v>
      </c>
      <c r="R340" s="236"/>
      <c r="S340" s="236"/>
    </row>
    <row r="341" spans="1:19" x14ac:dyDescent="0.25">
      <c r="A341" s="72" t="e">
        <f>#REF!</f>
        <v>#REF!</v>
      </c>
      <c r="B341" t="s">
        <v>45</v>
      </c>
      <c r="C341" t="s">
        <v>45</v>
      </c>
      <c r="D341" t="s">
        <v>1644</v>
      </c>
      <c r="E341" s="102">
        <v>1.5538657407407408</v>
      </c>
      <c r="F341" s="101">
        <v>15862.465702082027</v>
      </c>
      <c r="G341" s="102">
        <v>0.1116900174135436</v>
      </c>
      <c r="H341" s="101">
        <v>4413.876557291921</v>
      </c>
      <c r="I341" s="101">
        <v>1262.2096739873161</v>
      </c>
      <c r="J341" s="101"/>
      <c r="K341" s="233" t="str">
        <f>VLOOKUP(Broadcast_BASE[[#This Row],[Broadcast Market]],Continent_Look_Up[],2,FALSE)</f>
        <v>Digital</v>
      </c>
      <c r="L341" t="str">
        <f>IF(OR(Broadcast_BASE[[#This Row],[Broadcast Continent]]="Digital",Broadcast_BASE[[#This Row],[Programme Type]]="Digital"),"Y","N")</f>
        <v>Y</v>
      </c>
      <c r="M341" s="4" t="str">
        <f>IF(ISNUMBER(SEARCH("Pan ",Broadcast_BASE[[#This Row],[Broadcast Market]]))=TRUE,"Y","N")</f>
        <v>N</v>
      </c>
      <c r="N341" t="str">
        <f>VLOOKUP(CONCATENATE(Broadcast_BASE[[#This Row],[Broadcast Market]],Broadcast_BASE[[#This Row],[Broadcaster]]),Table1[[CC]:[Pay TV vs. Free-to-Air]],3,FALSE)</f>
        <v>Digital</v>
      </c>
      <c r="O341" s="1" t="str">
        <f>VLOOKUP(CONCATENATE(Broadcast_BASE[[#This Row],[Broadcast Market]],Broadcast_BASE[[#This Row],[Broadcaster]]),Table1[[CC]:[Pay TV vs. Free-to-Air]],2,FALSE)</f>
        <v>-</v>
      </c>
      <c r="P341" s="234">
        <f>Broadcast_BASE[[#This Row],[Rolex EXP]]*86400</f>
        <v>9650.0175045301676</v>
      </c>
      <c r="Q341" s="235" t="str">
        <f>IF(Broadcast_BASE[[#This Row],[Dashboard Rated?]]="No","N","Y")</f>
        <v>Y</v>
      </c>
      <c r="R341" s="236"/>
      <c r="S341" s="236"/>
    </row>
    <row r="342" spans="1:19" x14ac:dyDescent="0.25">
      <c r="A342" s="72" t="e">
        <f>#REF!</f>
        <v>#REF!</v>
      </c>
      <c r="B342" t="s">
        <v>45</v>
      </c>
      <c r="C342" t="s">
        <v>45</v>
      </c>
      <c r="D342" t="s">
        <v>1642</v>
      </c>
      <c r="E342" s="102">
        <v>0.83843749999999995</v>
      </c>
      <c r="F342" s="101">
        <v>10826.713914213575</v>
      </c>
      <c r="G342" s="102">
        <v>6.595121621262047E-2</v>
      </c>
      <c r="H342" s="101">
        <v>1019.1232504279812</v>
      </c>
      <c r="I342" s="101">
        <v>292.80817667077082</v>
      </c>
      <c r="J342" s="101"/>
      <c r="K342" s="233" t="str">
        <f>VLOOKUP(Broadcast_BASE[[#This Row],[Broadcast Market]],Continent_Look_Up[],2,FALSE)</f>
        <v>Digital</v>
      </c>
      <c r="L342" t="str">
        <f>IF(OR(Broadcast_BASE[[#This Row],[Broadcast Continent]]="Digital",Broadcast_BASE[[#This Row],[Programme Type]]="Digital"),"Y","N")</f>
        <v>Y</v>
      </c>
      <c r="M342" s="4" t="str">
        <f>IF(ISNUMBER(SEARCH("Pan ",Broadcast_BASE[[#This Row],[Broadcast Market]]))=TRUE,"Y","N")</f>
        <v>N</v>
      </c>
      <c r="N342" t="str">
        <f>VLOOKUP(CONCATENATE(Broadcast_BASE[[#This Row],[Broadcast Market]],Broadcast_BASE[[#This Row],[Broadcaster]]),Table1[[CC]:[Pay TV vs. Free-to-Air]],3,FALSE)</f>
        <v>Digital</v>
      </c>
      <c r="O342" s="1" t="str">
        <f>VLOOKUP(CONCATENATE(Broadcast_BASE[[#This Row],[Broadcast Market]],Broadcast_BASE[[#This Row],[Broadcaster]]),Table1[[CC]:[Pay TV vs. Free-to-Air]],2,FALSE)</f>
        <v>-</v>
      </c>
      <c r="P342" s="234">
        <f>Broadcast_BASE[[#This Row],[Rolex EXP]]*86400</f>
        <v>5698.1850807704086</v>
      </c>
      <c r="Q342" s="235" t="str">
        <f>IF(Broadcast_BASE[[#This Row],[Dashboard Rated?]]="No","N","Y")</f>
        <v>Y</v>
      </c>
      <c r="R342" s="236"/>
      <c r="S342" s="236"/>
    </row>
    <row r="343" spans="1:19" x14ac:dyDescent="0.25">
      <c r="A343" s="72" t="e">
        <f>#REF!</f>
        <v>#REF!</v>
      </c>
      <c r="B343" t="s">
        <v>45</v>
      </c>
      <c r="C343" t="s">
        <v>45</v>
      </c>
      <c r="D343" t="s">
        <v>1643</v>
      </c>
      <c r="E343" s="102">
        <v>3.0458796296296295</v>
      </c>
      <c r="F343" s="101">
        <v>44910.642851976168</v>
      </c>
      <c r="G343" s="102">
        <v>0.25179070981041834</v>
      </c>
      <c r="H343" s="101">
        <v>11389.34992172813</v>
      </c>
      <c r="I343" s="101">
        <v>3432.1673801362563</v>
      </c>
      <c r="J343" s="101"/>
      <c r="K343" s="233" t="str">
        <f>VLOOKUP(Broadcast_BASE[[#This Row],[Broadcast Market]],Continent_Look_Up[],2,FALSE)</f>
        <v>Digital</v>
      </c>
      <c r="L343" t="str">
        <f>IF(OR(Broadcast_BASE[[#This Row],[Broadcast Continent]]="Digital",Broadcast_BASE[[#This Row],[Programme Type]]="Digital"),"Y","N")</f>
        <v>Y</v>
      </c>
      <c r="M343" s="4" t="str">
        <f>IF(ISNUMBER(SEARCH("Pan ",Broadcast_BASE[[#This Row],[Broadcast Market]]))=TRUE,"Y","N")</f>
        <v>N</v>
      </c>
      <c r="N343" t="str">
        <f>VLOOKUP(CONCATENATE(Broadcast_BASE[[#This Row],[Broadcast Market]],Broadcast_BASE[[#This Row],[Broadcaster]]),Table1[[CC]:[Pay TV vs. Free-to-Air]],3,FALSE)</f>
        <v>Digital</v>
      </c>
      <c r="O343" s="1" t="str">
        <f>VLOOKUP(CONCATENATE(Broadcast_BASE[[#This Row],[Broadcast Market]],Broadcast_BASE[[#This Row],[Broadcaster]]),Table1[[CC]:[Pay TV vs. Free-to-Air]],2,FALSE)</f>
        <v>-</v>
      </c>
      <c r="P343" s="234">
        <f>Broadcast_BASE[[#This Row],[Rolex EXP]]*86400</f>
        <v>21754.717327620147</v>
      </c>
      <c r="Q343" s="235" t="str">
        <f>IF(Broadcast_BASE[[#This Row],[Dashboard Rated?]]="No","N","Y")</f>
        <v>Y</v>
      </c>
      <c r="R343" s="236"/>
      <c r="S343" s="236"/>
    </row>
    <row r="344" spans="1:19" x14ac:dyDescent="0.25">
      <c r="A344" s="72" t="e">
        <f>#REF!</f>
        <v>#REF!</v>
      </c>
      <c r="B344" t="s">
        <v>45</v>
      </c>
      <c r="C344" t="s">
        <v>45</v>
      </c>
      <c r="D344" t="s">
        <v>1644</v>
      </c>
      <c r="E344" s="102">
        <v>2.4179629629629633</v>
      </c>
      <c r="F344" s="101">
        <v>25663.905892581399</v>
      </c>
      <c r="G344" s="102">
        <v>0.18174330250067058</v>
      </c>
      <c r="H344" s="101">
        <v>4528.1719144402459</v>
      </c>
      <c r="I344" s="101">
        <v>1284.1763944984014</v>
      </c>
      <c r="J344" s="101"/>
      <c r="K344" s="233" t="str">
        <f>VLOOKUP(Broadcast_BASE[[#This Row],[Broadcast Market]],Continent_Look_Up[],2,FALSE)</f>
        <v>Digital</v>
      </c>
      <c r="L344" t="str">
        <f>IF(OR(Broadcast_BASE[[#This Row],[Broadcast Continent]]="Digital",Broadcast_BASE[[#This Row],[Programme Type]]="Digital"),"Y","N")</f>
        <v>Y</v>
      </c>
      <c r="M344" s="4" t="str">
        <f>IF(ISNUMBER(SEARCH("Pan ",Broadcast_BASE[[#This Row],[Broadcast Market]]))=TRUE,"Y","N")</f>
        <v>N</v>
      </c>
      <c r="N344" t="str">
        <f>VLOOKUP(CONCATENATE(Broadcast_BASE[[#This Row],[Broadcast Market]],Broadcast_BASE[[#This Row],[Broadcaster]]),Table1[[CC]:[Pay TV vs. Free-to-Air]],3,FALSE)</f>
        <v>Digital</v>
      </c>
      <c r="O344" s="1" t="str">
        <f>VLOOKUP(CONCATENATE(Broadcast_BASE[[#This Row],[Broadcast Market]],Broadcast_BASE[[#This Row],[Broadcaster]]),Table1[[CC]:[Pay TV vs. Free-to-Air]],2,FALSE)</f>
        <v>-</v>
      </c>
      <c r="P344" s="234">
        <f>Broadcast_BASE[[#This Row],[Rolex EXP]]*86400</f>
        <v>15702.621336057939</v>
      </c>
      <c r="Q344" s="235" t="str">
        <f>IF(Broadcast_BASE[[#This Row],[Dashboard Rated?]]="No","N","Y")</f>
        <v>Y</v>
      </c>
      <c r="R344" s="236"/>
      <c r="S344" s="236"/>
    </row>
    <row r="345" spans="1:19" x14ac:dyDescent="0.25">
      <c r="A345" s="72" t="e">
        <f>#REF!</f>
        <v>#REF!</v>
      </c>
      <c r="B345" t="s">
        <v>45</v>
      </c>
      <c r="C345" t="s">
        <v>45</v>
      </c>
      <c r="D345" t="s">
        <v>1642</v>
      </c>
      <c r="E345" s="102">
        <v>0.69791666666666663</v>
      </c>
      <c r="F345" s="101">
        <v>26414.038973048198</v>
      </c>
      <c r="G345" s="102">
        <v>4.2750808843855813E-2</v>
      </c>
      <c r="H345" s="101">
        <v>2619.5932640795213</v>
      </c>
      <c r="I345" s="101">
        <v>727.28879676652855</v>
      </c>
      <c r="J345" s="101"/>
      <c r="K345" s="233" t="str">
        <f>VLOOKUP(Broadcast_BASE[[#This Row],[Broadcast Market]],Continent_Look_Up[],2,FALSE)</f>
        <v>Digital</v>
      </c>
      <c r="L345" t="str">
        <f>IF(OR(Broadcast_BASE[[#This Row],[Broadcast Continent]]="Digital",Broadcast_BASE[[#This Row],[Programme Type]]="Digital"),"Y","N")</f>
        <v>Y</v>
      </c>
      <c r="M345" s="4" t="str">
        <f>IF(ISNUMBER(SEARCH("Pan ",Broadcast_BASE[[#This Row],[Broadcast Market]]))=TRUE,"Y","N")</f>
        <v>N</v>
      </c>
      <c r="N345" t="str">
        <f>VLOOKUP(CONCATENATE(Broadcast_BASE[[#This Row],[Broadcast Market]],Broadcast_BASE[[#This Row],[Broadcaster]]),Table1[[CC]:[Pay TV vs. Free-to-Air]],3,FALSE)</f>
        <v>Digital</v>
      </c>
      <c r="O345" s="1" t="str">
        <f>VLOOKUP(CONCATENATE(Broadcast_BASE[[#This Row],[Broadcast Market]],Broadcast_BASE[[#This Row],[Broadcaster]]),Table1[[CC]:[Pay TV vs. Free-to-Air]],2,FALSE)</f>
        <v>-</v>
      </c>
      <c r="P345" s="234">
        <f>Broadcast_BASE[[#This Row],[Rolex EXP]]*86400</f>
        <v>3693.6698841091425</v>
      </c>
      <c r="Q345" s="235" t="str">
        <f>IF(Broadcast_BASE[[#This Row],[Dashboard Rated?]]="No","N","Y")</f>
        <v>Y</v>
      </c>
      <c r="R345" s="236"/>
      <c r="S345" s="236"/>
    </row>
    <row r="346" spans="1:19" x14ac:dyDescent="0.25">
      <c r="A346" s="72" t="e">
        <f>#REF!</f>
        <v>#REF!</v>
      </c>
      <c r="B346" t="s">
        <v>45</v>
      </c>
      <c r="C346" t="s">
        <v>45</v>
      </c>
      <c r="D346" t="s">
        <v>1643</v>
      </c>
      <c r="E346" s="102">
        <v>5.9375</v>
      </c>
      <c r="F346" s="101">
        <v>317674.55546697206</v>
      </c>
      <c r="G346" s="102">
        <v>0.38868885038893647</v>
      </c>
      <c r="H346" s="101">
        <v>191750.98794991124</v>
      </c>
      <c r="I346" s="101">
        <v>53912.754143986203</v>
      </c>
      <c r="J346" s="101"/>
      <c r="K346" s="233" t="str">
        <f>VLOOKUP(Broadcast_BASE[[#This Row],[Broadcast Market]],Continent_Look_Up[],2,FALSE)</f>
        <v>Digital</v>
      </c>
      <c r="L346" t="str">
        <f>IF(OR(Broadcast_BASE[[#This Row],[Broadcast Continent]]="Digital",Broadcast_BASE[[#This Row],[Programme Type]]="Digital"),"Y","N")</f>
        <v>Y</v>
      </c>
      <c r="M346" s="4" t="str">
        <f>IF(ISNUMBER(SEARCH("Pan ",Broadcast_BASE[[#This Row],[Broadcast Market]]))=TRUE,"Y","N")</f>
        <v>N</v>
      </c>
      <c r="N346" t="str">
        <f>VLOOKUP(CONCATENATE(Broadcast_BASE[[#This Row],[Broadcast Market]],Broadcast_BASE[[#This Row],[Broadcaster]]),Table1[[CC]:[Pay TV vs. Free-to-Air]],3,FALSE)</f>
        <v>Digital</v>
      </c>
      <c r="O346" s="1" t="str">
        <f>VLOOKUP(CONCATENATE(Broadcast_BASE[[#This Row],[Broadcast Market]],Broadcast_BASE[[#This Row],[Broadcaster]]),Table1[[CC]:[Pay TV vs. Free-to-Air]],2,FALSE)</f>
        <v>-</v>
      </c>
      <c r="P346" s="234">
        <f>Broadcast_BASE[[#This Row],[Rolex EXP]]*86400</f>
        <v>33582.716673604111</v>
      </c>
      <c r="Q346" s="235" t="str">
        <f>IF(Broadcast_BASE[[#This Row],[Dashboard Rated?]]="No","N","Y")</f>
        <v>Y</v>
      </c>
      <c r="R346" s="236"/>
      <c r="S346" s="236"/>
    </row>
    <row r="347" spans="1:19" x14ac:dyDescent="0.25">
      <c r="A347" s="72" t="e">
        <f>#REF!</f>
        <v>#REF!</v>
      </c>
      <c r="B347" t="s">
        <v>45</v>
      </c>
      <c r="C347" t="s">
        <v>45</v>
      </c>
      <c r="D347" t="s">
        <v>1644</v>
      </c>
      <c r="E347" s="102">
        <v>0.45833333333333331</v>
      </c>
      <c r="F347" s="101">
        <v>7522.2586578190003</v>
      </c>
      <c r="G347" s="102">
        <v>2.7600137106984141E-2</v>
      </c>
      <c r="H347" s="101">
        <v>2065.9202584513046</v>
      </c>
      <c r="I347" s="101">
        <v>588.29077705012071</v>
      </c>
      <c r="J347" s="101"/>
      <c r="K347" s="233" t="str">
        <f>VLOOKUP(Broadcast_BASE[[#This Row],[Broadcast Market]],Continent_Look_Up[],2,FALSE)</f>
        <v>Digital</v>
      </c>
      <c r="L347" t="str">
        <f>IF(OR(Broadcast_BASE[[#This Row],[Broadcast Continent]]="Digital",Broadcast_BASE[[#This Row],[Programme Type]]="Digital"),"Y","N")</f>
        <v>Y</v>
      </c>
      <c r="M347" s="4" t="str">
        <f>IF(ISNUMBER(SEARCH("Pan ",Broadcast_BASE[[#This Row],[Broadcast Market]]))=TRUE,"Y","N")</f>
        <v>N</v>
      </c>
      <c r="N347" t="str">
        <f>VLOOKUP(CONCATENATE(Broadcast_BASE[[#This Row],[Broadcast Market]],Broadcast_BASE[[#This Row],[Broadcaster]]),Table1[[CC]:[Pay TV vs. Free-to-Air]],3,FALSE)</f>
        <v>Digital</v>
      </c>
      <c r="O347" s="1" t="str">
        <f>VLOOKUP(CONCATENATE(Broadcast_BASE[[#This Row],[Broadcast Market]],Broadcast_BASE[[#This Row],[Broadcaster]]),Table1[[CC]:[Pay TV vs. Free-to-Air]],2,FALSE)</f>
        <v>-</v>
      </c>
      <c r="P347" s="234">
        <f>Broadcast_BASE[[#This Row],[Rolex EXP]]*86400</f>
        <v>2384.6518460434299</v>
      </c>
      <c r="Q347" s="235" t="str">
        <f>IF(Broadcast_BASE[[#This Row],[Dashboard Rated?]]="No","N","Y")</f>
        <v>Y</v>
      </c>
      <c r="R347" s="236"/>
      <c r="S347" s="236"/>
    </row>
    <row r="348" spans="1:19" x14ac:dyDescent="0.25">
      <c r="A348" s="72" t="e">
        <f>#REF!</f>
        <v>#REF!</v>
      </c>
      <c r="B348" t="s">
        <v>45</v>
      </c>
      <c r="C348" t="s">
        <v>45</v>
      </c>
      <c r="D348" t="s">
        <v>1642</v>
      </c>
      <c r="E348" s="102">
        <v>4.1666666666666664E-2</v>
      </c>
      <c r="F348" s="101">
        <v>2510.6551969163002</v>
      </c>
      <c r="G348" s="102">
        <v>2.5522870951555704E-3</v>
      </c>
      <c r="H348" s="101">
        <v>255.05312002695493</v>
      </c>
      <c r="I348" s="101">
        <v>70.811480285712804</v>
      </c>
      <c r="J348" s="101"/>
      <c r="K348" s="233" t="str">
        <f>VLOOKUP(Broadcast_BASE[[#This Row],[Broadcast Market]],Continent_Look_Up[],2,FALSE)</f>
        <v>Digital</v>
      </c>
      <c r="L348" t="str">
        <f>IF(OR(Broadcast_BASE[[#This Row],[Broadcast Continent]]="Digital",Broadcast_BASE[[#This Row],[Programme Type]]="Digital"),"Y","N")</f>
        <v>Y</v>
      </c>
      <c r="M348" s="4" t="str">
        <f>IF(ISNUMBER(SEARCH("Pan ",Broadcast_BASE[[#This Row],[Broadcast Market]]))=TRUE,"Y","N")</f>
        <v>N</v>
      </c>
      <c r="N348" t="str">
        <f>VLOOKUP(CONCATENATE(Broadcast_BASE[[#This Row],[Broadcast Market]],Broadcast_BASE[[#This Row],[Broadcaster]]),Table1[[CC]:[Pay TV vs. Free-to-Air]],3,FALSE)</f>
        <v>Digital</v>
      </c>
      <c r="O348" s="1" t="str">
        <f>VLOOKUP(CONCATENATE(Broadcast_BASE[[#This Row],[Broadcast Market]],Broadcast_BASE[[#This Row],[Broadcaster]]),Table1[[CC]:[Pay TV vs. Free-to-Air]],2,FALSE)</f>
        <v>-</v>
      </c>
      <c r="P348" s="234">
        <f>Broadcast_BASE[[#This Row],[Rolex EXP]]*86400</f>
        <v>220.51760502144128</v>
      </c>
      <c r="Q348" s="235" t="str">
        <f>IF(Broadcast_BASE[[#This Row],[Dashboard Rated?]]="No","N","Y")</f>
        <v>Y</v>
      </c>
      <c r="R348" s="236"/>
      <c r="S348" s="236"/>
    </row>
    <row r="349" spans="1:19" x14ac:dyDescent="0.25">
      <c r="A349" s="72" t="e">
        <f>#REF!</f>
        <v>#REF!</v>
      </c>
      <c r="B349" t="s">
        <v>45</v>
      </c>
      <c r="C349" t="s">
        <v>45</v>
      </c>
      <c r="D349" t="s">
        <v>1643</v>
      </c>
      <c r="E349" s="102">
        <v>0.20833333333333334</v>
      </c>
      <c r="F349" s="101">
        <v>11970.8743630603</v>
      </c>
      <c r="G349" s="102">
        <v>1.0760175165435905E-2</v>
      </c>
      <c r="H349" s="101">
        <v>5126.9520708205446</v>
      </c>
      <c r="I349" s="101">
        <v>1427.2931986456078</v>
      </c>
      <c r="J349" s="101"/>
      <c r="K349" s="233" t="str">
        <f>VLOOKUP(Broadcast_BASE[[#This Row],[Broadcast Market]],Continent_Look_Up[],2,FALSE)</f>
        <v>Digital</v>
      </c>
      <c r="L349" t="str">
        <f>IF(OR(Broadcast_BASE[[#This Row],[Broadcast Continent]]="Digital",Broadcast_BASE[[#This Row],[Programme Type]]="Digital"),"Y","N")</f>
        <v>Y</v>
      </c>
      <c r="M349" s="4" t="str">
        <f>IF(ISNUMBER(SEARCH("Pan ",Broadcast_BASE[[#This Row],[Broadcast Market]]))=TRUE,"Y","N")</f>
        <v>N</v>
      </c>
      <c r="N349" t="str">
        <f>VLOOKUP(CONCATENATE(Broadcast_BASE[[#This Row],[Broadcast Market]],Broadcast_BASE[[#This Row],[Broadcaster]]),Table1[[CC]:[Pay TV vs. Free-to-Air]],3,FALSE)</f>
        <v>Digital</v>
      </c>
      <c r="O349" s="1" t="str">
        <f>VLOOKUP(CONCATENATE(Broadcast_BASE[[#This Row],[Broadcast Market]],Broadcast_BASE[[#This Row],[Broadcaster]]),Table1[[CC]:[Pay TV vs. Free-to-Air]],2,FALSE)</f>
        <v>-</v>
      </c>
      <c r="P349" s="234">
        <f>Broadcast_BASE[[#This Row],[Rolex EXP]]*86400</f>
        <v>929.67913429366217</v>
      </c>
      <c r="Q349" s="235" t="str">
        <f>IF(Broadcast_BASE[[#This Row],[Dashboard Rated?]]="No","N","Y")</f>
        <v>Y</v>
      </c>
      <c r="R349" s="236"/>
      <c r="S349" s="236"/>
    </row>
    <row r="350" spans="1:19" x14ac:dyDescent="0.25">
      <c r="A350" s="72" t="e">
        <f>#REF!</f>
        <v>#REF!</v>
      </c>
      <c r="B350" t="s">
        <v>45</v>
      </c>
      <c r="C350" t="s">
        <v>45</v>
      </c>
      <c r="D350" t="s">
        <v>1644</v>
      </c>
      <c r="E350" s="102">
        <v>1.75</v>
      </c>
      <c r="F350" s="101">
        <v>26327.905302366496</v>
      </c>
      <c r="G350" s="102">
        <v>0.11484285823120209</v>
      </c>
      <c r="H350" s="101">
        <v>8596.1959695575024</v>
      </c>
      <c r="I350" s="101">
        <v>2421.955252718793</v>
      </c>
      <c r="J350" s="101"/>
      <c r="K350" s="233" t="str">
        <f>VLOOKUP(Broadcast_BASE[[#This Row],[Broadcast Market]],Continent_Look_Up[],2,FALSE)</f>
        <v>Digital</v>
      </c>
      <c r="L350" t="str">
        <f>IF(OR(Broadcast_BASE[[#This Row],[Broadcast Continent]]="Digital",Broadcast_BASE[[#This Row],[Programme Type]]="Digital"),"Y","N")</f>
        <v>Y</v>
      </c>
      <c r="M350" s="4" t="str">
        <f>IF(ISNUMBER(SEARCH("Pan ",Broadcast_BASE[[#This Row],[Broadcast Market]]))=TRUE,"Y","N")</f>
        <v>N</v>
      </c>
      <c r="N350" t="str">
        <f>VLOOKUP(CONCATENATE(Broadcast_BASE[[#This Row],[Broadcast Market]],Broadcast_BASE[[#This Row],[Broadcaster]]),Table1[[CC]:[Pay TV vs. Free-to-Air]],3,FALSE)</f>
        <v>Digital</v>
      </c>
      <c r="O350" s="1" t="str">
        <f>VLOOKUP(CONCATENATE(Broadcast_BASE[[#This Row],[Broadcast Market]],Broadcast_BASE[[#This Row],[Broadcaster]]),Table1[[CC]:[Pay TV vs. Free-to-Air]],2,FALSE)</f>
        <v>-</v>
      </c>
      <c r="P350" s="234">
        <f>Broadcast_BASE[[#This Row],[Rolex EXP]]*86400</f>
        <v>9922.4229511758604</v>
      </c>
      <c r="Q350" s="235" t="str">
        <f>IF(Broadcast_BASE[[#This Row],[Dashboard Rated?]]="No","N","Y")</f>
        <v>Y</v>
      </c>
      <c r="R350" s="236"/>
      <c r="S350" s="236"/>
    </row>
    <row r="351" spans="1:19" x14ac:dyDescent="0.25">
      <c r="A351" s="72" t="e">
        <f>#REF!</f>
        <v>#REF!</v>
      </c>
      <c r="B351" t="s">
        <v>45</v>
      </c>
      <c r="C351" t="s">
        <v>45</v>
      </c>
      <c r="D351" t="s">
        <v>1644</v>
      </c>
      <c r="E351" s="102">
        <v>0.41666666666666669</v>
      </c>
      <c r="F351" s="101">
        <v>7522.2586578190003</v>
      </c>
      <c r="G351" s="102">
        <v>2.7012127351529139E-2</v>
      </c>
      <c r="H351" s="101">
        <v>2021.9066631110813</v>
      </c>
      <c r="I351" s="101">
        <v>574.92577747829864</v>
      </c>
      <c r="J351" s="101"/>
      <c r="K351" s="233" t="str">
        <f>VLOOKUP(Broadcast_BASE[[#This Row],[Broadcast Market]],Continent_Look_Up[],2,FALSE)</f>
        <v>Digital</v>
      </c>
      <c r="L351" t="str">
        <f>IF(OR(Broadcast_BASE[[#This Row],[Broadcast Continent]]="Digital",Broadcast_BASE[[#This Row],[Programme Type]]="Digital"),"Y","N")</f>
        <v>Y</v>
      </c>
      <c r="M351" s="4" t="str">
        <f>IF(ISNUMBER(SEARCH("Pan ",Broadcast_BASE[[#This Row],[Broadcast Market]]))=TRUE,"Y","N")</f>
        <v>N</v>
      </c>
      <c r="N351" t="str">
        <f>VLOOKUP(CONCATENATE(Broadcast_BASE[[#This Row],[Broadcast Market]],Broadcast_BASE[[#This Row],[Broadcaster]]),Table1[[CC]:[Pay TV vs. Free-to-Air]],3,FALSE)</f>
        <v>Digital</v>
      </c>
      <c r="O351" s="1" t="str">
        <f>VLOOKUP(CONCATENATE(Broadcast_BASE[[#This Row],[Broadcast Market]],Broadcast_BASE[[#This Row],[Broadcaster]]),Table1[[CC]:[Pay TV vs. Free-to-Air]],2,FALSE)</f>
        <v>-</v>
      </c>
      <c r="P351" s="234">
        <f>Broadcast_BASE[[#This Row],[Rolex EXP]]*86400</f>
        <v>2333.8478031721174</v>
      </c>
      <c r="Q351" s="235" t="str">
        <f>IF(Broadcast_BASE[[#This Row],[Dashboard Rated?]]="No","N","Y")</f>
        <v>Y</v>
      </c>
      <c r="R351" s="236"/>
      <c r="S351" s="236"/>
    </row>
    <row r="352" spans="1:19" x14ac:dyDescent="0.25">
      <c r="A352" s="72" t="e">
        <f>#REF!</f>
        <v>#REF!</v>
      </c>
      <c r="B352" t="s">
        <v>45</v>
      </c>
      <c r="C352" t="s">
        <v>45</v>
      </c>
      <c r="D352" t="s">
        <v>1644</v>
      </c>
      <c r="E352" s="102">
        <v>0.20833333333333334</v>
      </c>
      <c r="F352" s="101">
        <v>9132.8722887678996</v>
      </c>
      <c r="G352" s="102">
        <v>1.1874098818848598E-2</v>
      </c>
      <c r="H352" s="101">
        <v>2158.2020029455439</v>
      </c>
      <c r="I352" s="101">
        <v>638.90268937817393</v>
      </c>
      <c r="J352" s="101"/>
      <c r="K352" s="233" t="str">
        <f>VLOOKUP(Broadcast_BASE[[#This Row],[Broadcast Market]],Continent_Look_Up[],2,FALSE)</f>
        <v>Digital</v>
      </c>
      <c r="L352" t="str">
        <f>IF(OR(Broadcast_BASE[[#This Row],[Broadcast Continent]]="Digital",Broadcast_BASE[[#This Row],[Programme Type]]="Digital"),"Y","N")</f>
        <v>Y</v>
      </c>
      <c r="M352" s="4" t="str">
        <f>IF(ISNUMBER(SEARCH("Pan ",Broadcast_BASE[[#This Row],[Broadcast Market]]))=TRUE,"Y","N")</f>
        <v>N</v>
      </c>
      <c r="N352" t="str">
        <f>VLOOKUP(CONCATENATE(Broadcast_BASE[[#This Row],[Broadcast Market]],Broadcast_BASE[[#This Row],[Broadcaster]]),Table1[[CC]:[Pay TV vs. Free-to-Air]],3,FALSE)</f>
        <v>Digital</v>
      </c>
      <c r="O352" s="1" t="str">
        <f>VLOOKUP(CONCATENATE(Broadcast_BASE[[#This Row],[Broadcast Market]],Broadcast_BASE[[#This Row],[Broadcaster]]),Table1[[CC]:[Pay TV vs. Free-to-Air]],2,FALSE)</f>
        <v>-</v>
      </c>
      <c r="P352" s="234">
        <f>Broadcast_BASE[[#This Row],[Rolex EXP]]*86400</f>
        <v>1025.9221379485189</v>
      </c>
      <c r="Q352" s="235" t="str">
        <f>IF(Broadcast_BASE[[#This Row],[Dashboard Rated?]]="No","N","Y")</f>
        <v>Y</v>
      </c>
      <c r="R352" s="236"/>
      <c r="S352" s="236"/>
    </row>
    <row r="353" spans="1:19" x14ac:dyDescent="0.25">
      <c r="A353" s="72" t="e">
        <f>#REF!</f>
        <v>#REF!</v>
      </c>
      <c r="B353" t="s">
        <v>45</v>
      </c>
      <c r="C353" t="s">
        <v>45</v>
      </c>
      <c r="D353" t="s">
        <v>1643</v>
      </c>
      <c r="E353" s="102">
        <v>6.6180555555555562</v>
      </c>
      <c r="F353" s="101">
        <v>2178812.4122502701</v>
      </c>
      <c r="G353" s="102">
        <v>0.41894795002573587</v>
      </c>
      <c r="H353" s="101">
        <v>567149.80993002397</v>
      </c>
      <c r="I353" s="101">
        <v>159928.54198307349</v>
      </c>
      <c r="J353" s="101"/>
      <c r="K353" s="233" t="str">
        <f>VLOOKUP(Broadcast_BASE[[#This Row],[Broadcast Market]],Continent_Look_Up[],2,FALSE)</f>
        <v>Digital</v>
      </c>
      <c r="L353" t="str">
        <f>IF(OR(Broadcast_BASE[[#This Row],[Broadcast Continent]]="Digital",Broadcast_BASE[[#This Row],[Programme Type]]="Digital"),"Y","N")</f>
        <v>Y</v>
      </c>
      <c r="M353" s="4" t="str">
        <f>IF(ISNUMBER(SEARCH("Pan ",Broadcast_BASE[[#This Row],[Broadcast Market]]))=TRUE,"Y","N")</f>
        <v>N</v>
      </c>
      <c r="N353" t="str">
        <f>VLOOKUP(CONCATENATE(Broadcast_BASE[[#This Row],[Broadcast Market]],Broadcast_BASE[[#This Row],[Broadcaster]]),Table1[[CC]:[Pay TV vs. Free-to-Air]],3,FALSE)</f>
        <v>Digital</v>
      </c>
      <c r="O353" s="1" t="str">
        <f>VLOOKUP(CONCATENATE(Broadcast_BASE[[#This Row],[Broadcast Market]],Broadcast_BASE[[#This Row],[Broadcaster]]),Table1[[CC]:[Pay TV vs. Free-to-Air]],2,FALSE)</f>
        <v>-</v>
      </c>
      <c r="P353" s="234">
        <f>Broadcast_BASE[[#This Row],[Rolex EXP]]*86400</f>
        <v>36197.102882223582</v>
      </c>
      <c r="Q353" s="235" t="str">
        <f>IF(Broadcast_BASE[[#This Row],[Dashboard Rated?]]="No","N","Y")</f>
        <v>Y</v>
      </c>
      <c r="R353" s="236"/>
      <c r="S353" s="236"/>
    </row>
    <row r="354" spans="1:19" x14ac:dyDescent="0.25">
      <c r="A354" s="72" t="e">
        <f>#REF!</f>
        <v>#REF!</v>
      </c>
      <c r="B354" t="s">
        <v>45</v>
      </c>
      <c r="C354" t="s">
        <v>45</v>
      </c>
      <c r="D354" t="s">
        <v>1644</v>
      </c>
      <c r="E354" s="102">
        <v>0.20833333333333334</v>
      </c>
      <c r="F354" s="101">
        <v>11828.32782905826</v>
      </c>
      <c r="G354" s="102">
        <v>1.1874098818848598E-2</v>
      </c>
      <c r="H354" s="101">
        <v>2869.5147507895076</v>
      </c>
      <c r="I354" s="101">
        <v>852.31507725917243</v>
      </c>
      <c r="J354" s="101"/>
      <c r="K354" s="233" t="str">
        <f>VLOOKUP(Broadcast_BASE[[#This Row],[Broadcast Market]],Continent_Look_Up[],2,FALSE)</f>
        <v>Digital</v>
      </c>
      <c r="L354" t="str">
        <f>IF(OR(Broadcast_BASE[[#This Row],[Broadcast Continent]]="Digital",Broadcast_BASE[[#This Row],[Programme Type]]="Digital"),"Y","N")</f>
        <v>Y</v>
      </c>
      <c r="M354" s="4" t="str">
        <f>IF(ISNUMBER(SEARCH("Pan ",Broadcast_BASE[[#This Row],[Broadcast Market]]))=TRUE,"Y","N")</f>
        <v>N</v>
      </c>
      <c r="N354" t="str">
        <f>VLOOKUP(CONCATENATE(Broadcast_BASE[[#This Row],[Broadcast Market]],Broadcast_BASE[[#This Row],[Broadcaster]]),Table1[[CC]:[Pay TV vs. Free-to-Air]],3,FALSE)</f>
        <v>Digital</v>
      </c>
      <c r="O354" s="1" t="str">
        <f>VLOOKUP(CONCATENATE(Broadcast_BASE[[#This Row],[Broadcast Market]],Broadcast_BASE[[#This Row],[Broadcaster]]),Table1[[CC]:[Pay TV vs. Free-to-Air]],2,FALSE)</f>
        <v>-</v>
      </c>
      <c r="P354" s="234">
        <f>Broadcast_BASE[[#This Row],[Rolex EXP]]*86400</f>
        <v>1025.9221379485189</v>
      </c>
      <c r="Q354" s="235" t="str">
        <f>IF(Broadcast_BASE[[#This Row],[Dashboard Rated?]]="No","N","Y")</f>
        <v>Y</v>
      </c>
      <c r="R354" s="236"/>
      <c r="S354" s="236"/>
    </row>
    <row r="355" spans="1:19" x14ac:dyDescent="0.25">
      <c r="A355" s="72" t="e">
        <f>#REF!</f>
        <v>#REF!</v>
      </c>
      <c r="B355" t="s">
        <v>45</v>
      </c>
      <c r="C355" t="s">
        <v>45</v>
      </c>
      <c r="D355" t="s">
        <v>1643</v>
      </c>
      <c r="E355" s="102">
        <v>5.2680555555555557</v>
      </c>
      <c r="F355" s="101">
        <v>779548.80445196561</v>
      </c>
      <c r="G355" s="102">
        <v>0.42302623907611431</v>
      </c>
      <c r="H355" s="101">
        <v>538058.39432975638</v>
      </c>
      <c r="I355" s="101">
        <v>159694.01567234253</v>
      </c>
      <c r="J355" s="101"/>
      <c r="K355" s="233" t="str">
        <f>VLOOKUP(Broadcast_BASE[[#This Row],[Broadcast Market]],Continent_Look_Up[],2,FALSE)</f>
        <v>Digital</v>
      </c>
      <c r="L355" t="str">
        <f>IF(OR(Broadcast_BASE[[#This Row],[Broadcast Continent]]="Digital",Broadcast_BASE[[#This Row],[Programme Type]]="Digital"),"Y","N")</f>
        <v>Y</v>
      </c>
      <c r="M355" s="4" t="str">
        <f>IF(ISNUMBER(SEARCH("Pan ",Broadcast_BASE[[#This Row],[Broadcast Market]]))=TRUE,"Y","N")</f>
        <v>N</v>
      </c>
      <c r="N355" t="str">
        <f>VLOOKUP(CONCATENATE(Broadcast_BASE[[#This Row],[Broadcast Market]],Broadcast_BASE[[#This Row],[Broadcaster]]),Table1[[CC]:[Pay TV vs. Free-to-Air]],3,FALSE)</f>
        <v>Digital</v>
      </c>
      <c r="O355" s="1" t="str">
        <f>VLOOKUP(CONCATENATE(Broadcast_BASE[[#This Row],[Broadcast Market]],Broadcast_BASE[[#This Row],[Broadcaster]]),Table1[[CC]:[Pay TV vs. Free-to-Air]],2,FALSE)</f>
        <v>-</v>
      </c>
      <c r="P355" s="234">
        <f>Broadcast_BASE[[#This Row],[Rolex EXP]]*86400</f>
        <v>36549.467056176276</v>
      </c>
      <c r="Q355" s="235" t="str">
        <f>IF(Broadcast_BASE[[#This Row],[Dashboard Rated?]]="No","N","Y")</f>
        <v>Y</v>
      </c>
      <c r="R355" s="236"/>
      <c r="S355" s="236"/>
    </row>
    <row r="356" spans="1:19" x14ac:dyDescent="0.25">
      <c r="A356" s="72" t="e">
        <f>#REF!</f>
        <v>#REF!</v>
      </c>
      <c r="B356" t="s">
        <v>45</v>
      </c>
      <c r="C356" t="s">
        <v>45</v>
      </c>
      <c r="D356" t="s">
        <v>1644</v>
      </c>
      <c r="E356" s="102">
        <v>0.25208333333333333</v>
      </c>
      <c r="F356" s="101">
        <v>6419.9059551185501</v>
      </c>
      <c r="G356" s="102">
        <v>1.5455409644379451E-2</v>
      </c>
      <c r="H356" s="101">
        <v>1973.8663265525374</v>
      </c>
      <c r="I356" s="101">
        <v>557.2385943040631</v>
      </c>
      <c r="J356" s="101"/>
      <c r="K356" s="233" t="str">
        <f>VLOOKUP(Broadcast_BASE[[#This Row],[Broadcast Market]],Continent_Look_Up[],2,FALSE)</f>
        <v>Digital</v>
      </c>
      <c r="L356" t="str">
        <f>IF(OR(Broadcast_BASE[[#This Row],[Broadcast Continent]]="Digital",Broadcast_BASE[[#This Row],[Programme Type]]="Digital"),"Y","N")</f>
        <v>Y</v>
      </c>
      <c r="M356" s="4" t="str">
        <f>IF(ISNUMBER(SEARCH("Pan ",Broadcast_BASE[[#This Row],[Broadcast Market]]))=TRUE,"Y","N")</f>
        <v>N</v>
      </c>
      <c r="N356" t="str">
        <f>VLOOKUP(CONCATENATE(Broadcast_BASE[[#This Row],[Broadcast Market]],Broadcast_BASE[[#This Row],[Broadcaster]]),Table1[[CC]:[Pay TV vs. Free-to-Air]],3,FALSE)</f>
        <v>Digital</v>
      </c>
      <c r="O356" s="1" t="str">
        <f>VLOOKUP(CONCATENATE(Broadcast_BASE[[#This Row],[Broadcast Market]],Broadcast_BASE[[#This Row],[Broadcaster]]),Table1[[CC]:[Pay TV vs. Free-to-Air]],2,FALSE)</f>
        <v>-</v>
      </c>
      <c r="P356" s="234">
        <f>Broadcast_BASE[[#This Row],[Rolex EXP]]*86400</f>
        <v>1335.3473932743846</v>
      </c>
      <c r="Q356" s="235" t="str">
        <f>IF(Broadcast_BASE[[#This Row],[Dashboard Rated?]]="No","N","Y")</f>
        <v>Y</v>
      </c>
      <c r="R356" s="236"/>
      <c r="S356" s="236"/>
    </row>
    <row r="357" spans="1:19" x14ac:dyDescent="0.25">
      <c r="A357" s="72" t="e">
        <f>#REF!</f>
        <v>#REF!</v>
      </c>
      <c r="B357" t="s">
        <v>45</v>
      </c>
      <c r="C357" t="s">
        <v>45</v>
      </c>
      <c r="D357" t="s">
        <v>1643</v>
      </c>
      <c r="E357" s="102">
        <v>0.87083333333333324</v>
      </c>
      <c r="F357" s="101">
        <v>65652.69177262485</v>
      </c>
      <c r="G357" s="102">
        <v>5.6371224702356774E-2</v>
      </c>
      <c r="H357" s="101">
        <v>41675.641985289702</v>
      </c>
      <c r="I357" s="101">
        <v>11620.859176014212</v>
      </c>
      <c r="J357" s="101"/>
      <c r="K357" s="233" t="str">
        <f>VLOOKUP(Broadcast_BASE[[#This Row],[Broadcast Market]],Continent_Look_Up[],2,FALSE)</f>
        <v>Digital</v>
      </c>
      <c r="L357" t="str">
        <f>IF(OR(Broadcast_BASE[[#This Row],[Broadcast Continent]]="Digital",Broadcast_BASE[[#This Row],[Programme Type]]="Digital"),"Y","N")</f>
        <v>Y</v>
      </c>
      <c r="M357" s="4" t="str">
        <f>IF(ISNUMBER(SEARCH("Pan ",Broadcast_BASE[[#This Row],[Broadcast Market]]))=TRUE,"Y","N")</f>
        <v>N</v>
      </c>
      <c r="N357" t="str">
        <f>VLOOKUP(CONCATENATE(Broadcast_BASE[[#This Row],[Broadcast Market]],Broadcast_BASE[[#This Row],[Broadcaster]]),Table1[[CC]:[Pay TV vs. Free-to-Air]],3,FALSE)</f>
        <v>Digital</v>
      </c>
      <c r="O357" s="1" t="str">
        <f>VLOOKUP(CONCATENATE(Broadcast_BASE[[#This Row],[Broadcast Market]],Broadcast_BASE[[#This Row],[Broadcaster]]),Table1[[CC]:[Pay TV vs. Free-to-Air]],2,FALSE)</f>
        <v>-</v>
      </c>
      <c r="P357" s="234">
        <f>Broadcast_BASE[[#This Row],[Rolex EXP]]*86400</f>
        <v>4870.473814283625</v>
      </c>
      <c r="Q357" s="235" t="str">
        <f>IF(Broadcast_BASE[[#This Row],[Dashboard Rated?]]="No","N","Y")</f>
        <v>Y</v>
      </c>
      <c r="R357" s="236"/>
      <c r="S357" s="236"/>
    </row>
    <row r="358" spans="1:19" x14ac:dyDescent="0.25">
      <c r="A358" s="72" t="e">
        <f>#REF!</f>
        <v>#REF!</v>
      </c>
      <c r="B358" t="s">
        <v>45</v>
      </c>
      <c r="C358" t="s">
        <v>45</v>
      </c>
      <c r="D358" t="s">
        <v>1644</v>
      </c>
      <c r="E358" s="102">
        <v>0.85416666666666663</v>
      </c>
      <c r="F358" s="101">
        <v>18724.725702429103</v>
      </c>
      <c r="G358" s="102">
        <v>5.2485633512214608E-2</v>
      </c>
      <c r="H358" s="101">
        <v>6502.0341158981346</v>
      </c>
      <c r="I358" s="101">
        <v>1818.0383523446508</v>
      </c>
      <c r="J358" s="101"/>
      <c r="K358" s="233" t="str">
        <f>VLOOKUP(Broadcast_BASE[[#This Row],[Broadcast Market]],Continent_Look_Up[],2,FALSE)</f>
        <v>Digital</v>
      </c>
      <c r="L358" t="str">
        <f>IF(OR(Broadcast_BASE[[#This Row],[Broadcast Continent]]="Digital",Broadcast_BASE[[#This Row],[Programme Type]]="Digital"),"Y","N")</f>
        <v>Y</v>
      </c>
      <c r="M358" s="4" t="str">
        <f>IF(ISNUMBER(SEARCH("Pan ",Broadcast_BASE[[#This Row],[Broadcast Market]]))=TRUE,"Y","N")</f>
        <v>N</v>
      </c>
      <c r="N358" t="str">
        <f>VLOOKUP(CONCATENATE(Broadcast_BASE[[#This Row],[Broadcast Market]],Broadcast_BASE[[#This Row],[Broadcaster]]),Table1[[CC]:[Pay TV vs. Free-to-Air]],3,FALSE)</f>
        <v>Digital</v>
      </c>
      <c r="O358" s="1" t="str">
        <f>VLOOKUP(CONCATENATE(Broadcast_BASE[[#This Row],[Broadcast Market]],Broadcast_BASE[[#This Row],[Broadcaster]]),Table1[[CC]:[Pay TV vs. Free-to-Air]],2,FALSE)</f>
        <v>-</v>
      </c>
      <c r="P358" s="234">
        <f>Broadcast_BASE[[#This Row],[Rolex EXP]]*86400</f>
        <v>4534.7587354553425</v>
      </c>
      <c r="Q358" s="235" t="str">
        <f>IF(Broadcast_BASE[[#This Row],[Dashboard Rated?]]="No","N","Y")</f>
        <v>Y</v>
      </c>
      <c r="R358" s="236"/>
      <c r="S358" s="236"/>
    </row>
    <row r="359" spans="1:19" x14ac:dyDescent="0.25">
      <c r="A359" s="72" t="e">
        <f>#REF!</f>
        <v>#REF!</v>
      </c>
      <c r="B359" t="s">
        <v>45</v>
      </c>
      <c r="C359" t="s">
        <v>45</v>
      </c>
      <c r="D359" t="s">
        <v>1642</v>
      </c>
      <c r="E359" s="102">
        <v>5.0694444444444438E-2</v>
      </c>
      <c r="F359" s="101">
        <v>67793.538145848201</v>
      </c>
      <c r="G359" s="102">
        <v>2.8948578943053648E-3</v>
      </c>
      <c r="H359" s="101">
        <v>3778.3539796826681</v>
      </c>
      <c r="I359" s="101">
        <v>1112.0878686729711</v>
      </c>
      <c r="J359" s="101"/>
      <c r="K359" s="233" t="str">
        <f>VLOOKUP(Broadcast_BASE[[#This Row],[Broadcast Market]],Continent_Look_Up[],2,FALSE)</f>
        <v>Digital</v>
      </c>
      <c r="L359" t="str">
        <f>IF(OR(Broadcast_BASE[[#This Row],[Broadcast Continent]]="Digital",Broadcast_BASE[[#This Row],[Programme Type]]="Digital"),"Y","N")</f>
        <v>Y</v>
      </c>
      <c r="M359" s="4" t="str">
        <f>IF(ISNUMBER(SEARCH("Pan ",Broadcast_BASE[[#This Row],[Broadcast Market]]))=TRUE,"Y","N")</f>
        <v>N</v>
      </c>
      <c r="N359" t="str">
        <f>VLOOKUP(CONCATENATE(Broadcast_BASE[[#This Row],[Broadcast Market]],Broadcast_BASE[[#This Row],[Broadcaster]]),Table1[[CC]:[Pay TV vs. Free-to-Air]],3,FALSE)</f>
        <v>Digital</v>
      </c>
      <c r="O359" s="1" t="str">
        <f>VLOOKUP(CONCATENATE(Broadcast_BASE[[#This Row],[Broadcast Market]],Broadcast_BASE[[#This Row],[Broadcaster]]),Table1[[CC]:[Pay TV vs. Free-to-Air]],2,FALSE)</f>
        <v>-</v>
      </c>
      <c r="P359" s="234">
        <f>Broadcast_BASE[[#This Row],[Rolex EXP]]*86400</f>
        <v>250.11572206798351</v>
      </c>
      <c r="Q359" s="235" t="str">
        <f>IF(Broadcast_BASE[[#This Row],[Dashboard Rated?]]="No","N","Y")</f>
        <v>Y</v>
      </c>
      <c r="R359" s="236"/>
      <c r="S359" s="236"/>
    </row>
    <row r="360" spans="1:19" x14ac:dyDescent="0.25">
      <c r="A360" s="72" t="e">
        <f>#REF!</f>
        <v>#REF!</v>
      </c>
      <c r="B360" t="s">
        <v>45</v>
      </c>
      <c r="C360" t="s">
        <v>45</v>
      </c>
      <c r="D360" t="s">
        <v>1643</v>
      </c>
      <c r="E360" s="102">
        <v>6.6916666666666664</v>
      </c>
      <c r="F360" s="101">
        <v>1459263.1497919008</v>
      </c>
      <c r="G360" s="102">
        <v>0.42260928904508616</v>
      </c>
      <c r="H360" s="101">
        <v>791906.07082180807</v>
      </c>
      <c r="I360" s="101">
        <v>223861.06655073338</v>
      </c>
      <c r="J360" s="101"/>
      <c r="K360" s="233" t="str">
        <f>VLOOKUP(Broadcast_BASE[[#This Row],[Broadcast Market]],Continent_Look_Up[],2,FALSE)</f>
        <v>Digital</v>
      </c>
      <c r="L360" t="str">
        <f>IF(OR(Broadcast_BASE[[#This Row],[Broadcast Continent]]="Digital",Broadcast_BASE[[#This Row],[Programme Type]]="Digital"),"Y","N")</f>
        <v>Y</v>
      </c>
      <c r="M360" s="4" t="str">
        <f>IF(ISNUMBER(SEARCH("Pan ",Broadcast_BASE[[#This Row],[Broadcast Market]]))=TRUE,"Y","N")</f>
        <v>N</v>
      </c>
      <c r="N360" t="str">
        <f>VLOOKUP(CONCATENATE(Broadcast_BASE[[#This Row],[Broadcast Market]],Broadcast_BASE[[#This Row],[Broadcaster]]),Table1[[CC]:[Pay TV vs. Free-to-Air]],3,FALSE)</f>
        <v>Digital</v>
      </c>
      <c r="O360" s="1" t="str">
        <f>VLOOKUP(CONCATENATE(Broadcast_BASE[[#This Row],[Broadcast Market]],Broadcast_BASE[[#This Row],[Broadcaster]]),Table1[[CC]:[Pay TV vs. Free-to-Air]],2,FALSE)</f>
        <v>-</v>
      </c>
      <c r="P360" s="234">
        <f>Broadcast_BASE[[#This Row],[Rolex EXP]]*86400</f>
        <v>36513.442573495442</v>
      </c>
      <c r="Q360" s="235" t="str">
        <f>IF(Broadcast_BASE[[#This Row],[Dashboard Rated?]]="No","N","Y")</f>
        <v>Y</v>
      </c>
      <c r="R360" s="236"/>
      <c r="S360" s="236"/>
    </row>
    <row r="361" spans="1:19" x14ac:dyDescent="0.25">
      <c r="A361" s="72" t="e">
        <f>#REF!</f>
        <v>#REF!</v>
      </c>
      <c r="B361" t="s">
        <v>45</v>
      </c>
      <c r="C361" t="s">
        <v>45</v>
      </c>
      <c r="D361" t="s">
        <v>1644</v>
      </c>
      <c r="E361" s="102">
        <v>1.3263888888888888</v>
      </c>
      <c r="F361" s="101">
        <v>80666.619881217252</v>
      </c>
      <c r="G361" s="102">
        <v>9.6647539366187127E-2</v>
      </c>
      <c r="H361" s="101">
        <v>30017.255417784632</v>
      </c>
      <c r="I361" s="101">
        <v>8506.1598693796586</v>
      </c>
      <c r="J361" s="101"/>
      <c r="K361" s="233" t="str">
        <f>VLOOKUP(Broadcast_BASE[[#This Row],[Broadcast Market]],Continent_Look_Up[],2,FALSE)</f>
        <v>Digital</v>
      </c>
      <c r="L361" t="str">
        <f>IF(OR(Broadcast_BASE[[#This Row],[Broadcast Continent]]="Digital",Broadcast_BASE[[#This Row],[Programme Type]]="Digital"),"Y","N")</f>
        <v>Y</v>
      </c>
      <c r="M361" s="4" t="str">
        <f>IF(ISNUMBER(SEARCH("Pan ",Broadcast_BASE[[#This Row],[Broadcast Market]]))=TRUE,"Y","N")</f>
        <v>N</v>
      </c>
      <c r="N361" t="str">
        <f>VLOOKUP(CONCATENATE(Broadcast_BASE[[#This Row],[Broadcast Market]],Broadcast_BASE[[#This Row],[Broadcaster]]),Table1[[CC]:[Pay TV vs. Free-to-Air]],3,FALSE)</f>
        <v>Digital</v>
      </c>
      <c r="O361" s="1" t="str">
        <f>VLOOKUP(CONCATENATE(Broadcast_BASE[[#This Row],[Broadcast Market]],Broadcast_BASE[[#This Row],[Broadcaster]]),Table1[[CC]:[Pay TV vs. Free-to-Air]],2,FALSE)</f>
        <v>-</v>
      </c>
      <c r="P361" s="234">
        <f>Broadcast_BASE[[#This Row],[Rolex EXP]]*86400</f>
        <v>8350.3474012385686</v>
      </c>
      <c r="Q361" s="235" t="str">
        <f>IF(Broadcast_BASE[[#This Row],[Dashboard Rated?]]="No","N","Y")</f>
        <v>Y</v>
      </c>
      <c r="R361" s="236"/>
      <c r="S361" s="236"/>
    </row>
    <row r="362" spans="1:19" x14ac:dyDescent="0.25">
      <c r="A362" s="72" t="e">
        <f>#REF!</f>
        <v>#REF!</v>
      </c>
      <c r="B362" t="s">
        <v>45</v>
      </c>
      <c r="C362" t="s">
        <v>45</v>
      </c>
      <c r="D362" t="s">
        <v>1643</v>
      </c>
      <c r="E362" s="102">
        <v>0.59791666666666665</v>
      </c>
      <c r="F362" s="101">
        <v>69559.430246133095</v>
      </c>
      <c r="G362" s="102">
        <v>3.6625319815482435E-2</v>
      </c>
      <c r="H362" s="101">
        <v>47534.730098580396</v>
      </c>
      <c r="I362" s="101">
        <v>13197.268878367668</v>
      </c>
      <c r="J362" s="101"/>
      <c r="K362" s="233" t="str">
        <f>VLOOKUP(Broadcast_BASE[[#This Row],[Broadcast Market]],Continent_Look_Up[],2,FALSE)</f>
        <v>Digital</v>
      </c>
      <c r="L362" t="str">
        <f>IF(OR(Broadcast_BASE[[#This Row],[Broadcast Continent]]="Digital",Broadcast_BASE[[#This Row],[Programme Type]]="Digital"),"Y","N")</f>
        <v>Y</v>
      </c>
      <c r="M362" s="4" t="str">
        <f>IF(ISNUMBER(SEARCH("Pan ",Broadcast_BASE[[#This Row],[Broadcast Market]]))=TRUE,"Y","N")</f>
        <v>N</v>
      </c>
      <c r="N362" t="str">
        <f>VLOOKUP(CONCATENATE(Broadcast_BASE[[#This Row],[Broadcast Market]],Broadcast_BASE[[#This Row],[Broadcaster]]),Table1[[CC]:[Pay TV vs. Free-to-Air]],3,FALSE)</f>
        <v>Digital</v>
      </c>
      <c r="O362" s="1" t="str">
        <f>VLOOKUP(CONCATENATE(Broadcast_BASE[[#This Row],[Broadcast Market]],Broadcast_BASE[[#This Row],[Broadcaster]]),Table1[[CC]:[Pay TV vs. Free-to-Air]],2,FALSE)</f>
        <v>-</v>
      </c>
      <c r="P362" s="234">
        <f>Broadcast_BASE[[#This Row],[Rolex EXP]]*86400</f>
        <v>3164.4276320576823</v>
      </c>
      <c r="Q362" s="235" t="str">
        <f>IF(Broadcast_BASE[[#This Row],[Dashboard Rated?]]="No","N","Y")</f>
        <v>Y</v>
      </c>
      <c r="R362" s="236"/>
      <c r="S362" s="236"/>
    </row>
    <row r="363" spans="1:19" x14ac:dyDescent="0.25">
      <c r="A363" s="72" t="e">
        <f>#REF!</f>
        <v>#REF!</v>
      </c>
      <c r="B363" t="s">
        <v>45</v>
      </c>
      <c r="C363" t="s">
        <v>45</v>
      </c>
      <c r="D363" t="s">
        <v>1644</v>
      </c>
      <c r="E363" s="102">
        <v>0.9868055555555556</v>
      </c>
      <c r="F363" s="101">
        <v>15347.754859006192</v>
      </c>
      <c r="G363" s="102">
        <v>5.9417217677451846E-2</v>
      </c>
      <c r="H363" s="101">
        <v>4434.0413807472751</v>
      </c>
      <c r="I363" s="101">
        <v>1280.1493916758423</v>
      </c>
      <c r="J363" s="101"/>
      <c r="K363" s="233" t="str">
        <f>VLOOKUP(Broadcast_BASE[[#This Row],[Broadcast Market]],Continent_Look_Up[],2,FALSE)</f>
        <v>Digital</v>
      </c>
      <c r="L363" t="str">
        <f>IF(OR(Broadcast_BASE[[#This Row],[Broadcast Continent]]="Digital",Broadcast_BASE[[#This Row],[Programme Type]]="Digital"),"Y","N")</f>
        <v>Y</v>
      </c>
      <c r="M363" s="4" t="str">
        <f>IF(ISNUMBER(SEARCH("Pan ",Broadcast_BASE[[#This Row],[Broadcast Market]]))=TRUE,"Y","N")</f>
        <v>N</v>
      </c>
      <c r="N363" t="str">
        <f>VLOOKUP(CONCATENATE(Broadcast_BASE[[#This Row],[Broadcast Market]],Broadcast_BASE[[#This Row],[Broadcaster]]),Table1[[CC]:[Pay TV vs. Free-to-Air]],3,FALSE)</f>
        <v>Digital</v>
      </c>
      <c r="O363" s="1" t="str">
        <f>VLOOKUP(CONCATENATE(Broadcast_BASE[[#This Row],[Broadcast Market]],Broadcast_BASE[[#This Row],[Broadcaster]]),Table1[[CC]:[Pay TV vs. Free-to-Air]],2,FALSE)</f>
        <v>-</v>
      </c>
      <c r="P363" s="234">
        <f>Broadcast_BASE[[#This Row],[Rolex EXP]]*86400</f>
        <v>5133.6476073318399</v>
      </c>
      <c r="Q363" s="235" t="str">
        <f>IF(Broadcast_BASE[[#This Row],[Dashboard Rated?]]="No","N","Y")</f>
        <v>Y</v>
      </c>
      <c r="R363" s="236"/>
      <c r="S363" s="236"/>
    </row>
    <row r="364" spans="1:19" x14ac:dyDescent="0.25">
      <c r="A364" s="72" t="e">
        <f>#REF!</f>
        <v>#REF!</v>
      </c>
      <c r="B364" t="s">
        <v>45</v>
      </c>
      <c r="C364" t="s">
        <v>45</v>
      </c>
      <c r="D364" t="s">
        <v>1642</v>
      </c>
      <c r="E364" s="102">
        <v>3.5034722222222224E-2</v>
      </c>
      <c r="F364" s="101">
        <v>27473.3852792742</v>
      </c>
      <c r="G364" s="102">
        <v>2.2047011063242223E-3</v>
      </c>
      <c r="H364" s="101">
        <v>2410.8819198028809</v>
      </c>
      <c r="I364" s="101">
        <v>701.53878785683128</v>
      </c>
      <c r="J364" s="101"/>
      <c r="K364" s="233" t="str">
        <f>VLOOKUP(Broadcast_BASE[[#This Row],[Broadcast Market]],Continent_Look_Up[],2,FALSE)</f>
        <v>Digital</v>
      </c>
      <c r="L364" t="str">
        <f>IF(OR(Broadcast_BASE[[#This Row],[Broadcast Continent]]="Digital",Broadcast_BASE[[#This Row],[Programme Type]]="Digital"),"Y","N")</f>
        <v>Y</v>
      </c>
      <c r="M364" s="4" t="str">
        <f>IF(ISNUMBER(SEARCH("Pan ",Broadcast_BASE[[#This Row],[Broadcast Market]]))=TRUE,"Y","N")</f>
        <v>N</v>
      </c>
      <c r="N364" t="str">
        <f>VLOOKUP(CONCATENATE(Broadcast_BASE[[#This Row],[Broadcast Market]],Broadcast_BASE[[#This Row],[Broadcaster]]),Table1[[CC]:[Pay TV vs. Free-to-Air]],3,FALSE)</f>
        <v>Digital</v>
      </c>
      <c r="O364" s="1" t="str">
        <f>VLOOKUP(CONCATENATE(Broadcast_BASE[[#This Row],[Broadcast Market]],Broadcast_BASE[[#This Row],[Broadcaster]]),Table1[[CC]:[Pay TV vs. Free-to-Air]],2,FALSE)</f>
        <v>-</v>
      </c>
      <c r="P364" s="234">
        <f>Broadcast_BASE[[#This Row],[Rolex EXP]]*86400</f>
        <v>190.4861755864128</v>
      </c>
      <c r="Q364" s="235" t="str">
        <f>IF(Broadcast_BASE[[#This Row],[Dashboard Rated?]]="No","N","Y")</f>
        <v>Y</v>
      </c>
      <c r="R364" s="236"/>
      <c r="S364" s="236"/>
    </row>
    <row r="365" spans="1:19" x14ac:dyDescent="0.25">
      <c r="A365" s="72" t="e">
        <f>#REF!</f>
        <v>#REF!</v>
      </c>
      <c r="B365" t="s">
        <v>45</v>
      </c>
      <c r="C365" t="s">
        <v>45</v>
      </c>
      <c r="D365" t="s">
        <v>1643</v>
      </c>
      <c r="E365" s="102">
        <v>2.1389814814814812</v>
      </c>
      <c r="F365" s="101">
        <v>2094042.0743669788</v>
      </c>
      <c r="G365" s="102">
        <v>0.13712463568625086</v>
      </c>
      <c r="H365" s="101">
        <v>690929.99919035716</v>
      </c>
      <c r="I365" s="101">
        <v>193906.85910612874</v>
      </c>
      <c r="J365" s="101"/>
      <c r="K365" s="233" t="str">
        <f>VLOOKUP(Broadcast_BASE[[#This Row],[Broadcast Market]],Continent_Look_Up[],2,FALSE)</f>
        <v>Digital</v>
      </c>
      <c r="L365" t="str">
        <f>IF(OR(Broadcast_BASE[[#This Row],[Broadcast Continent]]="Digital",Broadcast_BASE[[#This Row],[Programme Type]]="Digital"),"Y","N")</f>
        <v>Y</v>
      </c>
      <c r="M365" s="4" t="str">
        <f>IF(ISNUMBER(SEARCH("Pan ",Broadcast_BASE[[#This Row],[Broadcast Market]]))=TRUE,"Y","N")</f>
        <v>N</v>
      </c>
      <c r="N365" t="str">
        <f>VLOOKUP(CONCATENATE(Broadcast_BASE[[#This Row],[Broadcast Market]],Broadcast_BASE[[#This Row],[Broadcaster]]),Table1[[CC]:[Pay TV vs. Free-to-Air]],3,FALSE)</f>
        <v>Digital</v>
      </c>
      <c r="O365" s="1" t="str">
        <f>VLOOKUP(CONCATENATE(Broadcast_BASE[[#This Row],[Broadcast Market]],Broadcast_BASE[[#This Row],[Broadcaster]]),Table1[[CC]:[Pay TV vs. Free-to-Air]],2,FALSE)</f>
        <v>-</v>
      </c>
      <c r="P365" s="234">
        <f>Broadcast_BASE[[#This Row],[Rolex EXP]]*86400</f>
        <v>11847.568523292073</v>
      </c>
      <c r="Q365" s="235" t="str">
        <f>IF(Broadcast_BASE[[#This Row],[Dashboard Rated?]]="No","N","Y")</f>
        <v>Y</v>
      </c>
      <c r="R365" s="236"/>
      <c r="S365" s="236"/>
    </row>
    <row r="366" spans="1:19" x14ac:dyDescent="0.25">
      <c r="A366" s="72" t="e">
        <f>#REF!</f>
        <v>#REF!</v>
      </c>
      <c r="B366" t="s">
        <v>45</v>
      </c>
      <c r="C366" t="s">
        <v>45</v>
      </c>
      <c r="D366" t="s">
        <v>1644</v>
      </c>
      <c r="E366" s="102">
        <v>0.15274305555555553</v>
      </c>
      <c r="F366" s="101">
        <v>431494.21527406003</v>
      </c>
      <c r="G366" s="102">
        <v>8.8773991037688765E-3</v>
      </c>
      <c r="H366" s="101">
        <v>78095.384081359967</v>
      </c>
      <c r="I366" s="101">
        <v>22964.161345104607</v>
      </c>
      <c r="J366" s="101"/>
      <c r="K366" s="233" t="str">
        <f>VLOOKUP(Broadcast_BASE[[#This Row],[Broadcast Market]],Continent_Look_Up[],2,FALSE)</f>
        <v>Digital</v>
      </c>
      <c r="L366" t="str">
        <f>IF(OR(Broadcast_BASE[[#This Row],[Broadcast Continent]]="Digital",Broadcast_BASE[[#This Row],[Programme Type]]="Digital"),"Y","N")</f>
        <v>Y</v>
      </c>
      <c r="M366" s="4" t="str">
        <f>IF(ISNUMBER(SEARCH("Pan ",Broadcast_BASE[[#This Row],[Broadcast Market]]))=TRUE,"Y","N")</f>
        <v>N</v>
      </c>
      <c r="N366" t="str">
        <f>VLOOKUP(CONCATENATE(Broadcast_BASE[[#This Row],[Broadcast Market]],Broadcast_BASE[[#This Row],[Broadcaster]]),Table1[[CC]:[Pay TV vs. Free-to-Air]],3,FALSE)</f>
        <v>Digital</v>
      </c>
      <c r="O366" s="1" t="str">
        <f>VLOOKUP(CONCATENATE(Broadcast_BASE[[#This Row],[Broadcast Market]],Broadcast_BASE[[#This Row],[Broadcaster]]),Table1[[CC]:[Pay TV vs. Free-to-Air]],2,FALSE)</f>
        <v>-</v>
      </c>
      <c r="P366" s="234">
        <f>Broadcast_BASE[[#This Row],[Rolex EXP]]*86400</f>
        <v>767.00728256563093</v>
      </c>
      <c r="Q366" s="235" t="str">
        <f>IF(Broadcast_BASE[[#This Row],[Dashboard Rated?]]="No","N","Y")</f>
        <v>Y</v>
      </c>
      <c r="R366" s="236"/>
      <c r="S366" s="236"/>
    </row>
    <row r="367" spans="1:19" x14ac:dyDescent="0.25">
      <c r="A367" s="72" t="e">
        <f>#REF!</f>
        <v>#REF!</v>
      </c>
      <c r="B367" t="s">
        <v>45</v>
      </c>
      <c r="C367" t="s">
        <v>45</v>
      </c>
      <c r="D367" t="s">
        <v>1643</v>
      </c>
      <c r="E367" s="102">
        <v>1.5625</v>
      </c>
      <c r="F367" s="101">
        <v>490987.33693366696</v>
      </c>
      <c r="G367" s="102">
        <v>0.10039635405617044</v>
      </c>
      <c r="H367" s="101">
        <v>196201.47871444112</v>
      </c>
      <c r="I367" s="101">
        <v>54957.160270129767</v>
      </c>
      <c r="J367" s="101"/>
      <c r="K367" s="233" t="str">
        <f>VLOOKUP(Broadcast_BASE[[#This Row],[Broadcast Market]],Continent_Look_Up[],2,FALSE)</f>
        <v>Digital</v>
      </c>
      <c r="L367" t="str">
        <f>IF(OR(Broadcast_BASE[[#This Row],[Broadcast Continent]]="Digital",Broadcast_BASE[[#This Row],[Programme Type]]="Digital"),"Y","N")</f>
        <v>Y</v>
      </c>
      <c r="M367" s="4" t="str">
        <f>IF(ISNUMBER(SEARCH("Pan ",Broadcast_BASE[[#This Row],[Broadcast Market]]))=TRUE,"Y","N")</f>
        <v>N</v>
      </c>
      <c r="N367" t="str">
        <f>VLOOKUP(CONCATENATE(Broadcast_BASE[[#This Row],[Broadcast Market]],Broadcast_BASE[[#This Row],[Broadcaster]]),Table1[[CC]:[Pay TV vs. Free-to-Air]],3,FALSE)</f>
        <v>Digital</v>
      </c>
      <c r="O367" s="1" t="str">
        <f>VLOOKUP(CONCATENATE(Broadcast_BASE[[#This Row],[Broadcast Market]],Broadcast_BASE[[#This Row],[Broadcaster]]),Table1[[CC]:[Pay TV vs. Free-to-Air]],2,FALSE)</f>
        <v>-</v>
      </c>
      <c r="P367" s="234">
        <f>Broadcast_BASE[[#This Row],[Rolex EXP]]*86400</f>
        <v>8674.2449904531259</v>
      </c>
      <c r="Q367" s="235" t="str">
        <f>IF(Broadcast_BASE[[#This Row],[Dashboard Rated?]]="No","N","Y")</f>
        <v>Y</v>
      </c>
      <c r="R367" s="236"/>
      <c r="S367" s="236"/>
    </row>
    <row r="368" spans="1:19" x14ac:dyDescent="0.25">
      <c r="A368" s="72" t="e">
        <f>#REF!</f>
        <v>#REF!</v>
      </c>
      <c r="B368" t="s">
        <v>45</v>
      </c>
      <c r="C368" t="s">
        <v>45</v>
      </c>
      <c r="D368" t="s">
        <v>1644</v>
      </c>
      <c r="E368" s="102">
        <v>0.48890046296296297</v>
      </c>
      <c r="F368" s="101">
        <v>380156.20521615579</v>
      </c>
      <c r="G368" s="102">
        <v>3.0133086000572084E-2</v>
      </c>
      <c r="H368" s="101">
        <v>60944.068807910939</v>
      </c>
      <c r="I368" s="101">
        <v>17575.45778977951</v>
      </c>
      <c r="J368" s="101"/>
      <c r="K368" s="233" t="str">
        <f>VLOOKUP(Broadcast_BASE[[#This Row],[Broadcast Market]],Continent_Look_Up[],2,FALSE)</f>
        <v>Digital</v>
      </c>
      <c r="L368" t="str">
        <f>IF(OR(Broadcast_BASE[[#This Row],[Broadcast Continent]]="Digital",Broadcast_BASE[[#This Row],[Programme Type]]="Digital"),"Y","N")</f>
        <v>Y</v>
      </c>
      <c r="M368" s="4" t="str">
        <f>IF(ISNUMBER(SEARCH("Pan ",Broadcast_BASE[[#This Row],[Broadcast Market]]))=TRUE,"Y","N")</f>
        <v>N</v>
      </c>
      <c r="N368" t="str">
        <f>VLOOKUP(CONCATENATE(Broadcast_BASE[[#This Row],[Broadcast Market]],Broadcast_BASE[[#This Row],[Broadcaster]]),Table1[[CC]:[Pay TV vs. Free-to-Air]],3,FALSE)</f>
        <v>Digital</v>
      </c>
      <c r="O368" s="1" t="str">
        <f>VLOOKUP(CONCATENATE(Broadcast_BASE[[#This Row],[Broadcast Market]],Broadcast_BASE[[#This Row],[Broadcaster]]),Table1[[CC]:[Pay TV vs. Free-to-Air]],2,FALSE)</f>
        <v>-</v>
      </c>
      <c r="P368" s="234">
        <f>Broadcast_BASE[[#This Row],[Rolex EXP]]*86400</f>
        <v>2603.4986304494282</v>
      </c>
      <c r="Q368" s="235" t="str">
        <f>IF(Broadcast_BASE[[#This Row],[Dashboard Rated?]]="No","N","Y")</f>
        <v>Y</v>
      </c>
      <c r="R368" s="236"/>
      <c r="S368" s="236"/>
    </row>
    <row r="369" spans="1:19" x14ac:dyDescent="0.25">
      <c r="A369" s="72" t="e">
        <f>#REF!</f>
        <v>#REF!</v>
      </c>
      <c r="B369" t="s">
        <v>45</v>
      </c>
      <c r="C369" t="s">
        <v>45</v>
      </c>
      <c r="D369" t="s">
        <v>1643</v>
      </c>
      <c r="E369" s="102">
        <v>6.385416666666667</v>
      </c>
      <c r="F369" s="101">
        <v>2135096</v>
      </c>
      <c r="G369" s="102">
        <v>0.41001185214696029</v>
      </c>
      <c r="H369" s="101">
        <v>1645217.1651402682</v>
      </c>
      <c r="I369" s="101">
        <v>463258.54852599569</v>
      </c>
      <c r="J369" s="101"/>
      <c r="K369" s="233" t="str">
        <f>VLOOKUP(Broadcast_BASE[[#This Row],[Broadcast Market]],Continent_Look_Up[],2,FALSE)</f>
        <v>Digital</v>
      </c>
      <c r="L369" t="str">
        <f>IF(OR(Broadcast_BASE[[#This Row],[Broadcast Continent]]="Digital",Broadcast_BASE[[#This Row],[Programme Type]]="Digital"),"Y","N")</f>
        <v>Y</v>
      </c>
      <c r="M369" s="4" t="str">
        <f>IF(ISNUMBER(SEARCH("Pan ",Broadcast_BASE[[#This Row],[Broadcast Market]]))=TRUE,"Y","N")</f>
        <v>N</v>
      </c>
      <c r="N369" t="str">
        <f>VLOOKUP(CONCATENATE(Broadcast_BASE[[#This Row],[Broadcast Market]],Broadcast_BASE[[#This Row],[Broadcaster]]),Table1[[CC]:[Pay TV vs. Free-to-Air]],3,FALSE)</f>
        <v>Digital</v>
      </c>
      <c r="O369" s="1" t="str">
        <f>VLOOKUP(CONCATENATE(Broadcast_BASE[[#This Row],[Broadcast Market]],Broadcast_BASE[[#This Row],[Broadcaster]]),Table1[[CC]:[Pay TV vs. Free-to-Air]],2,FALSE)</f>
        <v>-</v>
      </c>
      <c r="P369" s="234">
        <f>Broadcast_BASE[[#This Row],[Rolex EXP]]*86400</f>
        <v>35425.024025497369</v>
      </c>
      <c r="Q369" s="235" t="str">
        <f>IF(Broadcast_BASE[[#This Row],[Dashboard Rated?]]="No","N","Y")</f>
        <v>Y</v>
      </c>
      <c r="R369" s="236"/>
      <c r="S369" s="236"/>
    </row>
    <row r="370" spans="1:19" x14ac:dyDescent="0.25">
      <c r="A370" s="72" t="e">
        <f>#REF!</f>
        <v>#REF!</v>
      </c>
      <c r="B370" t="s">
        <v>45</v>
      </c>
      <c r="C370" t="s">
        <v>45</v>
      </c>
      <c r="D370" t="s">
        <v>1642</v>
      </c>
      <c r="E370" s="102">
        <v>3.1041666666666665</v>
      </c>
      <c r="F370" s="101">
        <v>366038.28490895202</v>
      </c>
      <c r="G370" s="102">
        <v>0.19446365303638588</v>
      </c>
      <c r="H370" s="101">
        <v>30297.840410082059</v>
      </c>
      <c r="I370" s="101">
        <v>8536.5123518148484</v>
      </c>
      <c r="J370" s="101"/>
      <c r="K370" s="233" t="str">
        <f>VLOOKUP(Broadcast_BASE[[#This Row],[Broadcast Market]],Continent_Look_Up[],2,FALSE)</f>
        <v>Digital</v>
      </c>
      <c r="L370" t="str">
        <f>IF(OR(Broadcast_BASE[[#This Row],[Broadcast Continent]]="Digital",Broadcast_BASE[[#This Row],[Programme Type]]="Digital"),"Y","N")</f>
        <v>Y</v>
      </c>
      <c r="M370" s="4" t="str">
        <f>IF(ISNUMBER(SEARCH("Pan ",Broadcast_BASE[[#This Row],[Broadcast Market]]))=TRUE,"Y","N")</f>
        <v>N</v>
      </c>
      <c r="N370" t="str">
        <f>VLOOKUP(CONCATENATE(Broadcast_BASE[[#This Row],[Broadcast Market]],Broadcast_BASE[[#This Row],[Broadcaster]]),Table1[[CC]:[Pay TV vs. Free-to-Air]],3,FALSE)</f>
        <v>Digital</v>
      </c>
      <c r="O370" s="1" t="str">
        <f>VLOOKUP(CONCATENATE(Broadcast_BASE[[#This Row],[Broadcast Market]],Broadcast_BASE[[#This Row],[Broadcaster]]),Table1[[CC]:[Pay TV vs. Free-to-Air]],2,FALSE)</f>
        <v>-</v>
      </c>
      <c r="P370" s="234">
        <f>Broadcast_BASE[[#This Row],[Rolex EXP]]*86400</f>
        <v>16801.659622343741</v>
      </c>
      <c r="Q370" s="235" t="str">
        <f>IF(Broadcast_BASE[[#This Row],[Dashboard Rated?]]="No","N","Y")</f>
        <v>Y</v>
      </c>
      <c r="R370" s="236"/>
      <c r="S370" s="236"/>
    </row>
    <row r="371" spans="1:19" x14ac:dyDescent="0.25">
      <c r="A371" s="72" t="e">
        <f>#REF!</f>
        <v>#REF!</v>
      </c>
      <c r="B371" t="s">
        <v>45</v>
      </c>
      <c r="C371" t="s">
        <v>45</v>
      </c>
      <c r="D371" t="s">
        <v>1643</v>
      </c>
      <c r="E371" s="102">
        <v>6.083333333333333</v>
      </c>
      <c r="F371" s="101">
        <v>219138.31469256687</v>
      </c>
      <c r="G371" s="102">
        <v>0.37263391589271327</v>
      </c>
      <c r="H371" s="101">
        <v>224624.29176419994</v>
      </c>
      <c r="I371" s="101">
        <v>62363.395540003017</v>
      </c>
      <c r="J371" s="101"/>
      <c r="K371" s="233" t="str">
        <f>VLOOKUP(Broadcast_BASE[[#This Row],[Broadcast Market]],Continent_Look_Up[],2,FALSE)</f>
        <v>Digital</v>
      </c>
      <c r="L371" t="str">
        <f>IF(OR(Broadcast_BASE[[#This Row],[Broadcast Continent]]="Digital",Broadcast_BASE[[#This Row],[Programme Type]]="Digital"),"Y","N")</f>
        <v>Y</v>
      </c>
      <c r="M371" s="4" t="str">
        <f>IF(ISNUMBER(SEARCH("Pan ",Broadcast_BASE[[#This Row],[Broadcast Market]]))=TRUE,"Y","N")</f>
        <v>N</v>
      </c>
      <c r="N371" t="str">
        <f>VLOOKUP(CONCATENATE(Broadcast_BASE[[#This Row],[Broadcast Market]],Broadcast_BASE[[#This Row],[Broadcaster]]),Table1[[CC]:[Pay TV vs. Free-to-Air]],3,FALSE)</f>
        <v>Digital</v>
      </c>
      <c r="O371" s="1" t="str">
        <f>VLOOKUP(CONCATENATE(Broadcast_BASE[[#This Row],[Broadcast Market]],Broadcast_BASE[[#This Row],[Broadcaster]]),Table1[[CC]:[Pay TV vs. Free-to-Air]],2,FALSE)</f>
        <v>-</v>
      </c>
      <c r="P371" s="234">
        <f>Broadcast_BASE[[#This Row],[Rolex EXP]]*86400</f>
        <v>32195.570333130428</v>
      </c>
      <c r="Q371" s="235" t="str">
        <f>IF(Broadcast_BASE[[#This Row],[Dashboard Rated?]]="No","N","Y")</f>
        <v>Y</v>
      </c>
      <c r="R371" s="236"/>
      <c r="S371" s="236"/>
    </row>
    <row r="372" spans="1:19" x14ac:dyDescent="0.25">
      <c r="A372" s="72" t="e">
        <f>#REF!</f>
        <v>#REF!</v>
      </c>
      <c r="B372" t="s">
        <v>45</v>
      </c>
      <c r="C372" t="s">
        <v>45</v>
      </c>
      <c r="D372" t="s">
        <v>1642</v>
      </c>
      <c r="E372" s="102">
        <v>0.25</v>
      </c>
      <c r="F372" s="101">
        <v>23687.075579687276</v>
      </c>
      <c r="G372" s="102">
        <v>1.5313722570933426E-2</v>
      </c>
      <c r="H372" s="101">
        <v>2406.3290484228714</v>
      </c>
      <c r="I372" s="101">
        <v>668.07934737409278</v>
      </c>
      <c r="J372" s="101"/>
      <c r="K372" s="233" t="str">
        <f>VLOOKUP(Broadcast_BASE[[#This Row],[Broadcast Market]],Continent_Look_Up[],2,FALSE)</f>
        <v>Digital</v>
      </c>
      <c r="L372" t="str">
        <f>IF(OR(Broadcast_BASE[[#This Row],[Broadcast Continent]]="Digital",Broadcast_BASE[[#This Row],[Programme Type]]="Digital"),"Y","N")</f>
        <v>Y</v>
      </c>
      <c r="M372" s="4" t="str">
        <f>IF(ISNUMBER(SEARCH("Pan ",Broadcast_BASE[[#This Row],[Broadcast Market]]))=TRUE,"Y","N")</f>
        <v>N</v>
      </c>
      <c r="N372" t="str">
        <f>VLOOKUP(CONCATENATE(Broadcast_BASE[[#This Row],[Broadcast Market]],Broadcast_BASE[[#This Row],[Broadcaster]]),Table1[[CC]:[Pay TV vs. Free-to-Air]],3,FALSE)</f>
        <v>Digital</v>
      </c>
      <c r="O372" s="1" t="str">
        <f>VLOOKUP(CONCATENATE(Broadcast_BASE[[#This Row],[Broadcast Market]],Broadcast_BASE[[#This Row],[Broadcaster]]),Table1[[CC]:[Pay TV vs. Free-to-Air]],2,FALSE)</f>
        <v>-</v>
      </c>
      <c r="P372" s="234">
        <f>Broadcast_BASE[[#This Row],[Rolex EXP]]*86400</f>
        <v>1323.105630128648</v>
      </c>
      <c r="Q372" s="235" t="str">
        <f>IF(Broadcast_BASE[[#This Row],[Dashboard Rated?]]="No","N","Y")</f>
        <v>Y</v>
      </c>
      <c r="R372" s="236"/>
      <c r="S372" s="236"/>
    </row>
    <row r="373" spans="1:19" x14ac:dyDescent="0.25">
      <c r="A373" s="72" t="e">
        <f>#REF!</f>
        <v>#REF!</v>
      </c>
      <c r="B373" t="s">
        <v>45</v>
      </c>
      <c r="C373" t="s">
        <v>45</v>
      </c>
      <c r="D373" t="s">
        <v>1642</v>
      </c>
      <c r="E373" s="102">
        <v>0.93214120370370368</v>
      </c>
      <c r="F373" s="101">
        <v>22180.623624747433</v>
      </c>
      <c r="G373" s="102">
        <v>6.8844902244084155E-2</v>
      </c>
      <c r="H373" s="101">
        <v>1619.55570581197</v>
      </c>
      <c r="I373" s="101">
        <v>459.41045218739276</v>
      </c>
      <c r="J373" s="101"/>
      <c r="K373" s="233" t="str">
        <f>VLOOKUP(Broadcast_BASE[[#This Row],[Broadcast Market]],Continent_Look_Up[],2,FALSE)</f>
        <v>Digital</v>
      </c>
      <c r="L373" t="str">
        <f>IF(OR(Broadcast_BASE[[#This Row],[Broadcast Continent]]="Digital",Broadcast_BASE[[#This Row],[Programme Type]]="Digital"),"Y","N")</f>
        <v>Y</v>
      </c>
      <c r="M373" s="4" t="str">
        <f>IF(ISNUMBER(SEARCH("Pan ",Broadcast_BASE[[#This Row],[Broadcast Market]]))=TRUE,"Y","N")</f>
        <v>N</v>
      </c>
      <c r="N373" t="str">
        <f>VLOOKUP(CONCATENATE(Broadcast_BASE[[#This Row],[Broadcast Market]],Broadcast_BASE[[#This Row],[Broadcaster]]),Table1[[CC]:[Pay TV vs. Free-to-Air]],3,FALSE)</f>
        <v>Digital</v>
      </c>
      <c r="O373" s="1" t="str">
        <f>VLOOKUP(CONCATENATE(Broadcast_BASE[[#This Row],[Broadcast Market]],Broadcast_BASE[[#This Row],[Broadcaster]]),Table1[[CC]:[Pay TV vs. Free-to-Air]],2,FALSE)</f>
        <v>-</v>
      </c>
      <c r="P373" s="234">
        <f>Broadcast_BASE[[#This Row],[Rolex EXP]]*86400</f>
        <v>5948.1995538888714</v>
      </c>
      <c r="Q373" s="235" t="str">
        <f>IF(Broadcast_BASE[[#This Row],[Dashboard Rated?]]="No","N","Y")</f>
        <v>Y</v>
      </c>
      <c r="R373" s="236"/>
      <c r="S373" s="236"/>
    </row>
    <row r="374" spans="1:19" x14ac:dyDescent="0.25">
      <c r="A374" s="72" t="e">
        <f>#REF!</f>
        <v>#REF!</v>
      </c>
      <c r="B374" t="s">
        <v>45</v>
      </c>
      <c r="C374" t="s">
        <v>45</v>
      </c>
      <c r="D374" t="s">
        <v>1643</v>
      </c>
      <c r="E374" s="102">
        <v>6.5384375000000006</v>
      </c>
      <c r="F374" s="101">
        <v>165663.95177417385</v>
      </c>
      <c r="G374" s="102">
        <v>0.53838637652310861</v>
      </c>
      <c r="H374" s="101">
        <v>51018.973428125501</v>
      </c>
      <c r="I374" s="101">
        <v>14665.942302257379</v>
      </c>
      <c r="J374" s="101"/>
      <c r="K374" s="233" t="str">
        <f>VLOOKUP(Broadcast_BASE[[#This Row],[Broadcast Market]],Continent_Look_Up[],2,FALSE)</f>
        <v>Digital</v>
      </c>
      <c r="L374" t="str">
        <f>IF(OR(Broadcast_BASE[[#This Row],[Broadcast Continent]]="Digital",Broadcast_BASE[[#This Row],[Programme Type]]="Digital"),"Y","N")</f>
        <v>Y</v>
      </c>
      <c r="M374" s="4" t="str">
        <f>IF(ISNUMBER(SEARCH("Pan ",Broadcast_BASE[[#This Row],[Broadcast Market]]))=TRUE,"Y","N")</f>
        <v>N</v>
      </c>
      <c r="N374" t="str">
        <f>VLOOKUP(CONCATENATE(Broadcast_BASE[[#This Row],[Broadcast Market]],Broadcast_BASE[[#This Row],[Broadcaster]]),Table1[[CC]:[Pay TV vs. Free-to-Air]],3,FALSE)</f>
        <v>Digital</v>
      </c>
      <c r="O374" s="1" t="str">
        <f>VLOOKUP(CONCATENATE(Broadcast_BASE[[#This Row],[Broadcast Market]],Broadcast_BASE[[#This Row],[Broadcaster]]),Table1[[CC]:[Pay TV vs. Free-to-Air]],2,FALSE)</f>
        <v>-</v>
      </c>
      <c r="P374" s="234">
        <f>Broadcast_BASE[[#This Row],[Rolex EXP]]*86400</f>
        <v>46516.582931596582</v>
      </c>
      <c r="Q374" s="235" t="str">
        <f>IF(Broadcast_BASE[[#This Row],[Dashboard Rated?]]="No","N","Y")</f>
        <v>Y</v>
      </c>
      <c r="R374" s="236"/>
      <c r="S374" s="236"/>
    </row>
    <row r="375" spans="1:19" x14ac:dyDescent="0.25">
      <c r="A375" s="72" t="e">
        <f>#REF!</f>
        <v>#REF!</v>
      </c>
      <c r="B375" t="s">
        <v>45</v>
      </c>
      <c r="C375" t="s">
        <v>45</v>
      </c>
      <c r="D375" t="s">
        <v>1644</v>
      </c>
      <c r="E375" s="102">
        <v>1.5017129629629631</v>
      </c>
      <c r="F375" s="101">
        <v>13707.506124359141</v>
      </c>
      <c r="G375" s="102">
        <v>0.11626186710605591</v>
      </c>
      <c r="H375" s="101">
        <v>2146.9316712234258</v>
      </c>
      <c r="I375" s="101">
        <v>613.60663534440096</v>
      </c>
      <c r="J375" s="101"/>
      <c r="K375" s="233" t="str">
        <f>VLOOKUP(Broadcast_BASE[[#This Row],[Broadcast Market]],Continent_Look_Up[],2,FALSE)</f>
        <v>Digital</v>
      </c>
      <c r="L375" t="str">
        <f>IF(OR(Broadcast_BASE[[#This Row],[Broadcast Continent]]="Digital",Broadcast_BASE[[#This Row],[Programme Type]]="Digital"),"Y","N")</f>
        <v>Y</v>
      </c>
      <c r="M375" s="4" t="str">
        <f>IF(ISNUMBER(SEARCH("Pan ",Broadcast_BASE[[#This Row],[Broadcast Market]]))=TRUE,"Y","N")</f>
        <v>N</v>
      </c>
      <c r="N375" t="str">
        <f>VLOOKUP(CONCATENATE(Broadcast_BASE[[#This Row],[Broadcast Market]],Broadcast_BASE[[#This Row],[Broadcaster]]),Table1[[CC]:[Pay TV vs. Free-to-Air]],3,FALSE)</f>
        <v>Digital</v>
      </c>
      <c r="O375" s="1" t="str">
        <f>VLOOKUP(CONCATENATE(Broadcast_BASE[[#This Row],[Broadcast Market]],Broadcast_BASE[[#This Row],[Broadcaster]]),Table1[[CC]:[Pay TV vs. Free-to-Air]],2,FALSE)</f>
        <v>-</v>
      </c>
      <c r="P375" s="234">
        <f>Broadcast_BASE[[#This Row],[Rolex EXP]]*86400</f>
        <v>10045.025317963231</v>
      </c>
      <c r="Q375" s="235" t="str">
        <f>IF(Broadcast_BASE[[#This Row],[Dashboard Rated?]]="No","N","Y")</f>
        <v>Y</v>
      </c>
      <c r="R375" s="236"/>
      <c r="S375" s="236"/>
    </row>
    <row r="376" spans="1:19" x14ac:dyDescent="0.25">
      <c r="A376" s="72" t="e">
        <f>#REF!</f>
        <v>#REF!</v>
      </c>
      <c r="B376" t="s">
        <v>45</v>
      </c>
      <c r="C376" t="s">
        <v>45</v>
      </c>
      <c r="D376" t="s">
        <v>1642</v>
      </c>
      <c r="E376" s="102">
        <v>0.83843749999999995</v>
      </c>
      <c r="F376" s="101">
        <v>13296.544770700133</v>
      </c>
      <c r="G376" s="102">
        <v>6.595121621262047E-2</v>
      </c>
      <c r="H376" s="101">
        <v>1246.4580604503365</v>
      </c>
      <c r="I376" s="101">
        <v>358.05896515585272</v>
      </c>
      <c r="J376" s="101"/>
      <c r="K376" s="233" t="str">
        <f>VLOOKUP(Broadcast_BASE[[#This Row],[Broadcast Market]],Continent_Look_Up[],2,FALSE)</f>
        <v>Digital</v>
      </c>
      <c r="L376" t="str">
        <f>IF(OR(Broadcast_BASE[[#This Row],[Broadcast Continent]]="Digital",Broadcast_BASE[[#This Row],[Programme Type]]="Digital"),"Y","N")</f>
        <v>Y</v>
      </c>
      <c r="M376" s="4" t="str">
        <f>IF(ISNUMBER(SEARCH("Pan ",Broadcast_BASE[[#This Row],[Broadcast Market]]))=TRUE,"Y","N")</f>
        <v>N</v>
      </c>
      <c r="N376" t="str">
        <f>VLOOKUP(CONCATENATE(Broadcast_BASE[[#This Row],[Broadcast Market]],Broadcast_BASE[[#This Row],[Broadcaster]]),Table1[[CC]:[Pay TV vs. Free-to-Air]],3,FALSE)</f>
        <v>Digital</v>
      </c>
      <c r="O376" s="1" t="str">
        <f>VLOOKUP(CONCATENATE(Broadcast_BASE[[#This Row],[Broadcast Market]],Broadcast_BASE[[#This Row],[Broadcaster]]),Table1[[CC]:[Pay TV vs. Free-to-Air]],2,FALSE)</f>
        <v>-</v>
      </c>
      <c r="P376" s="234">
        <f>Broadcast_BASE[[#This Row],[Rolex EXP]]*86400</f>
        <v>5698.1850807704086</v>
      </c>
      <c r="Q376" s="235" t="str">
        <f>IF(Broadcast_BASE[[#This Row],[Dashboard Rated?]]="No","N","Y")</f>
        <v>Y</v>
      </c>
      <c r="R376" s="236"/>
      <c r="S376" s="236"/>
    </row>
    <row r="377" spans="1:19" x14ac:dyDescent="0.25">
      <c r="A377" s="72" t="e">
        <f>#REF!</f>
        <v>#REF!</v>
      </c>
      <c r="B377" t="s">
        <v>45</v>
      </c>
      <c r="C377" t="s">
        <v>45</v>
      </c>
      <c r="D377" t="s">
        <v>1643</v>
      </c>
      <c r="E377" s="102">
        <v>3.0458796296296295</v>
      </c>
      <c r="F377" s="101">
        <v>70944.93853545429</v>
      </c>
      <c r="G377" s="102">
        <v>0.25179070981041834</v>
      </c>
      <c r="H377" s="101">
        <v>18392.514744233871</v>
      </c>
      <c r="I377" s="101">
        <v>5530.2777357254436</v>
      </c>
      <c r="J377" s="101"/>
      <c r="K377" s="233" t="str">
        <f>VLOOKUP(Broadcast_BASE[[#This Row],[Broadcast Market]],Continent_Look_Up[],2,FALSE)</f>
        <v>Digital</v>
      </c>
      <c r="L377" t="str">
        <f>IF(OR(Broadcast_BASE[[#This Row],[Broadcast Continent]]="Digital",Broadcast_BASE[[#This Row],[Programme Type]]="Digital"),"Y","N")</f>
        <v>Y</v>
      </c>
      <c r="M377" s="4" t="str">
        <f>IF(ISNUMBER(SEARCH("Pan ",Broadcast_BASE[[#This Row],[Broadcast Market]]))=TRUE,"Y","N")</f>
        <v>N</v>
      </c>
      <c r="N377" t="str">
        <f>VLOOKUP(CONCATENATE(Broadcast_BASE[[#This Row],[Broadcast Market]],Broadcast_BASE[[#This Row],[Broadcaster]]),Table1[[CC]:[Pay TV vs. Free-to-Air]],3,FALSE)</f>
        <v>Digital</v>
      </c>
      <c r="O377" s="1" t="str">
        <f>VLOOKUP(CONCATENATE(Broadcast_BASE[[#This Row],[Broadcast Market]],Broadcast_BASE[[#This Row],[Broadcaster]]),Table1[[CC]:[Pay TV vs. Free-to-Air]],2,FALSE)</f>
        <v>-</v>
      </c>
      <c r="P377" s="234">
        <f>Broadcast_BASE[[#This Row],[Rolex EXP]]*86400</f>
        <v>21754.717327620147</v>
      </c>
      <c r="Q377" s="235" t="str">
        <f>IF(Broadcast_BASE[[#This Row],[Dashboard Rated?]]="No","N","Y")</f>
        <v>Y</v>
      </c>
      <c r="R377" s="236"/>
      <c r="S377" s="236"/>
    </row>
    <row r="378" spans="1:19" x14ac:dyDescent="0.25">
      <c r="A378" s="72" t="e">
        <f>#REF!</f>
        <v>#REF!</v>
      </c>
      <c r="B378" t="s">
        <v>45</v>
      </c>
      <c r="C378" t="s">
        <v>45</v>
      </c>
      <c r="D378" t="s">
        <v>1644</v>
      </c>
      <c r="E378" s="102">
        <v>2.4179629629629633</v>
      </c>
      <c r="F378" s="101">
        <v>16884.020188502716</v>
      </c>
      <c r="G378" s="102">
        <v>0.1817433025006705</v>
      </c>
      <c r="H378" s="101">
        <v>2978.9423603378823</v>
      </c>
      <c r="I378" s="101">
        <v>844.81261967502348</v>
      </c>
      <c r="J378" s="101"/>
      <c r="K378" s="233" t="str">
        <f>VLOOKUP(Broadcast_BASE[[#This Row],[Broadcast Market]],Continent_Look_Up[],2,FALSE)</f>
        <v>Digital</v>
      </c>
      <c r="L378" t="str">
        <f>IF(OR(Broadcast_BASE[[#This Row],[Broadcast Continent]]="Digital",Broadcast_BASE[[#This Row],[Programme Type]]="Digital"),"Y","N")</f>
        <v>Y</v>
      </c>
      <c r="M378" s="4" t="str">
        <f>IF(ISNUMBER(SEARCH("Pan ",Broadcast_BASE[[#This Row],[Broadcast Market]]))=TRUE,"Y","N")</f>
        <v>N</v>
      </c>
      <c r="N378" t="str">
        <f>VLOOKUP(CONCATENATE(Broadcast_BASE[[#This Row],[Broadcast Market]],Broadcast_BASE[[#This Row],[Broadcaster]]),Table1[[CC]:[Pay TV vs. Free-to-Air]],3,FALSE)</f>
        <v>Digital</v>
      </c>
      <c r="O378" s="1" t="str">
        <f>VLOOKUP(CONCATENATE(Broadcast_BASE[[#This Row],[Broadcast Market]],Broadcast_BASE[[#This Row],[Broadcaster]]),Table1[[CC]:[Pay TV vs. Free-to-Air]],2,FALSE)</f>
        <v>-</v>
      </c>
      <c r="P378" s="234">
        <f>Broadcast_BASE[[#This Row],[Rolex EXP]]*86400</f>
        <v>15702.621336057931</v>
      </c>
      <c r="Q378" s="235" t="str">
        <f>IF(Broadcast_BASE[[#This Row],[Dashboard Rated?]]="No","N","Y")</f>
        <v>Y</v>
      </c>
      <c r="R378" s="236"/>
      <c r="S378" s="236"/>
    </row>
    <row r="379" spans="1:19" x14ac:dyDescent="0.25">
      <c r="A379" s="72" t="e">
        <f>#REF!</f>
        <v>#REF!</v>
      </c>
      <c r="B379" t="s">
        <v>45</v>
      </c>
      <c r="C379" t="s">
        <v>45</v>
      </c>
      <c r="D379" t="s">
        <v>1642</v>
      </c>
      <c r="E379" s="102">
        <v>0.33726851851851852</v>
      </c>
      <c r="F379" s="101">
        <v>880.07194018372945</v>
      </c>
      <c r="G379" s="102">
        <v>2.5189017814019558E-2</v>
      </c>
      <c r="H379" s="101">
        <v>44.496770218127644</v>
      </c>
      <c r="I379" s="101">
        <v>12.640475228448095</v>
      </c>
      <c r="J379" s="101"/>
      <c r="K379" s="233" t="str">
        <f>VLOOKUP(Broadcast_BASE[[#This Row],[Broadcast Market]],Continent_Look_Up[],2,FALSE)</f>
        <v>Digital</v>
      </c>
      <c r="L379" t="str">
        <f>IF(OR(Broadcast_BASE[[#This Row],[Broadcast Continent]]="Digital",Broadcast_BASE[[#This Row],[Programme Type]]="Digital"),"Y","N")</f>
        <v>Y</v>
      </c>
      <c r="M379" s="4" t="str">
        <f>IF(ISNUMBER(SEARCH("Pan ",Broadcast_BASE[[#This Row],[Broadcast Market]]))=TRUE,"Y","N")</f>
        <v>N</v>
      </c>
      <c r="N379" t="str">
        <f>VLOOKUP(CONCATENATE(Broadcast_BASE[[#This Row],[Broadcast Market]],Broadcast_BASE[[#This Row],[Broadcaster]]),Table1[[CC]:[Pay TV vs. Free-to-Air]],3,FALSE)</f>
        <v>Digital</v>
      </c>
      <c r="O379" s="1" t="str">
        <f>VLOOKUP(CONCATENATE(Broadcast_BASE[[#This Row],[Broadcast Market]],Broadcast_BASE[[#This Row],[Broadcaster]]),Table1[[CC]:[Pay TV vs. Free-to-Air]],2,FALSE)</f>
        <v>-</v>
      </c>
      <c r="P379" s="234">
        <f>Broadcast_BASE[[#This Row],[Rolex EXP]]*86400</f>
        <v>2176.33113913129</v>
      </c>
      <c r="Q379" s="235" t="str">
        <f>IF(Broadcast_BASE[[#This Row],[Dashboard Rated?]]="No","N","Y")</f>
        <v>Y</v>
      </c>
      <c r="R379" s="236"/>
      <c r="S379" s="236"/>
    </row>
    <row r="380" spans="1:19" x14ac:dyDescent="0.25">
      <c r="A380" s="72" t="e">
        <f>#REF!</f>
        <v>#REF!</v>
      </c>
      <c r="B380" t="s">
        <v>45</v>
      </c>
      <c r="C380" t="s">
        <v>45</v>
      </c>
      <c r="D380" t="s">
        <v>1643</v>
      </c>
      <c r="E380" s="102">
        <v>4.7488657407407411</v>
      </c>
      <c r="F380" s="101">
        <v>84667.586846782375</v>
      </c>
      <c r="G380" s="102">
        <v>0.37894327785327842</v>
      </c>
      <c r="H380" s="101">
        <v>6972.9620026509638</v>
      </c>
      <c r="I380" s="101">
        <v>1952.9038521025202</v>
      </c>
      <c r="J380" s="101"/>
      <c r="K380" s="233" t="str">
        <f>VLOOKUP(Broadcast_BASE[[#This Row],[Broadcast Market]],Continent_Look_Up[],2,FALSE)</f>
        <v>Digital</v>
      </c>
      <c r="L380" t="str">
        <f>IF(OR(Broadcast_BASE[[#This Row],[Broadcast Continent]]="Digital",Broadcast_BASE[[#This Row],[Programme Type]]="Digital"),"Y","N")</f>
        <v>Y</v>
      </c>
      <c r="M380" s="4" t="str">
        <f>IF(ISNUMBER(SEARCH("Pan ",Broadcast_BASE[[#This Row],[Broadcast Market]]))=TRUE,"Y","N")</f>
        <v>N</v>
      </c>
      <c r="N380" t="str">
        <f>VLOOKUP(CONCATENATE(Broadcast_BASE[[#This Row],[Broadcast Market]],Broadcast_BASE[[#This Row],[Broadcaster]]),Table1[[CC]:[Pay TV vs. Free-to-Air]],3,FALSE)</f>
        <v>Digital</v>
      </c>
      <c r="O380" s="1" t="str">
        <f>VLOOKUP(CONCATENATE(Broadcast_BASE[[#This Row],[Broadcast Market]],Broadcast_BASE[[#This Row],[Broadcaster]]),Table1[[CC]:[Pay TV vs. Free-to-Air]],2,FALSE)</f>
        <v>-</v>
      </c>
      <c r="P380" s="234">
        <f>Broadcast_BASE[[#This Row],[Rolex EXP]]*86400</f>
        <v>32740.699206523255</v>
      </c>
      <c r="Q380" s="235" t="str">
        <f>IF(Broadcast_BASE[[#This Row],[Dashboard Rated?]]="No","N","Y")</f>
        <v>Y</v>
      </c>
      <c r="R380" s="236"/>
      <c r="S380" s="236"/>
    </row>
    <row r="381" spans="1:19" x14ac:dyDescent="0.25">
      <c r="A381" s="72" t="e">
        <f>#REF!</f>
        <v>#REF!</v>
      </c>
      <c r="B381" t="s">
        <v>45</v>
      </c>
      <c r="C381" t="s">
        <v>45</v>
      </c>
      <c r="D381" t="s">
        <v>1644</v>
      </c>
      <c r="E381" s="102">
        <v>0.38276620370370368</v>
      </c>
      <c r="F381" s="101">
        <v>1094.5296959362402</v>
      </c>
      <c r="G381" s="102">
        <v>2.3066775902739076E-2</v>
      </c>
      <c r="H381" s="101">
        <v>116.5604948221799</v>
      </c>
      <c r="I381" s="101">
        <v>32.434608733635983</v>
      </c>
      <c r="J381" s="101"/>
      <c r="K381" s="233" t="str">
        <f>VLOOKUP(Broadcast_BASE[[#This Row],[Broadcast Market]],Continent_Look_Up[],2,FALSE)</f>
        <v>Digital</v>
      </c>
      <c r="L381" t="str">
        <f>IF(OR(Broadcast_BASE[[#This Row],[Broadcast Continent]]="Digital",Broadcast_BASE[[#This Row],[Programme Type]]="Digital"),"Y","N")</f>
        <v>Y</v>
      </c>
      <c r="M381" s="4" t="str">
        <f>IF(ISNUMBER(SEARCH("Pan ",Broadcast_BASE[[#This Row],[Broadcast Market]]))=TRUE,"Y","N")</f>
        <v>N</v>
      </c>
      <c r="N381" t="str">
        <f>VLOOKUP(CONCATENATE(Broadcast_BASE[[#This Row],[Broadcast Market]],Broadcast_BASE[[#This Row],[Broadcaster]]),Table1[[CC]:[Pay TV vs. Free-to-Air]],3,FALSE)</f>
        <v>Digital</v>
      </c>
      <c r="O381" s="1" t="str">
        <f>VLOOKUP(CONCATENATE(Broadcast_BASE[[#This Row],[Broadcast Market]],Broadcast_BASE[[#This Row],[Broadcaster]]),Table1[[CC]:[Pay TV vs. Free-to-Air]],2,FALSE)</f>
        <v>-</v>
      </c>
      <c r="P381" s="234">
        <f>Broadcast_BASE[[#This Row],[Rolex EXP]]*86400</f>
        <v>1992.9694379966561</v>
      </c>
      <c r="Q381" s="235" t="str">
        <f>IF(Broadcast_BASE[[#This Row],[Dashboard Rated?]]="No","N","Y")</f>
        <v>Y</v>
      </c>
      <c r="R381" s="236"/>
      <c r="S381" s="236"/>
    </row>
    <row r="382" spans="1:19" x14ac:dyDescent="0.25">
      <c r="A382" s="72" t="e">
        <f>#REF!</f>
        <v>#REF!</v>
      </c>
      <c r="B382" t="s">
        <v>45</v>
      </c>
      <c r="C382" t="s">
        <v>45</v>
      </c>
      <c r="D382" t="s">
        <v>1642</v>
      </c>
      <c r="E382" s="102">
        <v>8.3009259259259255E-2</v>
      </c>
      <c r="F382" s="101">
        <v>69.1427476902237</v>
      </c>
      <c r="G382" s="102">
        <v>5.0847230684599306E-3</v>
      </c>
      <c r="H382" s="101">
        <v>6.9720618637174487</v>
      </c>
      <c r="I382" s="101">
        <v>1.9356831281311988</v>
      </c>
      <c r="J382" s="101"/>
      <c r="K382" s="233" t="str">
        <f>VLOOKUP(Broadcast_BASE[[#This Row],[Broadcast Market]],Continent_Look_Up[],2,FALSE)</f>
        <v>Digital</v>
      </c>
      <c r="L382" t="str">
        <f>IF(OR(Broadcast_BASE[[#This Row],[Broadcast Continent]]="Digital",Broadcast_BASE[[#This Row],[Programme Type]]="Digital"),"Y","N")</f>
        <v>Y</v>
      </c>
      <c r="M382" s="4" t="str">
        <f>IF(ISNUMBER(SEARCH("Pan ",Broadcast_BASE[[#This Row],[Broadcast Market]]))=TRUE,"Y","N")</f>
        <v>N</v>
      </c>
      <c r="N382" t="str">
        <f>VLOOKUP(CONCATENATE(Broadcast_BASE[[#This Row],[Broadcast Market]],Broadcast_BASE[[#This Row],[Broadcaster]]),Table1[[CC]:[Pay TV vs. Free-to-Air]],3,FALSE)</f>
        <v>Digital</v>
      </c>
      <c r="O382" s="1" t="str">
        <f>VLOOKUP(CONCATENATE(Broadcast_BASE[[#This Row],[Broadcast Market]],Broadcast_BASE[[#This Row],[Broadcaster]]),Table1[[CC]:[Pay TV vs. Free-to-Air]],2,FALSE)</f>
        <v>-</v>
      </c>
      <c r="P382" s="234">
        <f>Broadcast_BASE[[#This Row],[Rolex EXP]]*86400</f>
        <v>439.320073114938</v>
      </c>
      <c r="Q382" s="235" t="str">
        <f>IF(Broadcast_BASE[[#This Row],[Dashboard Rated?]]="No","N","Y")</f>
        <v>Y</v>
      </c>
      <c r="R382" s="236"/>
      <c r="S382" s="236"/>
    </row>
    <row r="383" spans="1:19" x14ac:dyDescent="0.25">
      <c r="A383" s="72" t="e">
        <f>#REF!</f>
        <v>#REF!</v>
      </c>
      <c r="B383" t="s">
        <v>45</v>
      </c>
      <c r="C383" t="s">
        <v>45</v>
      </c>
      <c r="D383" t="s">
        <v>1643</v>
      </c>
      <c r="E383" s="102">
        <v>2.2200000000000002</v>
      </c>
      <c r="F383" s="101">
        <v>6960.1970772799468</v>
      </c>
      <c r="G383" s="102">
        <v>0.1768755278420866</v>
      </c>
      <c r="H383" s="101">
        <v>1710.4917381727466</v>
      </c>
      <c r="I383" s="101">
        <v>492.08010570387484</v>
      </c>
      <c r="J383" s="101"/>
      <c r="K383" s="233" t="str">
        <f>VLOOKUP(Broadcast_BASE[[#This Row],[Broadcast Market]],Continent_Look_Up[],2,FALSE)</f>
        <v>Digital</v>
      </c>
      <c r="L383" t="str">
        <f>IF(OR(Broadcast_BASE[[#This Row],[Broadcast Continent]]="Digital",Broadcast_BASE[[#This Row],[Programme Type]]="Digital"),"Y","N")</f>
        <v>Y</v>
      </c>
      <c r="M383" s="4" t="str">
        <f>IF(ISNUMBER(SEARCH("Pan ",Broadcast_BASE[[#This Row],[Broadcast Market]]))=TRUE,"Y","N")</f>
        <v>N</v>
      </c>
      <c r="N383" t="str">
        <f>VLOOKUP(CONCATENATE(Broadcast_BASE[[#This Row],[Broadcast Market]],Broadcast_BASE[[#This Row],[Broadcaster]]),Table1[[CC]:[Pay TV vs. Free-to-Air]],3,FALSE)</f>
        <v>Digital</v>
      </c>
      <c r="O383" s="1" t="str">
        <f>VLOOKUP(CONCATENATE(Broadcast_BASE[[#This Row],[Broadcast Market]],Broadcast_BASE[[#This Row],[Broadcaster]]),Table1[[CC]:[Pay TV vs. Free-to-Air]],2,FALSE)</f>
        <v>-</v>
      </c>
      <c r="P383" s="234">
        <f>Broadcast_BASE[[#This Row],[Rolex EXP]]*86400</f>
        <v>15282.045605556283</v>
      </c>
      <c r="Q383" s="235" t="str">
        <f>IF(Broadcast_BASE[[#This Row],[Dashboard Rated?]]="No","N","Y")</f>
        <v>Y</v>
      </c>
      <c r="R383" s="236"/>
      <c r="S383" s="236"/>
    </row>
    <row r="384" spans="1:19" x14ac:dyDescent="0.25">
      <c r="A384" s="72" t="e">
        <f>#REF!</f>
        <v>#REF!</v>
      </c>
      <c r="B384" t="s">
        <v>45</v>
      </c>
      <c r="C384" t="s">
        <v>45</v>
      </c>
      <c r="D384" t="s">
        <v>1644</v>
      </c>
      <c r="E384" s="102">
        <v>1.0430439814814816</v>
      </c>
      <c r="F384" s="101">
        <v>927.08900861308166</v>
      </c>
      <c r="G384" s="102">
        <v>7.6916234344702863E-2</v>
      </c>
      <c r="H384" s="101">
        <v>232.03277082137714</v>
      </c>
      <c r="I384" s="101">
        <v>63.249029886798517</v>
      </c>
      <c r="J384" s="101"/>
      <c r="K384" s="233" t="str">
        <f>VLOOKUP(Broadcast_BASE[[#This Row],[Broadcast Market]],Continent_Look_Up[],2,FALSE)</f>
        <v>Digital</v>
      </c>
      <c r="L384" t="str">
        <f>IF(OR(Broadcast_BASE[[#This Row],[Broadcast Continent]]="Digital",Broadcast_BASE[[#This Row],[Programme Type]]="Digital"),"Y","N")</f>
        <v>Y</v>
      </c>
      <c r="M384" s="4" t="str">
        <f>IF(ISNUMBER(SEARCH("Pan ",Broadcast_BASE[[#This Row],[Broadcast Market]]))=TRUE,"Y","N")</f>
        <v>N</v>
      </c>
      <c r="N384" t="str">
        <f>VLOOKUP(CONCATENATE(Broadcast_BASE[[#This Row],[Broadcast Market]],Broadcast_BASE[[#This Row],[Broadcaster]]),Table1[[CC]:[Pay TV vs. Free-to-Air]],3,FALSE)</f>
        <v>Digital</v>
      </c>
      <c r="O384" s="1" t="str">
        <f>VLOOKUP(CONCATENATE(Broadcast_BASE[[#This Row],[Broadcast Market]],Broadcast_BASE[[#This Row],[Broadcaster]]),Table1[[CC]:[Pay TV vs. Free-to-Air]],2,FALSE)</f>
        <v>-</v>
      </c>
      <c r="P384" s="234">
        <f>Broadcast_BASE[[#This Row],[Rolex EXP]]*86400</f>
        <v>6645.5626473823277</v>
      </c>
      <c r="Q384" s="235" t="str">
        <f>IF(Broadcast_BASE[[#This Row],[Dashboard Rated?]]="No","N","Y")</f>
        <v>Y</v>
      </c>
      <c r="R384" s="236"/>
      <c r="S384" s="236"/>
    </row>
    <row r="385" spans="1:19" x14ac:dyDescent="0.25">
      <c r="A385" s="72" t="e">
        <f>#REF!</f>
        <v>#REF!</v>
      </c>
      <c r="B385" t="s">
        <v>45</v>
      </c>
      <c r="C385" t="s">
        <v>45</v>
      </c>
      <c r="D385" t="s">
        <v>1642</v>
      </c>
      <c r="E385" s="102">
        <v>0.22679398148148147</v>
      </c>
      <c r="F385" s="101">
        <v>192.16061131533451</v>
      </c>
      <c r="G385" s="102">
        <v>1.4173559417754276E-2</v>
      </c>
      <c r="H385" s="101">
        <v>16.047974350394838</v>
      </c>
      <c r="I385" s="101">
        <v>4.4469141483403103</v>
      </c>
      <c r="J385" s="101"/>
      <c r="K385" s="233" t="str">
        <f>VLOOKUP(Broadcast_BASE[[#This Row],[Broadcast Market]],Continent_Look_Up[],2,FALSE)</f>
        <v>Digital</v>
      </c>
      <c r="L385" t="str">
        <f>IF(OR(Broadcast_BASE[[#This Row],[Broadcast Continent]]="Digital",Broadcast_BASE[[#This Row],[Programme Type]]="Digital"),"Y","N")</f>
        <v>Y</v>
      </c>
      <c r="M385" s="4" t="str">
        <f>IF(ISNUMBER(SEARCH("Pan ",Broadcast_BASE[[#This Row],[Broadcast Market]]))=TRUE,"Y","N")</f>
        <v>N</v>
      </c>
      <c r="N385" t="str">
        <f>VLOOKUP(CONCATENATE(Broadcast_BASE[[#This Row],[Broadcast Market]],Broadcast_BASE[[#This Row],[Broadcaster]]),Table1[[CC]:[Pay TV vs. Free-to-Air]],3,FALSE)</f>
        <v>Digital</v>
      </c>
      <c r="O385" s="1" t="str">
        <f>VLOOKUP(CONCATENATE(Broadcast_BASE[[#This Row],[Broadcast Market]],Broadcast_BASE[[#This Row],[Broadcaster]]),Table1[[CC]:[Pay TV vs. Free-to-Air]],2,FALSE)</f>
        <v>-</v>
      </c>
      <c r="P385" s="234">
        <f>Broadcast_BASE[[#This Row],[Rolex EXP]]*86400</f>
        <v>1224.5955336939694</v>
      </c>
      <c r="Q385" s="235" t="str">
        <f>IF(Broadcast_BASE[[#This Row],[Dashboard Rated?]]="No","N","Y")</f>
        <v>Y</v>
      </c>
      <c r="R385" s="236"/>
      <c r="S385" s="236"/>
    </row>
    <row r="386" spans="1:19" x14ac:dyDescent="0.25">
      <c r="A386" s="72" t="e">
        <f>#REF!</f>
        <v>#REF!</v>
      </c>
      <c r="B386" t="s">
        <v>45</v>
      </c>
      <c r="C386" t="s">
        <v>45</v>
      </c>
      <c r="D386" t="s">
        <v>1643</v>
      </c>
      <c r="E386" s="102">
        <v>5.4708796296296294</v>
      </c>
      <c r="F386" s="101">
        <v>57037.945545529532</v>
      </c>
      <c r="G386" s="102">
        <v>0.4385943624772079</v>
      </c>
      <c r="H386" s="101">
        <v>15863.293862815706</v>
      </c>
      <c r="I386" s="101">
        <v>4529.2642959590166</v>
      </c>
      <c r="J386" s="101"/>
      <c r="K386" s="233" t="str">
        <f>VLOOKUP(Broadcast_BASE[[#This Row],[Broadcast Market]],Continent_Look_Up[],2,FALSE)</f>
        <v>Digital</v>
      </c>
      <c r="L386" t="str">
        <f>IF(OR(Broadcast_BASE[[#This Row],[Broadcast Continent]]="Digital",Broadcast_BASE[[#This Row],[Programme Type]]="Digital"),"Y","N")</f>
        <v>Y</v>
      </c>
      <c r="M386" s="4" t="str">
        <f>IF(ISNUMBER(SEARCH("Pan ",Broadcast_BASE[[#This Row],[Broadcast Market]]))=TRUE,"Y","N")</f>
        <v>N</v>
      </c>
      <c r="N386" t="str">
        <f>VLOOKUP(CONCATENATE(Broadcast_BASE[[#This Row],[Broadcast Market]],Broadcast_BASE[[#This Row],[Broadcaster]]),Table1[[CC]:[Pay TV vs. Free-to-Air]],3,FALSE)</f>
        <v>Digital</v>
      </c>
      <c r="O386" s="1" t="str">
        <f>VLOOKUP(CONCATENATE(Broadcast_BASE[[#This Row],[Broadcast Market]],Broadcast_BASE[[#This Row],[Broadcaster]]),Table1[[CC]:[Pay TV vs. Free-to-Air]],2,FALSE)</f>
        <v>-</v>
      </c>
      <c r="P386" s="234">
        <f>Broadcast_BASE[[#This Row],[Rolex EXP]]*86400</f>
        <v>37894.552918030764</v>
      </c>
      <c r="Q386" s="235" t="str">
        <f>IF(Broadcast_BASE[[#This Row],[Dashboard Rated?]]="No","N","Y")</f>
        <v>Y</v>
      </c>
      <c r="R386" s="236"/>
      <c r="S386" s="236"/>
    </row>
    <row r="387" spans="1:19" x14ac:dyDescent="0.25">
      <c r="A387" s="72" t="e">
        <f>#REF!</f>
        <v>#REF!</v>
      </c>
      <c r="B387" t="s">
        <v>45</v>
      </c>
      <c r="C387" t="s">
        <v>45</v>
      </c>
      <c r="D387" t="s">
        <v>1644</v>
      </c>
      <c r="E387" s="102">
        <v>1.2572916666666667</v>
      </c>
      <c r="F387" s="101">
        <v>5912.9177120866825</v>
      </c>
      <c r="G387" s="102">
        <v>0.10287640668623231</v>
      </c>
      <c r="H387" s="101">
        <v>1415.773610661395</v>
      </c>
      <c r="I387" s="101">
        <v>412.84849880632885</v>
      </c>
      <c r="J387" s="101"/>
      <c r="K387" s="233" t="str">
        <f>VLOOKUP(Broadcast_BASE[[#This Row],[Broadcast Market]],Continent_Look_Up[],2,FALSE)</f>
        <v>Digital</v>
      </c>
      <c r="L387" t="str">
        <f>IF(OR(Broadcast_BASE[[#This Row],[Broadcast Continent]]="Digital",Broadcast_BASE[[#This Row],[Programme Type]]="Digital"),"Y","N")</f>
        <v>Y</v>
      </c>
      <c r="M387" s="4" t="str">
        <f>IF(ISNUMBER(SEARCH("Pan ",Broadcast_BASE[[#This Row],[Broadcast Market]]))=TRUE,"Y","N")</f>
        <v>N</v>
      </c>
      <c r="N387" t="str">
        <f>VLOOKUP(CONCATENATE(Broadcast_BASE[[#This Row],[Broadcast Market]],Broadcast_BASE[[#This Row],[Broadcaster]]),Table1[[CC]:[Pay TV vs. Free-to-Air]],3,FALSE)</f>
        <v>Digital</v>
      </c>
      <c r="O387" s="1" t="str">
        <f>VLOOKUP(CONCATENATE(Broadcast_BASE[[#This Row],[Broadcast Market]],Broadcast_BASE[[#This Row],[Broadcaster]]),Table1[[CC]:[Pay TV vs. Free-to-Air]],2,FALSE)</f>
        <v>-</v>
      </c>
      <c r="P387" s="234">
        <f>Broadcast_BASE[[#This Row],[Rolex EXP]]*86400</f>
        <v>8888.5215376904725</v>
      </c>
      <c r="Q387" s="235" t="str">
        <f>IF(Broadcast_BASE[[#This Row],[Dashboard Rated?]]="No","N","Y")</f>
        <v>Y</v>
      </c>
      <c r="R387" s="236"/>
      <c r="S387" s="236"/>
    </row>
    <row r="388" spans="1:19" x14ac:dyDescent="0.25">
      <c r="A388" s="72" t="e">
        <f>#REF!</f>
        <v>#REF!</v>
      </c>
      <c r="B388" t="s">
        <v>45</v>
      </c>
      <c r="C388" t="s">
        <v>45</v>
      </c>
      <c r="D388" t="s">
        <v>1642</v>
      </c>
      <c r="E388" s="102">
        <v>0.78314814814814815</v>
      </c>
      <c r="F388" s="101">
        <v>119.45119081764038</v>
      </c>
      <c r="G388" s="102">
        <v>6.2095352544683013E-2</v>
      </c>
      <c r="H388" s="101">
        <v>12.836179691844716</v>
      </c>
      <c r="I388" s="101">
        <v>3.7027382879291628</v>
      </c>
      <c r="J388" s="101"/>
      <c r="K388" s="233" t="str">
        <f>VLOOKUP(Broadcast_BASE[[#This Row],[Broadcast Market]],Continent_Look_Up[],2,FALSE)</f>
        <v>Digital</v>
      </c>
      <c r="L388" t="str">
        <f>IF(OR(Broadcast_BASE[[#This Row],[Broadcast Continent]]="Digital",Broadcast_BASE[[#This Row],[Programme Type]]="Digital"),"Y","N")</f>
        <v>Y</v>
      </c>
      <c r="M388" s="4" t="str">
        <f>IF(ISNUMBER(SEARCH("Pan ",Broadcast_BASE[[#This Row],[Broadcast Market]]))=TRUE,"Y","N")</f>
        <v>N</v>
      </c>
      <c r="N388" t="str">
        <f>VLOOKUP(CONCATENATE(Broadcast_BASE[[#This Row],[Broadcast Market]],Broadcast_BASE[[#This Row],[Broadcaster]]),Table1[[CC]:[Pay TV vs. Free-to-Air]],3,FALSE)</f>
        <v>Digital</v>
      </c>
      <c r="O388" s="1" t="str">
        <f>VLOOKUP(CONCATENATE(Broadcast_BASE[[#This Row],[Broadcast Market]],Broadcast_BASE[[#This Row],[Broadcaster]]),Table1[[CC]:[Pay TV vs. Free-to-Air]],2,FALSE)</f>
        <v>-</v>
      </c>
      <c r="P388" s="234">
        <f>Broadcast_BASE[[#This Row],[Rolex EXP]]*86400</f>
        <v>5365.0384598606124</v>
      </c>
      <c r="Q388" s="235" t="str">
        <f>IF(Broadcast_BASE[[#This Row],[Dashboard Rated?]]="No","N","Y")</f>
        <v>Y</v>
      </c>
      <c r="R388" s="236"/>
      <c r="S388" s="236"/>
    </row>
    <row r="389" spans="1:19" x14ac:dyDescent="0.25">
      <c r="A389" s="72" t="e">
        <f>#REF!</f>
        <v>#REF!</v>
      </c>
      <c r="B389" t="s">
        <v>45</v>
      </c>
      <c r="C389" t="s">
        <v>45</v>
      </c>
      <c r="D389" t="s">
        <v>1643</v>
      </c>
      <c r="E389" s="102">
        <v>3.1011689814814818</v>
      </c>
      <c r="F389" s="101">
        <v>9385.7518036833153</v>
      </c>
      <c r="G389" s="102">
        <v>0.25564657347835579</v>
      </c>
      <c r="H389" s="101">
        <v>2112.3455654743098</v>
      </c>
      <c r="I389" s="101">
        <v>636.19404515901067</v>
      </c>
      <c r="J389" s="101"/>
      <c r="K389" s="233" t="str">
        <f>VLOOKUP(Broadcast_BASE[[#This Row],[Broadcast Market]],Continent_Look_Up[],2,FALSE)</f>
        <v>Digital</v>
      </c>
      <c r="L389" t="str">
        <f>IF(OR(Broadcast_BASE[[#This Row],[Broadcast Continent]]="Digital",Broadcast_BASE[[#This Row],[Programme Type]]="Digital"),"Y","N")</f>
        <v>Y</v>
      </c>
      <c r="M389" s="4" t="str">
        <f>IF(ISNUMBER(SEARCH("Pan ",Broadcast_BASE[[#This Row],[Broadcast Market]]))=TRUE,"Y","N")</f>
        <v>N</v>
      </c>
      <c r="N389" t="str">
        <f>VLOOKUP(CONCATENATE(Broadcast_BASE[[#This Row],[Broadcast Market]],Broadcast_BASE[[#This Row],[Broadcaster]]),Table1[[CC]:[Pay TV vs. Free-to-Air]],3,FALSE)</f>
        <v>Digital</v>
      </c>
      <c r="O389" s="1" t="str">
        <f>VLOOKUP(CONCATENATE(Broadcast_BASE[[#This Row],[Broadcast Market]],Broadcast_BASE[[#This Row],[Broadcaster]]),Table1[[CC]:[Pay TV vs. Free-to-Air]],2,FALSE)</f>
        <v>-</v>
      </c>
      <c r="P389" s="234">
        <f>Broadcast_BASE[[#This Row],[Rolex EXP]]*86400</f>
        <v>22087.863948529939</v>
      </c>
      <c r="Q389" s="235" t="str">
        <f>IF(Broadcast_BASE[[#This Row],[Dashboard Rated?]]="No","N","Y")</f>
        <v>Y</v>
      </c>
      <c r="R389" s="236"/>
      <c r="S389" s="236"/>
    </row>
    <row r="390" spans="1:19" x14ac:dyDescent="0.25">
      <c r="A390" s="72" t="e">
        <f>#REF!</f>
        <v>#REF!</v>
      </c>
      <c r="B390" t="s">
        <v>45</v>
      </c>
      <c r="C390" t="s">
        <v>45</v>
      </c>
      <c r="D390" t="s">
        <v>1644</v>
      </c>
      <c r="E390" s="102">
        <v>2.4179629629629633</v>
      </c>
      <c r="F390" s="101">
        <v>3144.5986699117911</v>
      </c>
      <c r="G390" s="102">
        <v>0.18174330250067053</v>
      </c>
      <c r="H390" s="101">
        <v>554.82711913498963</v>
      </c>
      <c r="I390" s="101">
        <v>157.34666028653288</v>
      </c>
      <c r="J390" s="101"/>
      <c r="K390" s="233" t="str">
        <f>VLOOKUP(Broadcast_BASE[[#This Row],[Broadcast Market]],Continent_Look_Up[],2,FALSE)</f>
        <v>Digital</v>
      </c>
      <c r="L390" t="str">
        <f>IF(OR(Broadcast_BASE[[#This Row],[Broadcast Continent]]="Digital",Broadcast_BASE[[#This Row],[Programme Type]]="Digital"),"Y","N")</f>
        <v>Y</v>
      </c>
      <c r="M390" s="4" t="str">
        <f>IF(ISNUMBER(SEARCH("Pan ",Broadcast_BASE[[#This Row],[Broadcast Market]]))=TRUE,"Y","N")</f>
        <v>N</v>
      </c>
      <c r="N390" t="str">
        <f>VLOOKUP(CONCATENATE(Broadcast_BASE[[#This Row],[Broadcast Market]],Broadcast_BASE[[#This Row],[Broadcaster]]),Table1[[CC]:[Pay TV vs. Free-to-Air]],3,FALSE)</f>
        <v>Digital</v>
      </c>
      <c r="O390" s="1" t="str">
        <f>VLOOKUP(CONCATENATE(Broadcast_BASE[[#This Row],[Broadcast Market]],Broadcast_BASE[[#This Row],[Broadcaster]]),Table1[[CC]:[Pay TV vs. Free-to-Air]],2,FALSE)</f>
        <v>-</v>
      </c>
      <c r="P390" s="234">
        <f>Broadcast_BASE[[#This Row],[Rolex EXP]]*86400</f>
        <v>15702.621336057933</v>
      </c>
      <c r="Q390" s="235" t="str">
        <f>IF(Broadcast_BASE[[#This Row],[Dashboard Rated?]]="No","N","Y")</f>
        <v>Y</v>
      </c>
      <c r="R390" s="236"/>
      <c r="S390" s="236"/>
    </row>
    <row r="391" spans="1:19" x14ac:dyDescent="0.25">
      <c r="A391" s="72" t="e">
        <f>#REF!</f>
        <v>#REF!</v>
      </c>
      <c r="B391" t="s">
        <v>45</v>
      </c>
      <c r="C391" t="s">
        <v>45</v>
      </c>
      <c r="D391" t="s">
        <v>1643</v>
      </c>
      <c r="E391" s="102">
        <v>0.20078703703703704</v>
      </c>
      <c r="F391" s="101">
        <v>16773.395800854792</v>
      </c>
      <c r="G391" s="102">
        <v>1.1787793026503708E-2</v>
      </c>
      <c r="H391" s="101">
        <v>3956.061374253723</v>
      </c>
      <c r="I391" s="101">
        <v>1164.5606067526853</v>
      </c>
      <c r="J391" s="101"/>
      <c r="K391" s="233" t="str">
        <f>VLOOKUP(Broadcast_BASE[[#This Row],[Broadcast Market]],Continent_Look_Up[],2,FALSE)</f>
        <v>Digital</v>
      </c>
      <c r="L391" t="str">
        <f>IF(OR(Broadcast_BASE[[#This Row],[Broadcast Continent]]="Digital",Broadcast_BASE[[#This Row],[Programme Type]]="Digital"),"Y","N")</f>
        <v>Y</v>
      </c>
      <c r="M391" s="4" t="str">
        <f>IF(ISNUMBER(SEARCH("Pan ",Broadcast_BASE[[#This Row],[Broadcast Market]]))=TRUE,"Y","N")</f>
        <v>N</v>
      </c>
      <c r="N391" t="str">
        <f>VLOOKUP(CONCATENATE(Broadcast_BASE[[#This Row],[Broadcast Market]],Broadcast_BASE[[#This Row],[Broadcaster]]),Table1[[CC]:[Pay TV vs. Free-to-Air]],3,FALSE)</f>
        <v>Digital</v>
      </c>
      <c r="O391" s="1" t="str">
        <f>VLOOKUP(CONCATENATE(Broadcast_BASE[[#This Row],[Broadcast Market]],Broadcast_BASE[[#This Row],[Broadcaster]]),Table1[[CC]:[Pay TV vs. Free-to-Air]],2,FALSE)</f>
        <v>-</v>
      </c>
      <c r="P391" s="234">
        <f>Broadcast_BASE[[#This Row],[Rolex EXP]]*86400</f>
        <v>1018.4653174899204</v>
      </c>
      <c r="Q391" s="235" t="str">
        <f>IF(Broadcast_BASE[[#This Row],[Dashboard Rated?]]="No","N","Y")</f>
        <v>Y</v>
      </c>
      <c r="R391" s="236"/>
      <c r="S391" s="236"/>
    </row>
    <row r="392" spans="1:19" x14ac:dyDescent="0.25">
      <c r="A392" s="72" t="e">
        <f>#REF!</f>
        <v>#REF!</v>
      </c>
      <c r="B392" t="s">
        <v>45</v>
      </c>
      <c r="C392" t="s">
        <v>45</v>
      </c>
      <c r="D392" t="s">
        <v>1642</v>
      </c>
      <c r="E392" s="102">
        <v>0.97916666666666663</v>
      </c>
      <c r="F392" s="101">
        <v>8021.7971197767656</v>
      </c>
      <c r="G392" s="102">
        <v>6.0216406041846172E-2</v>
      </c>
      <c r="H392" s="101">
        <v>759.22521065706746</v>
      </c>
      <c r="I392" s="101">
        <v>210.69478038700694</v>
      </c>
      <c r="J392" s="101"/>
      <c r="K392" s="233" t="str">
        <f>VLOOKUP(Broadcast_BASE[[#This Row],[Broadcast Market]],Continent_Look_Up[],2,FALSE)</f>
        <v>Digital</v>
      </c>
      <c r="L392" t="str">
        <f>IF(OR(Broadcast_BASE[[#This Row],[Broadcast Continent]]="Digital",Broadcast_BASE[[#This Row],[Programme Type]]="Digital"),"Y","N")</f>
        <v>Y</v>
      </c>
      <c r="M392" s="4" t="str">
        <f>IF(ISNUMBER(SEARCH("Pan ",Broadcast_BASE[[#This Row],[Broadcast Market]]))=TRUE,"Y","N")</f>
        <v>N</v>
      </c>
      <c r="N392" t="str">
        <f>VLOOKUP(CONCATENATE(Broadcast_BASE[[#This Row],[Broadcast Market]],Broadcast_BASE[[#This Row],[Broadcaster]]),Table1[[CC]:[Pay TV vs. Free-to-Air]],3,FALSE)</f>
        <v>Digital</v>
      </c>
      <c r="O392" s="1" t="str">
        <f>VLOOKUP(CONCATENATE(Broadcast_BASE[[#This Row],[Broadcast Market]],Broadcast_BASE[[#This Row],[Broadcaster]]),Table1[[CC]:[Pay TV vs. Free-to-Air]],2,FALSE)</f>
        <v>-</v>
      </c>
      <c r="P392" s="234">
        <f>Broadcast_BASE[[#This Row],[Rolex EXP]]*86400</f>
        <v>5202.6974820155092</v>
      </c>
      <c r="Q392" s="235" t="str">
        <f>IF(Broadcast_BASE[[#This Row],[Dashboard Rated?]]="No","N","Y")</f>
        <v>Y</v>
      </c>
      <c r="R392" s="236"/>
      <c r="S392" s="236"/>
    </row>
    <row r="393" spans="1:19" x14ac:dyDescent="0.25">
      <c r="A393" s="72" t="e">
        <f>#REF!</f>
        <v>#REF!</v>
      </c>
      <c r="B393" t="s">
        <v>45</v>
      </c>
      <c r="C393" t="s">
        <v>45</v>
      </c>
      <c r="D393" t="s">
        <v>1643</v>
      </c>
      <c r="E393" s="102">
        <v>6.2222222222222223</v>
      </c>
      <c r="F393" s="101">
        <v>104409.8211607358</v>
      </c>
      <c r="G393" s="102">
        <v>0.40117112229878987</v>
      </c>
      <c r="H393" s="101">
        <v>19912.432831199654</v>
      </c>
      <c r="I393" s="101">
        <v>5600.8958159376061</v>
      </c>
      <c r="J393" s="101"/>
      <c r="K393" s="233" t="str">
        <f>VLOOKUP(Broadcast_BASE[[#This Row],[Broadcast Market]],Continent_Look_Up[],2,FALSE)</f>
        <v>Digital</v>
      </c>
      <c r="L393" t="str">
        <f>IF(OR(Broadcast_BASE[[#This Row],[Broadcast Continent]]="Digital",Broadcast_BASE[[#This Row],[Programme Type]]="Digital"),"Y","N")</f>
        <v>Y</v>
      </c>
      <c r="M393" s="4" t="str">
        <f>IF(ISNUMBER(SEARCH("Pan ",Broadcast_BASE[[#This Row],[Broadcast Market]]))=TRUE,"Y","N")</f>
        <v>N</v>
      </c>
      <c r="N393" t="str">
        <f>VLOOKUP(CONCATENATE(Broadcast_BASE[[#This Row],[Broadcast Market]],Broadcast_BASE[[#This Row],[Broadcaster]]),Table1[[CC]:[Pay TV vs. Free-to-Air]],3,FALSE)</f>
        <v>Digital</v>
      </c>
      <c r="O393" s="1" t="str">
        <f>VLOOKUP(CONCATENATE(Broadcast_BASE[[#This Row],[Broadcast Market]],Broadcast_BASE[[#This Row],[Broadcaster]]),Table1[[CC]:[Pay TV vs. Free-to-Air]],2,FALSE)</f>
        <v>-</v>
      </c>
      <c r="P393" s="234">
        <f>Broadcast_BASE[[#This Row],[Rolex EXP]]*86400</f>
        <v>34661.184966615445</v>
      </c>
      <c r="Q393" s="235" t="str">
        <f>IF(Broadcast_BASE[[#This Row],[Dashboard Rated?]]="No","N","Y")</f>
        <v>Y</v>
      </c>
      <c r="R393" s="236"/>
      <c r="S393" s="236"/>
    </row>
    <row r="394" spans="1:19" x14ac:dyDescent="0.25">
      <c r="A394" s="72" t="e">
        <f>#REF!</f>
        <v>#REF!</v>
      </c>
      <c r="B394" t="s">
        <v>45</v>
      </c>
      <c r="C394" t="s">
        <v>45</v>
      </c>
      <c r="D394" t="s">
        <v>1644</v>
      </c>
      <c r="E394" s="102">
        <v>1.9124999999999999</v>
      </c>
      <c r="F394" s="101">
        <v>9600.2329817237187</v>
      </c>
      <c r="G394" s="102">
        <v>0.11714997766764061</v>
      </c>
      <c r="H394" s="101">
        <v>1465.241109615398</v>
      </c>
      <c r="I394" s="101">
        <v>406.8011084764675</v>
      </c>
      <c r="J394" s="101"/>
      <c r="K394" s="233" t="str">
        <f>VLOOKUP(Broadcast_BASE[[#This Row],[Broadcast Market]],Continent_Look_Up[],2,FALSE)</f>
        <v>Digital</v>
      </c>
      <c r="L394" t="str">
        <f>IF(OR(Broadcast_BASE[[#This Row],[Broadcast Continent]]="Digital",Broadcast_BASE[[#This Row],[Programme Type]]="Digital"),"Y","N")</f>
        <v>Y</v>
      </c>
      <c r="M394" s="4" t="str">
        <f>IF(ISNUMBER(SEARCH("Pan ",Broadcast_BASE[[#This Row],[Broadcast Market]]))=TRUE,"Y","N")</f>
        <v>N</v>
      </c>
      <c r="N394" t="str">
        <f>VLOOKUP(CONCATENATE(Broadcast_BASE[[#This Row],[Broadcast Market]],Broadcast_BASE[[#This Row],[Broadcaster]]),Table1[[CC]:[Pay TV vs. Free-to-Air]],3,FALSE)</f>
        <v>Digital</v>
      </c>
      <c r="O394" s="1" t="str">
        <f>VLOOKUP(CONCATENATE(Broadcast_BASE[[#This Row],[Broadcast Market]],Broadcast_BASE[[#This Row],[Broadcaster]]),Table1[[CC]:[Pay TV vs. Free-to-Air]],2,FALSE)</f>
        <v>-</v>
      </c>
      <c r="P394" s="234">
        <f>Broadcast_BASE[[#This Row],[Rolex EXP]]*86400</f>
        <v>10121.758070484149</v>
      </c>
      <c r="Q394" s="235" t="str">
        <f>IF(Broadcast_BASE[[#This Row],[Dashboard Rated?]]="No","N","Y")</f>
        <v>Y</v>
      </c>
      <c r="R394" s="236"/>
      <c r="S394" s="236"/>
    </row>
    <row r="395" spans="1:19" x14ac:dyDescent="0.25">
      <c r="A395" s="72" t="e">
        <f>#REF!</f>
        <v>#REF!</v>
      </c>
      <c r="B395" t="s">
        <v>45</v>
      </c>
      <c r="C395" t="s">
        <v>45</v>
      </c>
      <c r="D395" t="s">
        <v>1642</v>
      </c>
      <c r="E395" s="102">
        <v>1.1145833333333333</v>
      </c>
      <c r="F395" s="101">
        <v>10226.561377693077</v>
      </c>
      <c r="G395" s="102">
        <v>6.8273679795411518E-2</v>
      </c>
      <c r="H395" s="101">
        <v>1029.279254295343</v>
      </c>
      <c r="I395" s="101">
        <v>285.76316814444436</v>
      </c>
      <c r="J395" s="101"/>
      <c r="K395" s="233" t="str">
        <f>VLOOKUP(Broadcast_BASE[[#This Row],[Broadcast Market]],Continent_Look_Up[],2,FALSE)</f>
        <v>Digital</v>
      </c>
      <c r="L395" t="str">
        <f>IF(OR(Broadcast_BASE[[#This Row],[Broadcast Continent]]="Digital",Broadcast_BASE[[#This Row],[Programme Type]]="Digital"),"Y","N")</f>
        <v>Y</v>
      </c>
      <c r="M395" s="4" t="str">
        <f>IF(ISNUMBER(SEARCH("Pan ",Broadcast_BASE[[#This Row],[Broadcast Market]]))=TRUE,"Y","N")</f>
        <v>N</v>
      </c>
      <c r="N395" t="str">
        <f>VLOOKUP(CONCATENATE(Broadcast_BASE[[#This Row],[Broadcast Market]],Broadcast_BASE[[#This Row],[Broadcaster]]),Table1[[CC]:[Pay TV vs. Free-to-Air]],3,FALSE)</f>
        <v>Digital</v>
      </c>
      <c r="O395" s="1" t="str">
        <f>VLOOKUP(CONCATENATE(Broadcast_BASE[[#This Row],[Broadcast Market]],Broadcast_BASE[[#This Row],[Broadcaster]]),Table1[[CC]:[Pay TV vs. Free-to-Air]],2,FALSE)</f>
        <v>-</v>
      </c>
      <c r="P395" s="234">
        <f>Broadcast_BASE[[#This Row],[Rolex EXP]]*86400</f>
        <v>5898.8459343235554</v>
      </c>
      <c r="Q395" s="235" t="str">
        <f>IF(Broadcast_BASE[[#This Row],[Dashboard Rated?]]="No","N","Y")</f>
        <v>Y</v>
      </c>
      <c r="R395" s="236"/>
      <c r="S395" s="236"/>
    </row>
    <row r="396" spans="1:19" x14ac:dyDescent="0.25">
      <c r="A396" s="72" t="e">
        <f>#REF!</f>
        <v>#REF!</v>
      </c>
      <c r="B396" t="s">
        <v>45</v>
      </c>
      <c r="C396" t="s">
        <v>45</v>
      </c>
      <c r="D396" t="s">
        <v>1643</v>
      </c>
      <c r="E396" s="102">
        <v>4.0625</v>
      </c>
      <c r="F396" s="101">
        <v>76596.959997777085</v>
      </c>
      <c r="G396" s="102">
        <v>0.24884799177766814</v>
      </c>
      <c r="H396" s="101">
        <v>15266.142964079932</v>
      </c>
      <c r="I396" s="101">
        <v>4238.4040682410478</v>
      </c>
      <c r="J396" s="101"/>
      <c r="K396" s="233" t="str">
        <f>VLOOKUP(Broadcast_BASE[[#This Row],[Broadcast Market]],Continent_Look_Up[],2,FALSE)</f>
        <v>Digital</v>
      </c>
      <c r="L396" t="str">
        <f>IF(OR(Broadcast_BASE[[#This Row],[Broadcast Continent]]="Digital",Broadcast_BASE[[#This Row],[Programme Type]]="Digital"),"Y","N")</f>
        <v>Y</v>
      </c>
      <c r="M396" s="4" t="str">
        <f>IF(ISNUMBER(SEARCH("Pan ",Broadcast_BASE[[#This Row],[Broadcast Market]]))=TRUE,"Y","N")</f>
        <v>N</v>
      </c>
      <c r="N396" t="str">
        <f>VLOOKUP(CONCATENATE(Broadcast_BASE[[#This Row],[Broadcast Market]],Broadcast_BASE[[#This Row],[Broadcaster]]),Table1[[CC]:[Pay TV vs. Free-to-Air]],3,FALSE)</f>
        <v>Digital</v>
      </c>
      <c r="O396" s="1" t="str">
        <f>VLOOKUP(CONCATENATE(Broadcast_BASE[[#This Row],[Broadcast Market]],Broadcast_BASE[[#This Row],[Broadcaster]]),Table1[[CC]:[Pay TV vs. Free-to-Air]],2,FALSE)</f>
        <v>-</v>
      </c>
      <c r="P396" s="234">
        <f>Broadcast_BASE[[#This Row],[Rolex EXP]]*86400</f>
        <v>21500.466489590526</v>
      </c>
      <c r="Q396" s="235" t="str">
        <f>IF(Broadcast_BASE[[#This Row],[Dashboard Rated?]]="No","N","Y")</f>
        <v>Y</v>
      </c>
      <c r="R396" s="236"/>
      <c r="S396" s="236"/>
    </row>
    <row r="397" spans="1:19" x14ac:dyDescent="0.25">
      <c r="A397" s="72" t="e">
        <f>#REF!</f>
        <v>#REF!</v>
      </c>
      <c r="B397" t="s">
        <v>45</v>
      </c>
      <c r="C397" t="s">
        <v>45</v>
      </c>
      <c r="D397" t="s">
        <v>1644</v>
      </c>
      <c r="E397" s="102">
        <v>1.3576388888888891</v>
      </c>
      <c r="F397" s="101">
        <v>8429.1523622039585</v>
      </c>
      <c r="G397" s="102">
        <v>8.3162021183819004E-2</v>
      </c>
      <c r="H397" s="101">
        <v>1279.6238892793815</v>
      </c>
      <c r="I397" s="101">
        <v>355.26741174253368</v>
      </c>
      <c r="J397" s="101"/>
      <c r="K397" s="233" t="str">
        <f>VLOOKUP(Broadcast_BASE[[#This Row],[Broadcast Market]],Continent_Look_Up[],2,FALSE)</f>
        <v>Digital</v>
      </c>
      <c r="L397" t="str">
        <f>IF(OR(Broadcast_BASE[[#This Row],[Broadcast Continent]]="Digital",Broadcast_BASE[[#This Row],[Programme Type]]="Digital"),"Y","N")</f>
        <v>Y</v>
      </c>
      <c r="M397" s="4" t="str">
        <f>IF(ISNUMBER(SEARCH("Pan ",Broadcast_BASE[[#This Row],[Broadcast Market]]))=TRUE,"Y","N")</f>
        <v>N</v>
      </c>
      <c r="N397" t="str">
        <f>VLOOKUP(CONCATENATE(Broadcast_BASE[[#This Row],[Broadcast Market]],Broadcast_BASE[[#This Row],[Broadcaster]]),Table1[[CC]:[Pay TV vs. Free-to-Air]],3,FALSE)</f>
        <v>Digital</v>
      </c>
      <c r="O397" s="1" t="str">
        <f>VLOOKUP(CONCATENATE(Broadcast_BASE[[#This Row],[Broadcast Market]],Broadcast_BASE[[#This Row],[Broadcaster]]),Table1[[CC]:[Pay TV vs. Free-to-Air]],2,FALSE)</f>
        <v>-</v>
      </c>
      <c r="P397" s="234">
        <f>Broadcast_BASE[[#This Row],[Rolex EXP]]*86400</f>
        <v>7185.1986302819623</v>
      </c>
      <c r="Q397" s="235" t="str">
        <f>IF(Broadcast_BASE[[#This Row],[Dashboard Rated?]]="No","N","Y")</f>
        <v>Y</v>
      </c>
      <c r="R397" s="236"/>
      <c r="S397" s="236"/>
    </row>
    <row r="398" spans="1:19" x14ac:dyDescent="0.25">
      <c r="A398" s="72" t="e">
        <f>#REF!</f>
        <v>#REF!</v>
      </c>
      <c r="B398" t="s">
        <v>45</v>
      </c>
      <c r="C398" t="s">
        <v>45</v>
      </c>
      <c r="D398" t="s">
        <v>1643</v>
      </c>
      <c r="E398" s="102">
        <v>6.5694444444444438</v>
      </c>
      <c r="F398" s="101">
        <v>82149</v>
      </c>
      <c r="G398" s="102">
        <v>0.42219400197905926</v>
      </c>
      <c r="H398" s="101">
        <v>74625.198818595862</v>
      </c>
      <c r="I398" s="101">
        <v>21002.987694975549</v>
      </c>
      <c r="J398" s="101"/>
      <c r="K398" s="233" t="str">
        <f>VLOOKUP(Broadcast_BASE[[#This Row],[Broadcast Market]],Continent_Look_Up[],2,FALSE)</f>
        <v>Digital</v>
      </c>
      <c r="L398" t="str">
        <f>IF(OR(Broadcast_BASE[[#This Row],[Broadcast Continent]]="Digital",Broadcast_BASE[[#This Row],[Programme Type]]="Digital"),"Y","N")</f>
        <v>Y</v>
      </c>
      <c r="M398" s="4" t="str">
        <f>IF(ISNUMBER(SEARCH("Pan ",Broadcast_BASE[[#This Row],[Broadcast Market]]))=TRUE,"Y","N")</f>
        <v>N</v>
      </c>
      <c r="N398" t="str">
        <f>VLOOKUP(CONCATENATE(Broadcast_BASE[[#This Row],[Broadcast Market]],Broadcast_BASE[[#This Row],[Broadcaster]]),Table1[[CC]:[Pay TV vs. Free-to-Air]],3,FALSE)</f>
        <v>Digital</v>
      </c>
      <c r="O398" s="1" t="str">
        <f>VLOOKUP(CONCATENATE(Broadcast_BASE[[#This Row],[Broadcast Market]],Broadcast_BASE[[#This Row],[Broadcaster]]),Table1[[CC]:[Pay TV vs. Free-to-Air]],2,FALSE)</f>
        <v>-</v>
      </c>
      <c r="P398" s="234">
        <f>Broadcast_BASE[[#This Row],[Rolex EXP]]*86400</f>
        <v>36477.561770990724</v>
      </c>
      <c r="Q398" s="235" t="str">
        <f>IF(Broadcast_BASE[[#This Row],[Dashboard Rated?]]="No","N","Y")</f>
        <v>Y</v>
      </c>
      <c r="R398" s="236"/>
      <c r="S398" s="236"/>
    </row>
    <row r="399" spans="1:19" x14ac:dyDescent="0.25">
      <c r="A399" s="72" t="e">
        <f>#REF!</f>
        <v>#REF!</v>
      </c>
      <c r="B399" t="s">
        <v>45</v>
      </c>
      <c r="C399" t="s">
        <v>45</v>
      </c>
      <c r="D399" t="s">
        <v>1642</v>
      </c>
      <c r="E399" s="102">
        <v>0.98739583333333325</v>
      </c>
      <c r="F399" s="101">
        <v>388341.66578418709</v>
      </c>
      <c r="G399" s="102">
        <v>7.2479690409478326E-2</v>
      </c>
      <c r="H399" s="101">
        <v>22831.837939895035</v>
      </c>
      <c r="I399" s="101">
        <v>6473.8671542634447</v>
      </c>
      <c r="J399" s="101"/>
      <c r="K399" s="233" t="str">
        <f>VLOOKUP(Broadcast_BASE[[#This Row],[Broadcast Market]],Continent_Look_Up[],2,FALSE)</f>
        <v>Digital</v>
      </c>
      <c r="L399" t="str">
        <f>IF(OR(Broadcast_BASE[[#This Row],[Broadcast Continent]]="Digital",Broadcast_BASE[[#This Row],[Programme Type]]="Digital"),"Y","N")</f>
        <v>Y</v>
      </c>
      <c r="M399" s="4" t="str">
        <f>IF(ISNUMBER(SEARCH("Pan ",Broadcast_BASE[[#This Row],[Broadcast Market]]))=TRUE,"Y","N")</f>
        <v>N</v>
      </c>
      <c r="N399" t="str">
        <f>VLOOKUP(CONCATENATE(Broadcast_BASE[[#This Row],[Broadcast Market]],Broadcast_BASE[[#This Row],[Broadcaster]]),Table1[[CC]:[Pay TV vs. Free-to-Air]],3,FALSE)</f>
        <v>Digital</v>
      </c>
      <c r="O399" s="1" t="str">
        <f>VLOOKUP(CONCATENATE(Broadcast_BASE[[#This Row],[Broadcast Market]],Broadcast_BASE[[#This Row],[Broadcaster]]),Table1[[CC]:[Pay TV vs. Free-to-Air]],2,FALSE)</f>
        <v>-</v>
      </c>
      <c r="P399" s="234">
        <f>Broadcast_BASE[[#This Row],[Rolex EXP]]*86400</f>
        <v>6262.2452513789276</v>
      </c>
      <c r="Q399" s="235" t="str">
        <f>IF(Broadcast_BASE[[#This Row],[Dashboard Rated?]]="No","N","Y")</f>
        <v>Y</v>
      </c>
      <c r="R399" s="236"/>
      <c r="S399" s="236"/>
    </row>
    <row r="400" spans="1:19" x14ac:dyDescent="0.25">
      <c r="A400" s="72" t="e">
        <f>#REF!</f>
        <v>#REF!</v>
      </c>
      <c r="B400" t="s">
        <v>45</v>
      </c>
      <c r="C400" t="s">
        <v>45</v>
      </c>
      <c r="D400" t="s">
        <v>1643</v>
      </c>
      <c r="E400" s="102">
        <v>5.3803819444444443</v>
      </c>
      <c r="F400" s="101">
        <v>2180154.9666945683</v>
      </c>
      <c r="G400" s="102">
        <v>0.43235285310135046</v>
      </c>
      <c r="H400" s="101">
        <v>527865.88945433579</v>
      </c>
      <c r="I400" s="101">
        <v>151373.12535115721</v>
      </c>
      <c r="J400" s="101"/>
      <c r="K400" s="233" t="str">
        <f>VLOOKUP(Broadcast_BASE[[#This Row],[Broadcast Market]],Continent_Look_Up[],2,FALSE)</f>
        <v>Digital</v>
      </c>
      <c r="L400" t="str">
        <f>IF(OR(Broadcast_BASE[[#This Row],[Broadcast Continent]]="Digital",Broadcast_BASE[[#This Row],[Programme Type]]="Digital"),"Y","N")</f>
        <v>Y</v>
      </c>
      <c r="M400" s="4" t="str">
        <f>IF(ISNUMBER(SEARCH("Pan ",Broadcast_BASE[[#This Row],[Broadcast Market]]))=TRUE,"Y","N")</f>
        <v>N</v>
      </c>
      <c r="N400" t="str">
        <f>VLOOKUP(CONCATENATE(Broadcast_BASE[[#This Row],[Broadcast Market]],Broadcast_BASE[[#This Row],[Broadcaster]]),Table1[[CC]:[Pay TV vs. Free-to-Air]],3,FALSE)</f>
        <v>Digital</v>
      </c>
      <c r="O400" s="1" t="str">
        <f>VLOOKUP(CONCATENATE(Broadcast_BASE[[#This Row],[Broadcast Market]],Broadcast_BASE[[#This Row],[Broadcaster]]),Table1[[CC]:[Pay TV vs. Free-to-Air]],2,FALSE)</f>
        <v>-</v>
      </c>
      <c r="P400" s="234">
        <f>Broadcast_BASE[[#This Row],[Rolex EXP]]*86400</f>
        <v>37355.286507956684</v>
      </c>
      <c r="Q400" s="235" t="str">
        <f>IF(Broadcast_BASE[[#This Row],[Dashboard Rated?]]="No","N","Y")</f>
        <v>Y</v>
      </c>
      <c r="R400" s="236"/>
      <c r="S400" s="236"/>
    </row>
    <row r="401" spans="1:19" x14ac:dyDescent="0.25">
      <c r="A401" s="72" t="e">
        <f>#REF!</f>
        <v>#REF!</v>
      </c>
      <c r="B401" t="s">
        <v>45</v>
      </c>
      <c r="C401" t="s">
        <v>45</v>
      </c>
      <c r="D401" t="s">
        <v>1644</v>
      </c>
      <c r="E401" s="102">
        <v>1.4276273148148146</v>
      </c>
      <c r="F401" s="101">
        <v>197959.60887189172</v>
      </c>
      <c r="G401" s="102">
        <v>0.10829109740960213</v>
      </c>
      <c r="H401" s="101">
        <v>31562.522447989079</v>
      </c>
      <c r="I401" s="101">
        <v>9278.4175500039928</v>
      </c>
      <c r="J401" s="101"/>
      <c r="K401" s="233" t="str">
        <f>VLOOKUP(Broadcast_BASE[[#This Row],[Broadcast Market]],Continent_Look_Up[],2,FALSE)</f>
        <v>Digital</v>
      </c>
      <c r="L401" t="str">
        <f>IF(OR(Broadcast_BASE[[#This Row],[Broadcast Continent]]="Digital",Broadcast_BASE[[#This Row],[Programme Type]]="Digital"),"Y","N")</f>
        <v>Y</v>
      </c>
      <c r="M401" s="4" t="str">
        <f>IF(ISNUMBER(SEARCH("Pan ",Broadcast_BASE[[#This Row],[Broadcast Market]]))=TRUE,"Y","N")</f>
        <v>N</v>
      </c>
      <c r="N401" t="str">
        <f>VLOOKUP(CONCATENATE(Broadcast_BASE[[#This Row],[Broadcast Market]],Broadcast_BASE[[#This Row],[Broadcaster]]),Table1[[CC]:[Pay TV vs. Free-to-Air]],3,FALSE)</f>
        <v>Digital</v>
      </c>
      <c r="O401" s="1" t="str">
        <f>VLOOKUP(CONCATENATE(Broadcast_BASE[[#This Row],[Broadcast Market]],Broadcast_BASE[[#This Row],[Broadcaster]]),Table1[[CC]:[Pay TV vs. Free-to-Air]],2,FALSE)</f>
        <v>-</v>
      </c>
      <c r="P401" s="234">
        <f>Broadcast_BASE[[#This Row],[Rolex EXP]]*86400</f>
        <v>9356.3508161896243</v>
      </c>
      <c r="Q401" s="235" t="str">
        <f>IF(Broadcast_BASE[[#This Row],[Dashboard Rated?]]="No","N","Y")</f>
        <v>Y</v>
      </c>
      <c r="R401" s="236"/>
      <c r="S401" s="236"/>
    </row>
    <row r="402" spans="1:19" x14ac:dyDescent="0.25">
      <c r="A402" s="72" t="e">
        <f>#REF!</f>
        <v>#REF!</v>
      </c>
      <c r="B402" t="s">
        <v>45</v>
      </c>
      <c r="C402" t="s">
        <v>45</v>
      </c>
      <c r="D402" t="s">
        <v>1642</v>
      </c>
      <c r="E402" s="102">
        <v>0.83843749999999995</v>
      </c>
      <c r="F402" s="101">
        <v>30443.509495814673</v>
      </c>
      <c r="G402" s="102">
        <v>6.5951216212620456E-2</v>
      </c>
      <c r="H402" s="101">
        <v>2685.720526344227</v>
      </c>
      <c r="I402" s="101">
        <v>767.90434687543404</v>
      </c>
      <c r="J402" s="101"/>
      <c r="K402" s="233" t="str">
        <f>VLOOKUP(Broadcast_BASE[[#This Row],[Broadcast Market]],Continent_Look_Up[],2,FALSE)</f>
        <v>Digital</v>
      </c>
      <c r="L402" t="str">
        <f>IF(OR(Broadcast_BASE[[#This Row],[Broadcast Continent]]="Digital",Broadcast_BASE[[#This Row],[Programme Type]]="Digital"),"Y","N")</f>
        <v>Y</v>
      </c>
      <c r="M402" s="4" t="str">
        <f>IF(ISNUMBER(SEARCH("Pan ",Broadcast_BASE[[#This Row],[Broadcast Market]]))=TRUE,"Y","N")</f>
        <v>N</v>
      </c>
      <c r="N402" t="str">
        <f>VLOOKUP(CONCATENATE(Broadcast_BASE[[#This Row],[Broadcast Market]],Broadcast_BASE[[#This Row],[Broadcaster]]),Table1[[CC]:[Pay TV vs. Free-to-Air]],3,FALSE)</f>
        <v>Digital</v>
      </c>
      <c r="O402" s="1" t="str">
        <f>VLOOKUP(CONCATENATE(Broadcast_BASE[[#This Row],[Broadcast Market]],Broadcast_BASE[[#This Row],[Broadcaster]]),Table1[[CC]:[Pay TV vs. Free-to-Air]],2,FALSE)</f>
        <v>-</v>
      </c>
      <c r="P402" s="234">
        <f>Broadcast_BASE[[#This Row],[Rolex EXP]]*86400</f>
        <v>5698.1850807704077</v>
      </c>
      <c r="Q402" s="235" t="str">
        <f>IF(Broadcast_BASE[[#This Row],[Dashboard Rated?]]="No","N","Y")</f>
        <v>Y</v>
      </c>
      <c r="R402" s="236"/>
      <c r="S402" s="236"/>
    </row>
    <row r="403" spans="1:19" x14ac:dyDescent="0.25">
      <c r="A403" s="72" t="e">
        <f>#REF!</f>
        <v>#REF!</v>
      </c>
      <c r="B403" t="s">
        <v>45</v>
      </c>
      <c r="C403" t="s">
        <v>45</v>
      </c>
      <c r="D403" t="s">
        <v>1643</v>
      </c>
      <c r="E403" s="102">
        <v>3.0458796296296295</v>
      </c>
      <c r="F403" s="101">
        <v>133433.69195869914</v>
      </c>
      <c r="G403" s="102">
        <v>0.2517907098104184</v>
      </c>
      <c r="H403" s="101">
        <v>34632.102630772133</v>
      </c>
      <c r="I403" s="101">
        <v>10392.047492639045</v>
      </c>
      <c r="J403" s="101"/>
      <c r="K403" s="233" t="str">
        <f>VLOOKUP(Broadcast_BASE[[#This Row],[Broadcast Market]],Continent_Look_Up[],2,FALSE)</f>
        <v>Digital</v>
      </c>
      <c r="L403" t="str">
        <f>IF(OR(Broadcast_BASE[[#This Row],[Broadcast Continent]]="Digital",Broadcast_BASE[[#This Row],[Programme Type]]="Digital"),"Y","N")</f>
        <v>Y</v>
      </c>
      <c r="M403" s="4" t="str">
        <f>IF(ISNUMBER(SEARCH("Pan ",Broadcast_BASE[[#This Row],[Broadcast Market]]))=TRUE,"Y","N")</f>
        <v>N</v>
      </c>
      <c r="N403" t="str">
        <f>VLOOKUP(CONCATENATE(Broadcast_BASE[[#This Row],[Broadcast Market]],Broadcast_BASE[[#This Row],[Broadcaster]]),Table1[[CC]:[Pay TV vs. Free-to-Air]],3,FALSE)</f>
        <v>Digital</v>
      </c>
      <c r="O403" s="1" t="str">
        <f>VLOOKUP(CONCATENATE(Broadcast_BASE[[#This Row],[Broadcast Market]],Broadcast_BASE[[#This Row],[Broadcaster]]),Table1[[CC]:[Pay TV vs. Free-to-Air]],2,FALSE)</f>
        <v>-</v>
      </c>
      <c r="P403" s="234">
        <f>Broadcast_BASE[[#This Row],[Rolex EXP]]*86400</f>
        <v>21754.71732762015</v>
      </c>
      <c r="Q403" s="235" t="str">
        <f>IF(Broadcast_BASE[[#This Row],[Dashboard Rated?]]="No","N","Y")</f>
        <v>Y</v>
      </c>
      <c r="R403" s="236"/>
      <c r="S403" s="236"/>
    </row>
    <row r="404" spans="1:19" x14ac:dyDescent="0.25">
      <c r="A404" s="72" t="e">
        <f>#REF!</f>
        <v>#REF!</v>
      </c>
      <c r="B404" t="s">
        <v>45</v>
      </c>
      <c r="C404" t="s">
        <v>45</v>
      </c>
      <c r="D404" t="s">
        <v>1644</v>
      </c>
      <c r="E404" s="102">
        <v>2.4179629629629633</v>
      </c>
      <c r="F404" s="101">
        <v>33736.165396256096</v>
      </c>
      <c r="G404" s="102">
        <v>0.18174330250067053</v>
      </c>
      <c r="H404" s="101">
        <v>5950.302023609499</v>
      </c>
      <c r="I404" s="101">
        <v>1687.3357677048796</v>
      </c>
      <c r="J404" s="101"/>
      <c r="K404" s="233" t="str">
        <f>VLOOKUP(Broadcast_BASE[[#This Row],[Broadcast Market]],Continent_Look_Up[],2,FALSE)</f>
        <v>Digital</v>
      </c>
      <c r="L404" t="str">
        <f>IF(OR(Broadcast_BASE[[#This Row],[Broadcast Continent]]="Digital",Broadcast_BASE[[#This Row],[Programme Type]]="Digital"),"Y","N")</f>
        <v>Y</v>
      </c>
      <c r="M404" s="4" t="str">
        <f>IF(ISNUMBER(SEARCH("Pan ",Broadcast_BASE[[#This Row],[Broadcast Market]]))=TRUE,"Y","N")</f>
        <v>N</v>
      </c>
      <c r="N404" t="str">
        <f>VLOOKUP(CONCATENATE(Broadcast_BASE[[#This Row],[Broadcast Market]],Broadcast_BASE[[#This Row],[Broadcaster]]),Table1[[CC]:[Pay TV vs. Free-to-Air]],3,FALSE)</f>
        <v>Digital</v>
      </c>
      <c r="O404" s="1" t="str">
        <f>VLOOKUP(CONCATENATE(Broadcast_BASE[[#This Row],[Broadcast Market]],Broadcast_BASE[[#This Row],[Broadcaster]]),Table1[[CC]:[Pay TV vs. Free-to-Air]],2,FALSE)</f>
        <v>-</v>
      </c>
      <c r="P404" s="234">
        <f>Broadcast_BASE[[#This Row],[Rolex EXP]]*86400</f>
        <v>15702.621336057933</v>
      </c>
      <c r="Q404" s="235" t="str">
        <f>IF(Broadcast_BASE[[#This Row],[Dashboard Rated?]]="No","N","Y")</f>
        <v>Y</v>
      </c>
      <c r="R404" s="236"/>
      <c r="S404" s="236"/>
    </row>
    <row r="405" spans="1:19" x14ac:dyDescent="0.25">
      <c r="A405" s="72" t="e">
        <f>#REF!</f>
        <v>#REF!</v>
      </c>
      <c r="B405" t="s">
        <v>45</v>
      </c>
      <c r="C405" t="s">
        <v>45</v>
      </c>
      <c r="D405" t="s">
        <v>1642</v>
      </c>
      <c r="E405" s="102">
        <v>2.75</v>
      </c>
      <c r="F405" s="101">
        <v>19131.581522267443</v>
      </c>
      <c r="G405" s="102">
        <v>0.17738967285543436</v>
      </c>
      <c r="H405" s="101">
        <v>1660.5260654995741</v>
      </c>
      <c r="I405" s="101">
        <v>468.98291481358933</v>
      </c>
      <c r="J405" s="101"/>
      <c r="K405" s="233" t="str">
        <f>VLOOKUP(Broadcast_BASE[[#This Row],[Broadcast Market]],Continent_Look_Up[],2,FALSE)</f>
        <v>Digital</v>
      </c>
      <c r="L405" t="str">
        <f>IF(OR(Broadcast_BASE[[#This Row],[Broadcast Continent]]="Digital",Broadcast_BASE[[#This Row],[Programme Type]]="Digital"),"Y","N")</f>
        <v>Y</v>
      </c>
      <c r="M405" s="4" t="str">
        <f>IF(ISNUMBER(SEARCH("Pan ",Broadcast_BASE[[#This Row],[Broadcast Market]]))=TRUE,"Y","N")</f>
        <v>N</v>
      </c>
      <c r="N405" t="str">
        <f>VLOOKUP(CONCATENATE(Broadcast_BASE[[#This Row],[Broadcast Market]],Broadcast_BASE[[#This Row],[Broadcaster]]),Table1[[CC]:[Pay TV vs. Free-to-Air]],3,FALSE)</f>
        <v>Digital</v>
      </c>
      <c r="O405" s="1" t="str">
        <f>VLOOKUP(CONCATENATE(Broadcast_BASE[[#This Row],[Broadcast Market]],Broadcast_BASE[[#This Row],[Broadcaster]]),Table1[[CC]:[Pay TV vs. Free-to-Air]],2,FALSE)</f>
        <v>-</v>
      </c>
      <c r="P405" s="234">
        <f>Broadcast_BASE[[#This Row],[Rolex EXP]]*86400</f>
        <v>15326.467734709529</v>
      </c>
      <c r="Q405" s="235" t="str">
        <f>IF(Broadcast_BASE[[#This Row],[Dashboard Rated?]]="No","N","Y")</f>
        <v>Y</v>
      </c>
      <c r="R405" s="236"/>
      <c r="S405" s="236"/>
    </row>
    <row r="406" spans="1:19" x14ac:dyDescent="0.25">
      <c r="A406" s="72" t="e">
        <f>#REF!</f>
        <v>#REF!</v>
      </c>
      <c r="B406" t="s">
        <v>45</v>
      </c>
      <c r="C406" t="s">
        <v>45</v>
      </c>
      <c r="D406" t="s">
        <v>1643</v>
      </c>
      <c r="E406" s="102">
        <v>4.6875</v>
      </c>
      <c r="F406" s="101">
        <v>9951.7004221535444</v>
      </c>
      <c r="G406" s="102">
        <v>0.28713229820500163</v>
      </c>
      <c r="H406" s="101">
        <v>8748.8310928421015</v>
      </c>
      <c r="I406" s="101">
        <v>2428.9751107077109</v>
      </c>
      <c r="J406" s="101"/>
      <c r="K406" s="233" t="str">
        <f>VLOOKUP(Broadcast_BASE[[#This Row],[Broadcast Market]],Continent_Look_Up[],2,FALSE)</f>
        <v>Digital</v>
      </c>
      <c r="L406" t="str">
        <f>IF(OR(Broadcast_BASE[[#This Row],[Broadcast Continent]]="Digital",Broadcast_BASE[[#This Row],[Programme Type]]="Digital"),"Y","N")</f>
        <v>Y</v>
      </c>
      <c r="M406" s="4" t="str">
        <f>IF(ISNUMBER(SEARCH("Pan ",Broadcast_BASE[[#This Row],[Broadcast Market]]))=TRUE,"Y","N")</f>
        <v>N</v>
      </c>
      <c r="N406" t="str">
        <f>VLOOKUP(CONCATENATE(Broadcast_BASE[[#This Row],[Broadcast Market]],Broadcast_BASE[[#This Row],[Broadcaster]]),Table1[[CC]:[Pay TV vs. Free-to-Air]],3,FALSE)</f>
        <v>Digital</v>
      </c>
      <c r="O406" s="1" t="str">
        <f>VLOOKUP(CONCATENATE(Broadcast_BASE[[#This Row],[Broadcast Market]],Broadcast_BASE[[#This Row],[Broadcaster]]),Table1[[CC]:[Pay TV vs. Free-to-Air]],2,FALSE)</f>
        <v>-</v>
      </c>
      <c r="P406" s="234">
        <f>Broadcast_BASE[[#This Row],[Rolex EXP]]*86400</f>
        <v>24808.230564912141</v>
      </c>
      <c r="Q406" s="235" t="str">
        <f>IF(Broadcast_BASE[[#This Row],[Dashboard Rated?]]="No","N","Y")</f>
        <v>Y</v>
      </c>
      <c r="R406" s="236"/>
      <c r="S406" s="236"/>
    </row>
    <row r="407" spans="1:19" x14ac:dyDescent="0.25">
      <c r="A407" s="72" t="e">
        <f>#REF!</f>
        <v>#REF!</v>
      </c>
      <c r="B407" t="s">
        <v>45</v>
      </c>
      <c r="C407" t="s">
        <v>45</v>
      </c>
      <c r="D407" t="s">
        <v>1642</v>
      </c>
      <c r="E407" s="102">
        <v>0.89236111111111116</v>
      </c>
      <c r="F407" s="101">
        <v>3164.0251599931744</v>
      </c>
      <c r="G407" s="102">
        <v>5.2467252341392982E-2</v>
      </c>
      <c r="H407" s="101">
        <v>263.37276162268319</v>
      </c>
      <c r="I407" s="101">
        <v>74.849000568833247</v>
      </c>
      <c r="J407" s="101"/>
      <c r="K407" s="233" t="str">
        <f>VLOOKUP(Broadcast_BASE[[#This Row],[Broadcast Market]],Continent_Look_Up[],2,FALSE)</f>
        <v>Digital</v>
      </c>
      <c r="L407" t="str">
        <f>IF(OR(Broadcast_BASE[[#This Row],[Broadcast Continent]]="Digital",Broadcast_BASE[[#This Row],[Programme Type]]="Digital"),"Y","N")</f>
        <v>Y</v>
      </c>
      <c r="M407" s="4" t="str">
        <f>IF(ISNUMBER(SEARCH("Pan ",Broadcast_BASE[[#This Row],[Broadcast Market]]))=TRUE,"Y","N")</f>
        <v>N</v>
      </c>
      <c r="N407" t="str">
        <f>VLOOKUP(CONCATENATE(Broadcast_BASE[[#This Row],[Broadcast Market]],Broadcast_BASE[[#This Row],[Broadcaster]]),Table1[[CC]:[Pay TV vs. Free-to-Air]],3,FALSE)</f>
        <v>Digital</v>
      </c>
      <c r="O407" s="1" t="str">
        <f>VLOOKUP(CONCATENATE(Broadcast_BASE[[#This Row],[Broadcast Market]],Broadcast_BASE[[#This Row],[Broadcaster]]),Table1[[CC]:[Pay TV vs. Free-to-Air]],2,FALSE)</f>
        <v>-</v>
      </c>
      <c r="P407" s="234">
        <f>Broadcast_BASE[[#This Row],[Rolex EXP]]*86400</f>
        <v>4533.1706022963535</v>
      </c>
      <c r="Q407" s="235" t="str">
        <f>IF(Broadcast_BASE[[#This Row],[Dashboard Rated?]]="No","N","Y")</f>
        <v>Y</v>
      </c>
      <c r="R407" s="236"/>
      <c r="S407" s="236"/>
    </row>
    <row r="408" spans="1:19" x14ac:dyDescent="0.25">
      <c r="A408" s="72" t="e">
        <f>#REF!</f>
        <v>#REF!</v>
      </c>
      <c r="B408" t="s">
        <v>45</v>
      </c>
      <c r="C408" t="s">
        <v>45</v>
      </c>
      <c r="D408" t="s">
        <v>1643</v>
      </c>
      <c r="E408" s="102">
        <v>3.2291666666666665</v>
      </c>
      <c r="F408" s="101">
        <v>2741.9900508840647</v>
      </c>
      <c r="G408" s="102">
        <v>0.19780224987455666</v>
      </c>
      <c r="H408" s="101">
        <v>2698.4921444776928</v>
      </c>
      <c r="I408" s="101">
        <v>749.19382781766626</v>
      </c>
      <c r="J408" s="101"/>
      <c r="K408" s="233" t="str">
        <f>VLOOKUP(Broadcast_BASE[[#This Row],[Broadcast Market]],Continent_Look_Up[],2,FALSE)</f>
        <v>Digital</v>
      </c>
      <c r="L408" t="str">
        <f>IF(OR(Broadcast_BASE[[#This Row],[Broadcast Continent]]="Digital",Broadcast_BASE[[#This Row],[Programme Type]]="Digital"),"Y","N")</f>
        <v>Y</v>
      </c>
      <c r="M408" s="4" t="str">
        <f>IF(ISNUMBER(SEARCH("Pan ",Broadcast_BASE[[#This Row],[Broadcast Market]]))=TRUE,"Y","N")</f>
        <v>N</v>
      </c>
      <c r="N408" t="str">
        <f>VLOOKUP(CONCATENATE(Broadcast_BASE[[#This Row],[Broadcast Market]],Broadcast_BASE[[#This Row],[Broadcaster]]),Table1[[CC]:[Pay TV vs. Free-to-Air]],3,FALSE)</f>
        <v>Digital</v>
      </c>
      <c r="O408" s="1" t="str">
        <f>VLOOKUP(CONCATENATE(Broadcast_BASE[[#This Row],[Broadcast Market]],Broadcast_BASE[[#This Row],[Broadcaster]]),Table1[[CC]:[Pay TV vs. Free-to-Air]],2,FALSE)</f>
        <v>-</v>
      </c>
      <c r="P408" s="234">
        <f>Broadcast_BASE[[#This Row],[Rolex EXP]]*86400</f>
        <v>17090.114389161696</v>
      </c>
      <c r="Q408" s="235" t="str">
        <f>IF(Broadcast_BASE[[#This Row],[Dashboard Rated?]]="No","N","Y")</f>
        <v>Y</v>
      </c>
      <c r="R408" s="236"/>
      <c r="S408" s="236"/>
    </row>
    <row r="409" spans="1:19" x14ac:dyDescent="0.25">
      <c r="A409" s="72" t="e">
        <f>#REF!</f>
        <v>#REF!</v>
      </c>
      <c r="B409" t="s">
        <v>45</v>
      </c>
      <c r="C409" t="s">
        <v>45</v>
      </c>
      <c r="D409" t="s">
        <v>1643</v>
      </c>
      <c r="E409" s="102">
        <v>3.0416666666666665</v>
      </c>
      <c r="F409" s="101">
        <v>2056.4925381630483</v>
      </c>
      <c r="G409" s="102">
        <v>0.18631695794635661</v>
      </c>
      <c r="H409" s="101">
        <v>2541.8055038306011</v>
      </c>
      <c r="I409" s="101">
        <v>705.69225071857579</v>
      </c>
      <c r="J409" s="101"/>
      <c r="K409" s="233" t="str">
        <f>VLOOKUP(Broadcast_BASE[[#This Row],[Broadcast Market]],Continent_Look_Up[],2,FALSE)</f>
        <v>Digital</v>
      </c>
      <c r="L409" t="str">
        <f>IF(OR(Broadcast_BASE[[#This Row],[Broadcast Continent]]="Digital",Broadcast_BASE[[#This Row],[Programme Type]]="Digital"),"Y","N")</f>
        <v>Y</v>
      </c>
      <c r="M409" s="4" t="str">
        <f>IF(ISNUMBER(SEARCH("Pan ",Broadcast_BASE[[#This Row],[Broadcast Market]]))=TRUE,"Y","N")</f>
        <v>N</v>
      </c>
      <c r="N409" t="str">
        <f>VLOOKUP(CONCATENATE(Broadcast_BASE[[#This Row],[Broadcast Market]],Broadcast_BASE[[#This Row],[Broadcaster]]),Table1[[CC]:[Pay TV vs. Free-to-Air]],3,FALSE)</f>
        <v>Digital</v>
      </c>
      <c r="O409" s="1" t="str">
        <f>VLOOKUP(CONCATENATE(Broadcast_BASE[[#This Row],[Broadcast Market]],Broadcast_BASE[[#This Row],[Broadcaster]]),Table1[[CC]:[Pay TV vs. Free-to-Air]],2,FALSE)</f>
        <v>-</v>
      </c>
      <c r="P409" s="234">
        <f>Broadcast_BASE[[#This Row],[Rolex EXP]]*86400</f>
        <v>16097.785166565211</v>
      </c>
      <c r="Q409" s="235" t="str">
        <f>IF(Broadcast_BASE[[#This Row],[Dashboard Rated?]]="No","N","Y")</f>
        <v>Y</v>
      </c>
      <c r="R409" s="236"/>
      <c r="S409" s="236"/>
    </row>
    <row r="410" spans="1:19" x14ac:dyDescent="0.25">
      <c r="A410" s="72" t="e">
        <f>#REF!</f>
        <v>#REF!</v>
      </c>
      <c r="B410" t="s">
        <v>45</v>
      </c>
      <c r="C410" t="s">
        <v>45</v>
      </c>
      <c r="D410" t="s">
        <v>1644</v>
      </c>
      <c r="E410" s="102">
        <v>0.61111111111111105</v>
      </c>
      <c r="F410" s="101">
        <v>315.65603213952795</v>
      </c>
      <c r="G410" s="102">
        <v>3.74335440622817E-2</v>
      </c>
      <c r="H410" s="101">
        <v>470.31527359360371</v>
      </c>
      <c r="I410" s="101">
        <v>130.5756256603465</v>
      </c>
      <c r="J410" s="101"/>
      <c r="K410" s="233" t="str">
        <f>VLOOKUP(Broadcast_BASE[[#This Row],[Broadcast Market]],Continent_Look_Up[],2,FALSE)</f>
        <v>Digital</v>
      </c>
      <c r="L410" t="str">
        <f>IF(OR(Broadcast_BASE[[#This Row],[Broadcast Continent]]="Digital",Broadcast_BASE[[#This Row],[Programme Type]]="Digital"),"Y","N")</f>
        <v>Y</v>
      </c>
      <c r="M410" s="4" t="str">
        <f>IF(ISNUMBER(SEARCH("Pan ",Broadcast_BASE[[#This Row],[Broadcast Market]]))=TRUE,"Y","N")</f>
        <v>N</v>
      </c>
      <c r="N410" t="str">
        <f>VLOOKUP(CONCATENATE(Broadcast_BASE[[#This Row],[Broadcast Market]],Broadcast_BASE[[#This Row],[Broadcaster]]),Table1[[CC]:[Pay TV vs. Free-to-Air]],3,FALSE)</f>
        <v>Digital</v>
      </c>
      <c r="O410" s="1" t="str">
        <f>VLOOKUP(CONCATENATE(Broadcast_BASE[[#This Row],[Broadcast Market]],Broadcast_BASE[[#This Row],[Broadcaster]]),Table1[[CC]:[Pay TV vs. Free-to-Air]],2,FALSE)</f>
        <v>-</v>
      </c>
      <c r="P410" s="234">
        <f>Broadcast_BASE[[#This Row],[Rolex EXP]]*86400</f>
        <v>3234.2582069811388</v>
      </c>
      <c r="Q410" s="235" t="str">
        <f>IF(Broadcast_BASE[[#This Row],[Dashboard Rated?]]="No","N","Y")</f>
        <v>Y</v>
      </c>
      <c r="R410" s="236"/>
      <c r="S410" s="236"/>
    </row>
    <row r="411" spans="1:19" x14ac:dyDescent="0.25">
      <c r="A411" s="72" t="e">
        <f>#REF!</f>
        <v>#REF!</v>
      </c>
      <c r="B411" t="s">
        <v>45</v>
      </c>
      <c r="C411" t="s">
        <v>45</v>
      </c>
      <c r="D411" t="s">
        <v>1643</v>
      </c>
      <c r="E411" s="102">
        <v>3.0833333333333335</v>
      </c>
      <c r="F411" s="101">
        <v>26296.410256422605</v>
      </c>
      <c r="G411" s="102">
        <v>0.18886924504151223</v>
      </c>
      <c r="H411" s="101">
        <v>14120.293329745044</v>
      </c>
      <c r="I411" s="101">
        <v>3920.2769707034081</v>
      </c>
      <c r="J411" s="101"/>
      <c r="K411" s="233" t="str">
        <f>VLOOKUP(Broadcast_BASE[[#This Row],[Broadcast Market]],Continent_Look_Up[],2,FALSE)</f>
        <v>Digital</v>
      </c>
      <c r="L411" t="str">
        <f>IF(OR(Broadcast_BASE[[#This Row],[Broadcast Continent]]="Digital",Broadcast_BASE[[#This Row],[Programme Type]]="Digital"),"Y","N")</f>
        <v>Y</v>
      </c>
      <c r="M411" s="4" t="str">
        <f>IF(ISNUMBER(SEARCH("Pan ",Broadcast_BASE[[#This Row],[Broadcast Market]]))=TRUE,"Y","N")</f>
        <v>N</v>
      </c>
      <c r="N411" t="str">
        <f>VLOOKUP(CONCATENATE(Broadcast_BASE[[#This Row],[Broadcast Market]],Broadcast_BASE[[#This Row],[Broadcaster]]),Table1[[CC]:[Pay TV vs. Free-to-Air]],3,FALSE)</f>
        <v>Digital</v>
      </c>
      <c r="O411" s="1" t="str">
        <f>VLOOKUP(CONCATENATE(Broadcast_BASE[[#This Row],[Broadcast Market]],Broadcast_BASE[[#This Row],[Broadcaster]]),Table1[[CC]:[Pay TV vs. Free-to-Air]],2,FALSE)</f>
        <v>-</v>
      </c>
      <c r="P411" s="234">
        <f>Broadcast_BASE[[#This Row],[Rolex EXP]]*86400</f>
        <v>16318.302771586657</v>
      </c>
      <c r="Q411" s="235" t="str">
        <f>IF(Broadcast_BASE[[#This Row],[Dashboard Rated?]]="No","N","Y")</f>
        <v>Y</v>
      </c>
      <c r="R411" s="236"/>
      <c r="S411" s="236"/>
    </row>
    <row r="412" spans="1:19" x14ac:dyDescent="0.25">
      <c r="A412" s="72" t="e">
        <f>#REF!</f>
        <v>#REF!</v>
      </c>
      <c r="B412" t="s">
        <v>45</v>
      </c>
      <c r="C412" t="s">
        <v>45</v>
      </c>
      <c r="D412" t="s">
        <v>1642</v>
      </c>
      <c r="E412" s="102">
        <v>1.9166666666666667</v>
      </c>
      <c r="F412" s="101">
        <v>56195.304964947893</v>
      </c>
      <c r="G412" s="102">
        <v>0.11740520637715607</v>
      </c>
      <c r="H412" s="101">
        <v>2854.391929202453</v>
      </c>
      <c r="I412" s="101">
        <v>792.47694676723086</v>
      </c>
      <c r="J412" s="101"/>
      <c r="K412" s="233" t="str">
        <f>VLOOKUP(Broadcast_BASE[[#This Row],[Broadcast Market]],Continent_Look_Up[],2,FALSE)</f>
        <v>Digital</v>
      </c>
      <c r="L412" t="str">
        <f>IF(OR(Broadcast_BASE[[#This Row],[Broadcast Continent]]="Digital",Broadcast_BASE[[#This Row],[Programme Type]]="Digital"),"Y","N")</f>
        <v>Y</v>
      </c>
      <c r="M412" s="4" t="str">
        <f>IF(ISNUMBER(SEARCH("Pan ",Broadcast_BASE[[#This Row],[Broadcast Market]]))=TRUE,"Y","N")</f>
        <v>N</v>
      </c>
      <c r="N412" t="str">
        <f>VLOOKUP(CONCATENATE(Broadcast_BASE[[#This Row],[Broadcast Market]],Broadcast_BASE[[#This Row],[Broadcaster]]),Table1[[CC]:[Pay TV vs. Free-to-Air]],3,FALSE)</f>
        <v>Digital</v>
      </c>
      <c r="O412" s="1" t="str">
        <f>VLOOKUP(CONCATENATE(Broadcast_BASE[[#This Row],[Broadcast Market]],Broadcast_BASE[[#This Row],[Broadcaster]]),Table1[[CC]:[Pay TV vs. Free-to-Air]],2,FALSE)</f>
        <v>-</v>
      </c>
      <c r="P412" s="234">
        <f>Broadcast_BASE[[#This Row],[Rolex EXP]]*86400</f>
        <v>10143.809830986283</v>
      </c>
      <c r="Q412" s="235" t="str">
        <f>IF(Broadcast_BASE[[#This Row],[Dashboard Rated?]]="No","N","Y")</f>
        <v>Y</v>
      </c>
      <c r="R412" s="236"/>
      <c r="S412" s="236"/>
    </row>
    <row r="413" spans="1:19" x14ac:dyDescent="0.25">
      <c r="A413" s="72" t="e">
        <f>#REF!</f>
        <v>#REF!</v>
      </c>
      <c r="B413" t="s">
        <v>45</v>
      </c>
      <c r="C413" t="s">
        <v>45</v>
      </c>
      <c r="D413" t="s">
        <v>1643</v>
      </c>
      <c r="E413" s="102">
        <v>6.083333333333333</v>
      </c>
      <c r="F413" s="101">
        <v>48836.190476213422</v>
      </c>
      <c r="G413" s="102">
        <v>0.39464754254186468</v>
      </c>
      <c r="H413" s="101">
        <v>29504.745790291909</v>
      </c>
      <c r="I413" s="101">
        <v>8305.4207021961174</v>
      </c>
      <c r="J413" s="101"/>
      <c r="K413" s="233" t="str">
        <f>VLOOKUP(Broadcast_BASE[[#This Row],[Broadcast Market]],Continent_Look_Up[],2,FALSE)</f>
        <v>Digital</v>
      </c>
      <c r="L413" t="str">
        <f>IF(OR(Broadcast_BASE[[#This Row],[Broadcast Continent]]="Digital",Broadcast_BASE[[#This Row],[Programme Type]]="Digital"),"Y","N")</f>
        <v>Y</v>
      </c>
      <c r="M413" s="4" t="str">
        <f>IF(ISNUMBER(SEARCH("Pan ",Broadcast_BASE[[#This Row],[Broadcast Market]]))=TRUE,"Y","N")</f>
        <v>N</v>
      </c>
      <c r="N413" t="str">
        <f>VLOOKUP(CONCATENATE(Broadcast_BASE[[#This Row],[Broadcast Market]],Broadcast_BASE[[#This Row],[Broadcaster]]),Table1[[CC]:[Pay TV vs. Free-to-Air]],3,FALSE)</f>
        <v>Digital</v>
      </c>
      <c r="O413" s="1" t="str">
        <f>VLOOKUP(CONCATENATE(Broadcast_BASE[[#This Row],[Broadcast Market]],Broadcast_BASE[[#This Row],[Broadcaster]]),Table1[[CC]:[Pay TV vs. Free-to-Air]],2,FALSE)</f>
        <v>-</v>
      </c>
      <c r="P413" s="234">
        <f>Broadcast_BASE[[#This Row],[Rolex EXP]]*86400</f>
        <v>34097.547675617112</v>
      </c>
      <c r="Q413" s="235" t="str">
        <f>IF(Broadcast_BASE[[#This Row],[Dashboard Rated?]]="No","N","Y")</f>
        <v>Y</v>
      </c>
      <c r="R413" s="236"/>
      <c r="S413" s="236"/>
    </row>
    <row r="414" spans="1:19" x14ac:dyDescent="0.25">
      <c r="A414" s="72" t="e">
        <f>#REF!</f>
        <v>#REF!</v>
      </c>
      <c r="B414" t="s">
        <v>45</v>
      </c>
      <c r="C414" t="s">
        <v>45</v>
      </c>
      <c r="D414" t="s">
        <v>1644</v>
      </c>
      <c r="E414" s="102">
        <v>4.760416666666667</v>
      </c>
      <c r="F414" s="101">
        <v>43886.585921155711</v>
      </c>
      <c r="G414" s="102">
        <v>0.31628836721997361</v>
      </c>
      <c r="H414" s="101">
        <v>9181.4638926788048</v>
      </c>
      <c r="I414" s="101">
        <v>2615.1775159935128</v>
      </c>
      <c r="J414" s="101"/>
      <c r="K414" s="233" t="str">
        <f>VLOOKUP(Broadcast_BASE[[#This Row],[Broadcast Market]],Continent_Look_Up[],2,FALSE)</f>
        <v>Digital</v>
      </c>
      <c r="L414" t="str">
        <f>IF(OR(Broadcast_BASE[[#This Row],[Broadcast Continent]]="Digital",Broadcast_BASE[[#This Row],[Programme Type]]="Digital"),"Y","N")</f>
        <v>Y</v>
      </c>
      <c r="M414" s="4" t="str">
        <f>IF(ISNUMBER(SEARCH("Pan ",Broadcast_BASE[[#This Row],[Broadcast Market]]))=TRUE,"Y","N")</f>
        <v>N</v>
      </c>
      <c r="N414" t="str">
        <f>VLOOKUP(CONCATENATE(Broadcast_BASE[[#This Row],[Broadcast Market]],Broadcast_BASE[[#This Row],[Broadcaster]]),Table1[[CC]:[Pay TV vs. Free-to-Air]],3,FALSE)</f>
        <v>Digital</v>
      </c>
      <c r="O414" s="1" t="str">
        <f>VLOOKUP(CONCATENATE(Broadcast_BASE[[#This Row],[Broadcast Market]],Broadcast_BASE[[#This Row],[Broadcaster]]),Table1[[CC]:[Pay TV vs. Free-to-Air]],2,FALSE)</f>
        <v>-</v>
      </c>
      <c r="P414" s="234">
        <f>Broadcast_BASE[[#This Row],[Rolex EXP]]*86400</f>
        <v>27327.314927805721</v>
      </c>
      <c r="Q414" s="235" t="str">
        <f>IF(Broadcast_BASE[[#This Row],[Dashboard Rated?]]="No","N","Y")</f>
        <v>Y</v>
      </c>
      <c r="R414" s="236"/>
      <c r="S414" s="236"/>
    </row>
    <row r="415" spans="1:19" x14ac:dyDescent="0.25">
      <c r="A415" s="72" t="e">
        <f>#REF!</f>
        <v>#REF!</v>
      </c>
      <c r="B415" t="s">
        <v>45</v>
      </c>
      <c r="C415" t="s">
        <v>45</v>
      </c>
      <c r="D415" t="s">
        <v>1642</v>
      </c>
      <c r="E415" s="102">
        <v>0.66239583333333341</v>
      </c>
      <c r="F415" s="101">
        <v>6644.7137471726719</v>
      </c>
      <c r="G415" s="102">
        <v>5.4609418457474142E-2</v>
      </c>
      <c r="H415" s="101">
        <v>612.70769664848842</v>
      </c>
      <c r="I415" s="101">
        <v>175.87349895793741</v>
      </c>
      <c r="J415" s="101"/>
      <c r="K415" s="233" t="str">
        <f>VLOOKUP(Broadcast_BASE[[#This Row],[Broadcast Market]],Continent_Look_Up[],2,FALSE)</f>
        <v>Digital</v>
      </c>
      <c r="L415" t="str">
        <f>IF(OR(Broadcast_BASE[[#This Row],[Broadcast Continent]]="Digital",Broadcast_BASE[[#This Row],[Programme Type]]="Digital"),"Y","N")</f>
        <v>Y</v>
      </c>
      <c r="M415" s="4" t="str">
        <f>IF(ISNUMBER(SEARCH("Pan ",Broadcast_BASE[[#This Row],[Broadcast Market]]))=TRUE,"Y","N")</f>
        <v>N</v>
      </c>
      <c r="N415" t="str">
        <f>VLOOKUP(CONCATENATE(Broadcast_BASE[[#This Row],[Broadcast Market]],Broadcast_BASE[[#This Row],[Broadcaster]]),Table1[[CC]:[Pay TV vs. Free-to-Air]],3,FALSE)</f>
        <v>Digital</v>
      </c>
      <c r="O415" s="1" t="str">
        <f>VLOOKUP(CONCATENATE(Broadcast_BASE[[#This Row],[Broadcast Market]],Broadcast_BASE[[#This Row],[Broadcaster]]),Table1[[CC]:[Pay TV vs. Free-to-Air]],2,FALSE)</f>
        <v>-</v>
      </c>
      <c r="P415" s="234">
        <f>Broadcast_BASE[[#This Row],[Rolex EXP]]*86400</f>
        <v>4718.2537547257662</v>
      </c>
      <c r="Q415" s="235" t="str">
        <f>IF(Broadcast_BASE[[#This Row],[Dashboard Rated?]]="No","N","Y")</f>
        <v>Y</v>
      </c>
      <c r="R415" s="236"/>
      <c r="S415" s="236"/>
    </row>
    <row r="416" spans="1:19" x14ac:dyDescent="0.25">
      <c r="A416" s="72" t="e">
        <f>#REF!</f>
        <v>#REF!</v>
      </c>
      <c r="B416" t="s">
        <v>45</v>
      </c>
      <c r="C416" t="s">
        <v>45</v>
      </c>
      <c r="D416" t="s">
        <v>1643</v>
      </c>
      <c r="E416" s="102">
        <v>6.1044560185185182</v>
      </c>
      <c r="F416" s="101">
        <v>81794.495813297151</v>
      </c>
      <c r="G416" s="102">
        <v>0.48629611643268383</v>
      </c>
      <c r="H416" s="101">
        <v>27847.655117023147</v>
      </c>
      <c r="I416" s="101">
        <v>7863.3730297305883</v>
      </c>
      <c r="J416" s="101"/>
      <c r="K416" s="233" t="str">
        <f>VLOOKUP(Broadcast_BASE[[#This Row],[Broadcast Market]],Continent_Look_Up[],2,FALSE)</f>
        <v>Digital</v>
      </c>
      <c r="L416" t="str">
        <f>IF(OR(Broadcast_BASE[[#This Row],[Broadcast Continent]]="Digital",Broadcast_BASE[[#This Row],[Programme Type]]="Digital"),"Y","N")</f>
        <v>Y</v>
      </c>
      <c r="M416" s="4" t="str">
        <f>IF(ISNUMBER(SEARCH("Pan ",Broadcast_BASE[[#This Row],[Broadcast Market]]))=TRUE,"Y","N")</f>
        <v>N</v>
      </c>
      <c r="N416" t="str">
        <f>VLOOKUP(CONCATENATE(Broadcast_BASE[[#This Row],[Broadcast Market]],Broadcast_BASE[[#This Row],[Broadcaster]]),Table1[[CC]:[Pay TV vs. Free-to-Air]],3,FALSE)</f>
        <v>Digital</v>
      </c>
      <c r="O416" s="1" t="str">
        <f>VLOOKUP(CONCATENATE(Broadcast_BASE[[#This Row],[Broadcast Market]],Broadcast_BASE[[#This Row],[Broadcaster]]),Table1[[CC]:[Pay TV vs. Free-to-Air]],2,FALSE)</f>
        <v>-</v>
      </c>
      <c r="P416" s="234">
        <f>Broadcast_BASE[[#This Row],[Rolex EXP]]*86400</f>
        <v>42015.984459783882</v>
      </c>
      <c r="Q416" s="235" t="str">
        <f>IF(Broadcast_BASE[[#This Row],[Dashboard Rated?]]="No","N","Y")</f>
        <v>Y</v>
      </c>
      <c r="R416" s="236"/>
      <c r="S416" s="236"/>
    </row>
    <row r="417" spans="1:19" x14ac:dyDescent="0.25">
      <c r="A417" s="72" t="e">
        <f>#REF!</f>
        <v>#REF!</v>
      </c>
      <c r="B417" t="s">
        <v>45</v>
      </c>
      <c r="C417" t="s">
        <v>45</v>
      </c>
      <c r="D417" t="s">
        <v>1644</v>
      </c>
      <c r="E417" s="102">
        <v>1.5316782407407408</v>
      </c>
      <c r="F417" s="101">
        <v>7719.1770534247516</v>
      </c>
      <c r="G417" s="102">
        <v>0.11753393361304383</v>
      </c>
      <c r="H417" s="101">
        <v>1554.5664960930026</v>
      </c>
      <c r="I417" s="101">
        <v>447.53006667564875</v>
      </c>
      <c r="J417" s="101"/>
      <c r="K417" s="233" t="str">
        <f>VLOOKUP(Broadcast_BASE[[#This Row],[Broadcast Market]],Continent_Look_Up[],2,FALSE)</f>
        <v>Digital</v>
      </c>
      <c r="L417" t="str">
        <f>IF(OR(Broadcast_BASE[[#This Row],[Broadcast Continent]]="Digital",Broadcast_BASE[[#This Row],[Programme Type]]="Digital"),"Y","N")</f>
        <v>Y</v>
      </c>
      <c r="M417" s="4" t="str">
        <f>IF(ISNUMBER(SEARCH("Pan ",Broadcast_BASE[[#This Row],[Broadcast Market]]))=TRUE,"Y","N")</f>
        <v>N</v>
      </c>
      <c r="N417" t="str">
        <f>VLOOKUP(CONCATENATE(Broadcast_BASE[[#This Row],[Broadcast Market]],Broadcast_BASE[[#This Row],[Broadcaster]]),Table1[[CC]:[Pay TV vs. Free-to-Air]],3,FALSE)</f>
        <v>Digital</v>
      </c>
      <c r="O417" s="1" t="str">
        <f>VLOOKUP(CONCATENATE(Broadcast_BASE[[#This Row],[Broadcast Market]],Broadcast_BASE[[#This Row],[Broadcaster]]),Table1[[CC]:[Pay TV vs. Free-to-Air]],2,FALSE)</f>
        <v>-</v>
      </c>
      <c r="P417" s="234">
        <f>Broadcast_BASE[[#This Row],[Rolex EXP]]*86400</f>
        <v>10154.931864166987</v>
      </c>
      <c r="Q417" s="235" t="str">
        <f>IF(Broadcast_BASE[[#This Row],[Dashboard Rated?]]="No","N","Y")</f>
        <v>Y</v>
      </c>
      <c r="R417" s="236"/>
      <c r="S417" s="236"/>
    </row>
    <row r="418" spans="1:19" x14ac:dyDescent="0.25">
      <c r="A418" s="72" t="e">
        <f>#REF!</f>
        <v>#REF!</v>
      </c>
      <c r="B418" t="s">
        <v>45</v>
      </c>
      <c r="C418" t="s">
        <v>45</v>
      </c>
      <c r="D418" t="s">
        <v>1642</v>
      </c>
      <c r="E418" s="102">
        <v>0.83843749999999995</v>
      </c>
      <c r="F418" s="101">
        <v>7270.4205080885358</v>
      </c>
      <c r="G418" s="102">
        <v>6.595121621262047E-2</v>
      </c>
      <c r="H418" s="101">
        <v>683.6204313433517</v>
      </c>
      <c r="I418" s="101">
        <v>196.40406253608674</v>
      </c>
      <c r="J418" s="101"/>
      <c r="K418" s="233" t="str">
        <f>VLOOKUP(Broadcast_BASE[[#This Row],[Broadcast Market]],Continent_Look_Up[],2,FALSE)</f>
        <v>Digital</v>
      </c>
      <c r="L418" t="str">
        <f>IF(OR(Broadcast_BASE[[#This Row],[Broadcast Continent]]="Digital",Broadcast_BASE[[#This Row],[Programme Type]]="Digital"),"Y","N")</f>
        <v>Y</v>
      </c>
      <c r="M418" s="4" t="str">
        <f>IF(ISNUMBER(SEARCH("Pan ",Broadcast_BASE[[#This Row],[Broadcast Market]]))=TRUE,"Y","N")</f>
        <v>N</v>
      </c>
      <c r="N418" t="str">
        <f>VLOOKUP(CONCATENATE(Broadcast_BASE[[#This Row],[Broadcast Market]],Broadcast_BASE[[#This Row],[Broadcaster]]),Table1[[CC]:[Pay TV vs. Free-to-Air]],3,FALSE)</f>
        <v>Digital</v>
      </c>
      <c r="O418" s="1" t="str">
        <f>VLOOKUP(CONCATENATE(Broadcast_BASE[[#This Row],[Broadcast Market]],Broadcast_BASE[[#This Row],[Broadcaster]]),Table1[[CC]:[Pay TV vs. Free-to-Air]],2,FALSE)</f>
        <v>-</v>
      </c>
      <c r="P418" s="234">
        <f>Broadcast_BASE[[#This Row],[Rolex EXP]]*86400</f>
        <v>5698.1850807704086</v>
      </c>
      <c r="Q418" s="235" t="str">
        <f>IF(Broadcast_BASE[[#This Row],[Dashboard Rated?]]="No","N","Y")</f>
        <v>Y</v>
      </c>
      <c r="R418" s="236"/>
      <c r="S418" s="236"/>
    </row>
    <row r="419" spans="1:19" x14ac:dyDescent="0.25">
      <c r="A419" s="72" t="e">
        <f>#REF!</f>
        <v>#REF!</v>
      </c>
      <c r="B419" t="s">
        <v>45</v>
      </c>
      <c r="C419" t="s">
        <v>45</v>
      </c>
      <c r="D419" t="s">
        <v>1643</v>
      </c>
      <c r="E419" s="102">
        <v>3.0458796296296295</v>
      </c>
      <c r="F419" s="101">
        <v>47187.219504421853</v>
      </c>
      <c r="G419" s="102">
        <v>0.25179070981041834</v>
      </c>
      <c r="H419" s="101">
        <v>12361.652294192536</v>
      </c>
      <c r="I419" s="101">
        <v>3718.5377904650172</v>
      </c>
      <c r="J419" s="101"/>
      <c r="K419" s="233" t="str">
        <f>VLOOKUP(Broadcast_BASE[[#This Row],[Broadcast Market]],Continent_Look_Up[],2,FALSE)</f>
        <v>Digital</v>
      </c>
      <c r="L419" t="str">
        <f>IF(OR(Broadcast_BASE[[#This Row],[Broadcast Continent]]="Digital",Broadcast_BASE[[#This Row],[Programme Type]]="Digital"),"Y","N")</f>
        <v>Y</v>
      </c>
      <c r="M419" s="4" t="str">
        <f>IF(ISNUMBER(SEARCH("Pan ",Broadcast_BASE[[#This Row],[Broadcast Market]]))=TRUE,"Y","N")</f>
        <v>N</v>
      </c>
      <c r="N419" t="str">
        <f>VLOOKUP(CONCATENATE(Broadcast_BASE[[#This Row],[Broadcast Market]],Broadcast_BASE[[#This Row],[Broadcaster]]),Table1[[CC]:[Pay TV vs. Free-to-Air]],3,FALSE)</f>
        <v>Digital</v>
      </c>
      <c r="O419" s="1" t="str">
        <f>VLOOKUP(CONCATENATE(Broadcast_BASE[[#This Row],[Broadcast Market]],Broadcast_BASE[[#This Row],[Broadcaster]]),Table1[[CC]:[Pay TV vs. Free-to-Air]],2,FALSE)</f>
        <v>-</v>
      </c>
      <c r="P419" s="234">
        <f>Broadcast_BASE[[#This Row],[Rolex EXP]]*86400</f>
        <v>21754.717327620147</v>
      </c>
      <c r="Q419" s="235" t="str">
        <f>IF(Broadcast_BASE[[#This Row],[Dashboard Rated?]]="No","N","Y")</f>
        <v>Y</v>
      </c>
      <c r="R419" s="236"/>
      <c r="S419" s="236"/>
    </row>
    <row r="420" spans="1:19" x14ac:dyDescent="0.25">
      <c r="A420" s="72" t="e">
        <f>#REF!</f>
        <v>#REF!</v>
      </c>
      <c r="B420" t="s">
        <v>45</v>
      </c>
      <c r="C420" t="s">
        <v>45</v>
      </c>
      <c r="D420" t="s">
        <v>1644</v>
      </c>
      <c r="E420" s="102">
        <v>2.4179629629629633</v>
      </c>
      <c r="F420" s="101">
        <v>11144.427655002477</v>
      </c>
      <c r="G420" s="102">
        <v>0.18174330250067053</v>
      </c>
      <c r="H420" s="101">
        <v>1966.1908519979729</v>
      </c>
      <c r="I420" s="101">
        <v>557.59564578682182</v>
      </c>
      <c r="J420" s="101"/>
      <c r="K420" s="233" t="str">
        <f>VLOOKUP(Broadcast_BASE[[#This Row],[Broadcast Market]],Continent_Look_Up[],2,FALSE)</f>
        <v>Digital</v>
      </c>
      <c r="L420" t="str">
        <f>IF(OR(Broadcast_BASE[[#This Row],[Broadcast Continent]]="Digital",Broadcast_BASE[[#This Row],[Programme Type]]="Digital"),"Y","N")</f>
        <v>Y</v>
      </c>
      <c r="M420" s="4" t="str">
        <f>IF(ISNUMBER(SEARCH("Pan ",Broadcast_BASE[[#This Row],[Broadcast Market]]))=TRUE,"Y","N")</f>
        <v>N</v>
      </c>
      <c r="N420" t="str">
        <f>VLOOKUP(CONCATENATE(Broadcast_BASE[[#This Row],[Broadcast Market]],Broadcast_BASE[[#This Row],[Broadcaster]]),Table1[[CC]:[Pay TV vs. Free-to-Air]],3,FALSE)</f>
        <v>Digital</v>
      </c>
      <c r="O420" s="1" t="str">
        <f>VLOOKUP(CONCATENATE(Broadcast_BASE[[#This Row],[Broadcast Market]],Broadcast_BASE[[#This Row],[Broadcaster]]),Table1[[CC]:[Pay TV vs. Free-to-Air]],2,FALSE)</f>
        <v>-</v>
      </c>
      <c r="P420" s="234">
        <f>Broadcast_BASE[[#This Row],[Rolex EXP]]*86400</f>
        <v>15702.621336057933</v>
      </c>
      <c r="Q420" s="235" t="str">
        <f>IF(Broadcast_BASE[[#This Row],[Dashboard Rated?]]="No","N","Y")</f>
        <v>Y</v>
      </c>
      <c r="R420" s="236"/>
      <c r="S420" s="236"/>
    </row>
    <row r="421" spans="1:19" x14ac:dyDescent="0.25">
      <c r="A421" s="72" t="e">
        <f>#REF!</f>
        <v>#REF!</v>
      </c>
      <c r="B421" t="s">
        <v>45</v>
      </c>
      <c r="C421" t="s">
        <v>45</v>
      </c>
      <c r="D421" t="s">
        <v>1643</v>
      </c>
      <c r="E421" s="102">
        <v>0.23629629629629631</v>
      </c>
      <c r="F421" s="101">
        <v>45.461673956259503</v>
      </c>
      <c r="G421" s="102">
        <v>1.3631034046251241E-2</v>
      </c>
      <c r="H421" s="101">
        <v>12.253109461361253</v>
      </c>
      <c r="I421" s="101">
        <v>3.6338411190896243</v>
      </c>
      <c r="J421" s="101"/>
      <c r="K421" s="233" t="str">
        <f>VLOOKUP(Broadcast_BASE[[#This Row],[Broadcast Market]],Continent_Look_Up[],2,FALSE)</f>
        <v>Digital</v>
      </c>
      <c r="L421" t="str">
        <f>IF(OR(Broadcast_BASE[[#This Row],[Broadcast Continent]]="Digital",Broadcast_BASE[[#This Row],[Programme Type]]="Digital"),"Y","N")</f>
        <v>Y</v>
      </c>
      <c r="M421" s="4" t="str">
        <f>IF(ISNUMBER(SEARCH("Pan ",Broadcast_BASE[[#This Row],[Broadcast Market]]))=TRUE,"Y","N")</f>
        <v>N</v>
      </c>
      <c r="N421" t="str">
        <f>VLOOKUP(CONCATENATE(Broadcast_BASE[[#This Row],[Broadcast Market]],Broadcast_BASE[[#This Row],[Broadcaster]]),Table1[[CC]:[Pay TV vs. Free-to-Air]],3,FALSE)</f>
        <v>Digital</v>
      </c>
      <c r="O421" s="1" t="str">
        <f>VLOOKUP(CONCATENATE(Broadcast_BASE[[#This Row],[Broadcast Market]],Broadcast_BASE[[#This Row],[Broadcaster]]),Table1[[CC]:[Pay TV vs. Free-to-Air]],2,FALSE)</f>
        <v>-</v>
      </c>
      <c r="P421" s="234">
        <f>Broadcast_BASE[[#This Row],[Rolex EXP]]*86400</f>
        <v>1177.7213415961073</v>
      </c>
      <c r="Q421" s="235" t="str">
        <f>IF(Broadcast_BASE[[#This Row],[Dashboard Rated?]]="No","N","Y")</f>
        <v>Y</v>
      </c>
      <c r="R421" s="236"/>
      <c r="S421" s="236"/>
    </row>
    <row r="422" spans="1:19" x14ac:dyDescent="0.25">
      <c r="A422" s="72" t="e">
        <f>#REF!</f>
        <v>#REF!</v>
      </c>
      <c r="B422" t="s">
        <v>45</v>
      </c>
      <c r="C422" t="s">
        <v>45</v>
      </c>
      <c r="D422" t="s">
        <v>1642</v>
      </c>
      <c r="E422" s="102">
        <v>2.4898958333333332</v>
      </c>
      <c r="F422" s="101">
        <v>8558.5582375215672</v>
      </c>
      <c r="G422" s="102">
        <v>0.15251829608875905</v>
      </c>
      <c r="H422" s="101">
        <v>399.59024520154105</v>
      </c>
      <c r="I422" s="101">
        <v>110.93993583556909</v>
      </c>
      <c r="J422" s="101"/>
      <c r="K422" s="233" t="str">
        <f>VLOOKUP(Broadcast_BASE[[#This Row],[Broadcast Market]],Continent_Look_Up[],2,FALSE)</f>
        <v>Digital</v>
      </c>
      <c r="L422" t="str">
        <f>IF(OR(Broadcast_BASE[[#This Row],[Broadcast Continent]]="Digital",Broadcast_BASE[[#This Row],[Programme Type]]="Digital"),"Y","N")</f>
        <v>Y</v>
      </c>
      <c r="M422" s="4" t="str">
        <f>IF(ISNUMBER(SEARCH("Pan ",Broadcast_BASE[[#This Row],[Broadcast Market]]))=TRUE,"Y","N")</f>
        <v>N</v>
      </c>
      <c r="N422" t="str">
        <f>VLOOKUP(CONCATENATE(Broadcast_BASE[[#This Row],[Broadcast Market]],Broadcast_BASE[[#This Row],[Broadcaster]]),Table1[[CC]:[Pay TV vs. Free-to-Air]],3,FALSE)</f>
        <v>Digital</v>
      </c>
      <c r="O422" s="1" t="str">
        <f>VLOOKUP(CONCATENATE(Broadcast_BASE[[#This Row],[Broadcast Market]],Broadcast_BASE[[#This Row],[Broadcaster]]),Table1[[CC]:[Pay TV vs. Free-to-Air]],2,FALSE)</f>
        <v>-</v>
      </c>
      <c r="P422" s="234">
        <f>Broadcast_BASE[[#This Row],[Rolex EXP]]*86400</f>
        <v>13177.580782068782</v>
      </c>
      <c r="Q422" s="235" t="str">
        <f>IF(Broadcast_BASE[[#This Row],[Dashboard Rated?]]="No","N","Y")</f>
        <v>Y</v>
      </c>
      <c r="R422" s="236"/>
      <c r="S422" s="236"/>
    </row>
    <row r="423" spans="1:19" x14ac:dyDescent="0.25">
      <c r="A423" s="72" t="e">
        <f>#REF!</f>
        <v>#REF!</v>
      </c>
      <c r="B423" t="s">
        <v>45</v>
      </c>
      <c r="C423" t="s">
        <v>45</v>
      </c>
      <c r="D423" t="s">
        <v>1643</v>
      </c>
      <c r="E423" s="102">
        <v>6.4253240740740738</v>
      </c>
      <c r="F423" s="101">
        <v>15059.179498010968</v>
      </c>
      <c r="G423" s="102">
        <v>0.40501877430794914</v>
      </c>
      <c r="H423" s="101">
        <v>6574.4300595855939</v>
      </c>
      <c r="I423" s="101">
        <v>1871.4174938236927</v>
      </c>
      <c r="J423" s="101"/>
      <c r="K423" s="233" t="str">
        <f>VLOOKUP(Broadcast_BASE[[#This Row],[Broadcast Market]],Continent_Look_Up[],2,FALSE)</f>
        <v>Digital</v>
      </c>
      <c r="L423" t="str">
        <f>IF(OR(Broadcast_BASE[[#This Row],[Broadcast Continent]]="Digital",Broadcast_BASE[[#This Row],[Programme Type]]="Digital"),"Y","N")</f>
        <v>Y</v>
      </c>
      <c r="M423" s="4" t="str">
        <f>IF(ISNUMBER(SEARCH("Pan ",Broadcast_BASE[[#This Row],[Broadcast Market]]))=TRUE,"Y","N")</f>
        <v>N</v>
      </c>
      <c r="N423" t="str">
        <f>VLOOKUP(CONCATENATE(Broadcast_BASE[[#This Row],[Broadcast Market]],Broadcast_BASE[[#This Row],[Broadcaster]]),Table1[[CC]:[Pay TV vs. Free-to-Air]],3,FALSE)</f>
        <v>Digital</v>
      </c>
      <c r="O423" s="1" t="str">
        <f>VLOOKUP(CONCATENATE(Broadcast_BASE[[#This Row],[Broadcast Market]],Broadcast_BASE[[#This Row],[Broadcaster]]),Table1[[CC]:[Pay TV vs. Free-to-Air]],2,FALSE)</f>
        <v>-</v>
      </c>
      <c r="P423" s="234">
        <f>Broadcast_BASE[[#This Row],[Rolex EXP]]*86400</f>
        <v>34993.622100206805</v>
      </c>
      <c r="Q423" s="235" t="str">
        <f>IF(Broadcast_BASE[[#This Row],[Dashboard Rated?]]="No","N","Y")</f>
        <v>Y</v>
      </c>
      <c r="R423" s="236"/>
      <c r="S423" s="236"/>
    </row>
    <row r="424" spans="1:19" x14ac:dyDescent="0.25">
      <c r="A424" s="72" t="e">
        <f>#REF!</f>
        <v>#REF!</v>
      </c>
      <c r="B424" t="s">
        <v>45</v>
      </c>
      <c r="C424" t="s">
        <v>45</v>
      </c>
      <c r="D424" t="s">
        <v>1642</v>
      </c>
      <c r="E424" s="102">
        <v>2.4945601851851849</v>
      </c>
      <c r="F424" s="101">
        <v>91797.150572509607</v>
      </c>
      <c r="G424" s="102">
        <v>0.15280401044968886</v>
      </c>
      <c r="H424" s="101">
        <v>4255.4938889850318</v>
      </c>
      <c r="I424" s="101">
        <v>1181.4708308370753</v>
      </c>
      <c r="J424" s="101"/>
      <c r="K424" s="233" t="str">
        <f>VLOOKUP(Broadcast_BASE[[#This Row],[Broadcast Market]],Continent_Look_Up[],2,FALSE)</f>
        <v>Digital</v>
      </c>
      <c r="L424" t="str">
        <f>IF(OR(Broadcast_BASE[[#This Row],[Broadcast Continent]]="Digital",Broadcast_BASE[[#This Row],[Programme Type]]="Digital"),"Y","N")</f>
        <v>Y</v>
      </c>
      <c r="M424" s="4" t="str">
        <f>IF(ISNUMBER(SEARCH("Pan ",Broadcast_BASE[[#This Row],[Broadcast Market]]))=TRUE,"Y","N")</f>
        <v>N</v>
      </c>
      <c r="N424" t="str">
        <f>VLOOKUP(CONCATENATE(Broadcast_BASE[[#This Row],[Broadcast Market]],Broadcast_BASE[[#This Row],[Broadcaster]]),Table1[[CC]:[Pay TV vs. Free-to-Air]],3,FALSE)</f>
        <v>Digital</v>
      </c>
      <c r="O424" s="1" t="str">
        <f>VLOOKUP(CONCATENATE(Broadcast_BASE[[#This Row],[Broadcast Market]],Broadcast_BASE[[#This Row],[Broadcaster]]),Table1[[CC]:[Pay TV vs. Free-to-Air]],2,FALSE)</f>
        <v>-</v>
      </c>
      <c r="P424" s="234">
        <f>Broadcast_BASE[[#This Row],[Rolex EXP]]*86400</f>
        <v>13202.266502853117</v>
      </c>
      <c r="Q424" s="235" t="str">
        <f>IF(Broadcast_BASE[[#This Row],[Dashboard Rated?]]="No","N","Y")</f>
        <v>Y</v>
      </c>
      <c r="R424" s="236"/>
      <c r="S424" s="236"/>
    </row>
    <row r="425" spans="1:19" x14ac:dyDescent="0.25">
      <c r="A425" s="72" t="e">
        <f>#REF!</f>
        <v>#REF!</v>
      </c>
      <c r="B425" t="s">
        <v>45</v>
      </c>
      <c r="C425" t="s">
        <v>45</v>
      </c>
      <c r="D425" t="s">
        <v>1643</v>
      </c>
      <c r="E425" s="102">
        <v>6.4204629629629641</v>
      </c>
      <c r="F425" s="101">
        <v>64329.3018679698</v>
      </c>
      <c r="G425" s="102">
        <v>0.40484266118142603</v>
      </c>
      <c r="H425" s="101">
        <v>36852.959526918676</v>
      </c>
      <c r="I425" s="101">
        <v>10393.461005747396</v>
      </c>
      <c r="J425" s="101"/>
      <c r="K425" s="233" t="str">
        <f>VLOOKUP(Broadcast_BASE[[#This Row],[Broadcast Market]],Continent_Look_Up[],2,FALSE)</f>
        <v>Digital</v>
      </c>
      <c r="L425" t="str">
        <f>IF(OR(Broadcast_BASE[[#This Row],[Broadcast Continent]]="Digital",Broadcast_BASE[[#This Row],[Programme Type]]="Digital"),"Y","N")</f>
        <v>Y</v>
      </c>
      <c r="M425" s="4" t="str">
        <f>IF(ISNUMBER(SEARCH("Pan ",Broadcast_BASE[[#This Row],[Broadcast Market]]))=TRUE,"Y","N")</f>
        <v>N</v>
      </c>
      <c r="N425" t="str">
        <f>VLOOKUP(CONCATENATE(Broadcast_BASE[[#This Row],[Broadcast Market]],Broadcast_BASE[[#This Row],[Broadcaster]]),Table1[[CC]:[Pay TV vs. Free-to-Air]],3,FALSE)</f>
        <v>Digital</v>
      </c>
      <c r="O425" s="1" t="str">
        <f>VLOOKUP(CONCATENATE(Broadcast_BASE[[#This Row],[Broadcast Market]],Broadcast_BASE[[#This Row],[Broadcaster]]),Table1[[CC]:[Pay TV vs. Free-to-Air]],2,FALSE)</f>
        <v>-</v>
      </c>
      <c r="P425" s="234">
        <f>Broadcast_BASE[[#This Row],[Rolex EXP]]*86400</f>
        <v>34978.405926075211</v>
      </c>
      <c r="Q425" s="235" t="str">
        <f>IF(Broadcast_BASE[[#This Row],[Dashboard Rated?]]="No","N","Y")</f>
        <v>Y</v>
      </c>
      <c r="R425" s="236"/>
      <c r="S425" s="236"/>
    </row>
    <row r="426" spans="1:19" x14ac:dyDescent="0.25">
      <c r="A426" s="72" t="e">
        <f>#REF!</f>
        <v>#REF!</v>
      </c>
      <c r="B426" t="s">
        <v>45</v>
      </c>
      <c r="C426" t="s">
        <v>45</v>
      </c>
      <c r="D426" t="s">
        <v>1642</v>
      </c>
      <c r="E426" s="102">
        <v>3.2355555555555555</v>
      </c>
      <c r="F426" s="101">
        <v>16175.742406116688</v>
      </c>
      <c r="G426" s="102">
        <v>0.19819360056248056</v>
      </c>
      <c r="H426" s="101">
        <v>756.57442635589689</v>
      </c>
      <c r="I426" s="101">
        <v>210.05096926833585</v>
      </c>
      <c r="J426" s="101"/>
      <c r="K426" s="233" t="str">
        <f>VLOOKUP(Broadcast_BASE[[#This Row],[Broadcast Market]],Continent_Look_Up[],2,FALSE)</f>
        <v>Digital</v>
      </c>
      <c r="L426" t="str">
        <f>IF(OR(Broadcast_BASE[[#This Row],[Broadcast Continent]]="Digital",Broadcast_BASE[[#This Row],[Programme Type]]="Digital"),"Y","N")</f>
        <v>Y</v>
      </c>
      <c r="M426" s="4" t="str">
        <f>IF(ISNUMBER(SEARCH("Pan ",Broadcast_BASE[[#This Row],[Broadcast Market]]))=TRUE,"Y","N")</f>
        <v>N</v>
      </c>
      <c r="N426" t="str">
        <f>VLOOKUP(CONCATENATE(Broadcast_BASE[[#This Row],[Broadcast Market]],Broadcast_BASE[[#This Row],[Broadcaster]]),Table1[[CC]:[Pay TV vs. Free-to-Air]],3,FALSE)</f>
        <v>Digital</v>
      </c>
      <c r="O426" s="1" t="str">
        <f>VLOOKUP(CONCATENATE(Broadcast_BASE[[#This Row],[Broadcast Market]],Broadcast_BASE[[#This Row],[Broadcaster]]),Table1[[CC]:[Pay TV vs. Free-to-Air]],2,FALSE)</f>
        <v>-</v>
      </c>
      <c r="P426" s="234">
        <f>Broadcast_BASE[[#This Row],[Rolex EXP]]*86400</f>
        <v>17123.927088598321</v>
      </c>
      <c r="Q426" s="235" t="str">
        <f>IF(Broadcast_BASE[[#This Row],[Dashboard Rated?]]="No","N","Y")</f>
        <v>Y</v>
      </c>
      <c r="R426" s="236"/>
      <c r="S426" s="236"/>
    </row>
    <row r="427" spans="1:19" x14ac:dyDescent="0.25">
      <c r="A427" s="72" t="e">
        <f>#REF!</f>
        <v>#REF!</v>
      </c>
      <c r="B427" t="s">
        <v>45</v>
      </c>
      <c r="C427" t="s">
        <v>45</v>
      </c>
      <c r="D427" t="s">
        <v>1643</v>
      </c>
      <c r="E427" s="102">
        <v>5.2676273148148143</v>
      </c>
      <c r="F427" s="101">
        <v>6009.5511277482756</v>
      </c>
      <c r="G427" s="102">
        <v>0.29084470662006007</v>
      </c>
      <c r="H427" s="101">
        <v>4257.7308720925757</v>
      </c>
      <c r="I427" s="101">
        <v>1189.2651748101662</v>
      </c>
      <c r="J427" s="101"/>
      <c r="K427" s="233" t="str">
        <f>VLOOKUP(Broadcast_BASE[[#This Row],[Broadcast Market]],Continent_Look_Up[],2,FALSE)</f>
        <v>Digital</v>
      </c>
      <c r="L427" t="str">
        <f>IF(OR(Broadcast_BASE[[#This Row],[Broadcast Continent]]="Digital",Broadcast_BASE[[#This Row],[Programme Type]]="Digital"),"Y","N")</f>
        <v>Y</v>
      </c>
      <c r="M427" s="4" t="str">
        <f>IF(ISNUMBER(SEARCH("Pan ",Broadcast_BASE[[#This Row],[Broadcast Market]]))=TRUE,"Y","N")</f>
        <v>N</v>
      </c>
      <c r="N427" t="str">
        <f>VLOOKUP(CONCATENATE(Broadcast_BASE[[#This Row],[Broadcast Market]],Broadcast_BASE[[#This Row],[Broadcaster]]),Table1[[CC]:[Pay TV vs. Free-to-Air]],3,FALSE)</f>
        <v>Digital</v>
      </c>
      <c r="O427" s="1" t="str">
        <f>VLOOKUP(CONCATENATE(Broadcast_BASE[[#This Row],[Broadcast Market]],Broadcast_BASE[[#This Row],[Broadcaster]]),Table1[[CC]:[Pay TV vs. Free-to-Air]],2,FALSE)</f>
        <v>-</v>
      </c>
      <c r="P427" s="234">
        <f>Broadcast_BASE[[#This Row],[Rolex EXP]]*86400</f>
        <v>25128.982651973191</v>
      </c>
      <c r="Q427" s="235" t="str">
        <f>IF(Broadcast_BASE[[#This Row],[Dashboard Rated?]]="No","N","Y")</f>
        <v>Y</v>
      </c>
      <c r="R427" s="236"/>
      <c r="S427" s="236"/>
    </row>
    <row r="428" spans="1:19" x14ac:dyDescent="0.25">
      <c r="A428" s="72" t="e">
        <f>#REF!</f>
        <v>#REF!</v>
      </c>
      <c r="B428" t="s">
        <v>45</v>
      </c>
      <c r="C428" t="s">
        <v>45</v>
      </c>
      <c r="D428" t="s">
        <v>1642</v>
      </c>
      <c r="E428" s="102">
        <v>3.2478703703703702</v>
      </c>
      <c r="F428" s="101">
        <v>184774.8184732298</v>
      </c>
      <c r="G428" s="102">
        <v>0.19894794319282652</v>
      </c>
      <c r="H428" s="101">
        <v>8616.7059647668739</v>
      </c>
      <c r="I428" s="101">
        <v>2392.2926505952528</v>
      </c>
      <c r="J428" s="101"/>
      <c r="K428" s="233" t="str">
        <f>VLOOKUP(Broadcast_BASE[[#This Row],[Broadcast Market]],Continent_Look_Up[],2,FALSE)</f>
        <v>Digital</v>
      </c>
      <c r="L428" t="str">
        <f>IF(OR(Broadcast_BASE[[#This Row],[Broadcast Continent]]="Digital",Broadcast_BASE[[#This Row],[Programme Type]]="Digital"),"Y","N")</f>
        <v>Y</v>
      </c>
      <c r="M428" s="4" t="str">
        <f>IF(ISNUMBER(SEARCH("Pan ",Broadcast_BASE[[#This Row],[Broadcast Market]]))=TRUE,"Y","N")</f>
        <v>N</v>
      </c>
      <c r="N428" t="str">
        <f>VLOOKUP(CONCATENATE(Broadcast_BASE[[#This Row],[Broadcast Market]],Broadcast_BASE[[#This Row],[Broadcaster]]),Table1[[CC]:[Pay TV vs. Free-to-Air]],3,FALSE)</f>
        <v>Digital</v>
      </c>
      <c r="O428" s="1" t="str">
        <f>VLOOKUP(CONCATENATE(Broadcast_BASE[[#This Row],[Broadcast Market]],Broadcast_BASE[[#This Row],[Broadcaster]]),Table1[[CC]:[Pay TV vs. Free-to-Air]],2,FALSE)</f>
        <v>-</v>
      </c>
      <c r="P428" s="234">
        <f>Broadcast_BASE[[#This Row],[Rolex EXP]]*86400</f>
        <v>17189.10229186021</v>
      </c>
      <c r="Q428" s="235" t="str">
        <f>IF(Broadcast_BASE[[#This Row],[Dashboard Rated?]]="No","N","Y")</f>
        <v>Y</v>
      </c>
      <c r="R428" s="236"/>
      <c r="S428" s="236"/>
    </row>
    <row r="429" spans="1:19" x14ac:dyDescent="0.25">
      <c r="A429" s="72" t="e">
        <f>#REF!</f>
        <v>#REF!</v>
      </c>
      <c r="B429" t="s">
        <v>45</v>
      </c>
      <c r="C429" t="s">
        <v>45</v>
      </c>
      <c r="D429" t="s">
        <v>1643</v>
      </c>
      <c r="E429" s="102">
        <v>5.2676967592592598</v>
      </c>
      <c r="F429" s="101">
        <v>15683.24429504689</v>
      </c>
      <c r="G429" s="102">
        <v>0.29083737131073706</v>
      </c>
      <c r="H429" s="101">
        <v>8047.4807911455528</v>
      </c>
      <c r="I429" s="101">
        <v>2260.4995814071326</v>
      </c>
      <c r="J429" s="101"/>
      <c r="K429" s="233" t="str">
        <f>VLOOKUP(Broadcast_BASE[[#This Row],[Broadcast Market]],Continent_Look_Up[],2,FALSE)</f>
        <v>Digital</v>
      </c>
      <c r="L429" t="str">
        <f>IF(OR(Broadcast_BASE[[#This Row],[Broadcast Continent]]="Digital",Broadcast_BASE[[#This Row],[Programme Type]]="Digital"),"Y","N")</f>
        <v>Y</v>
      </c>
      <c r="M429" s="4" t="str">
        <f>IF(ISNUMBER(SEARCH("Pan ",Broadcast_BASE[[#This Row],[Broadcast Market]]))=TRUE,"Y","N")</f>
        <v>N</v>
      </c>
      <c r="N429" t="str">
        <f>VLOOKUP(CONCATENATE(Broadcast_BASE[[#This Row],[Broadcast Market]],Broadcast_BASE[[#This Row],[Broadcaster]]),Table1[[CC]:[Pay TV vs. Free-to-Air]],3,FALSE)</f>
        <v>Digital</v>
      </c>
      <c r="O429" s="1" t="str">
        <f>VLOOKUP(CONCATENATE(Broadcast_BASE[[#This Row],[Broadcast Market]],Broadcast_BASE[[#This Row],[Broadcaster]]),Table1[[CC]:[Pay TV vs. Free-to-Air]],2,FALSE)</f>
        <v>-</v>
      </c>
      <c r="P429" s="234">
        <f>Broadcast_BASE[[#This Row],[Rolex EXP]]*86400</f>
        <v>25128.348881247683</v>
      </c>
      <c r="Q429" s="235" t="str">
        <f>IF(Broadcast_BASE[[#This Row],[Dashboard Rated?]]="No","N","Y")</f>
        <v>Y</v>
      </c>
      <c r="R429" s="236"/>
      <c r="S429" s="236"/>
    </row>
    <row r="430" spans="1:19" x14ac:dyDescent="0.25">
      <c r="A430" s="72" t="e">
        <f>#REF!</f>
        <v>#REF!</v>
      </c>
      <c r="B430" t="s">
        <v>45</v>
      </c>
      <c r="C430" t="s">
        <v>45</v>
      </c>
      <c r="D430" t="s">
        <v>1642</v>
      </c>
      <c r="E430" s="102">
        <v>2.8576388888888888</v>
      </c>
      <c r="F430" s="101">
        <v>66786.518095511885</v>
      </c>
      <c r="G430" s="102">
        <v>0.18354073538611707</v>
      </c>
      <c r="H430" s="101">
        <v>5819.2759793963387</v>
      </c>
      <c r="I430" s="101">
        <v>1643.6272603591347</v>
      </c>
      <c r="J430" s="101"/>
      <c r="K430" s="233" t="str">
        <f>VLOOKUP(Broadcast_BASE[[#This Row],[Broadcast Market]],Continent_Look_Up[],2,FALSE)</f>
        <v>Digital</v>
      </c>
      <c r="L430" t="str">
        <f>IF(OR(Broadcast_BASE[[#This Row],[Broadcast Continent]]="Digital",Broadcast_BASE[[#This Row],[Programme Type]]="Digital"),"Y","N")</f>
        <v>Y</v>
      </c>
      <c r="M430" s="4" t="str">
        <f>IF(ISNUMBER(SEARCH("Pan ",Broadcast_BASE[[#This Row],[Broadcast Market]]))=TRUE,"Y","N")</f>
        <v>N</v>
      </c>
      <c r="N430" t="str">
        <f>VLOOKUP(CONCATENATE(Broadcast_BASE[[#This Row],[Broadcast Market]],Broadcast_BASE[[#This Row],[Broadcaster]]),Table1[[CC]:[Pay TV vs. Free-to-Air]],3,FALSE)</f>
        <v>Digital</v>
      </c>
      <c r="O430" s="1" t="str">
        <f>VLOOKUP(CONCATENATE(Broadcast_BASE[[#This Row],[Broadcast Market]],Broadcast_BASE[[#This Row],[Broadcaster]]),Table1[[CC]:[Pay TV vs. Free-to-Air]],2,FALSE)</f>
        <v>-</v>
      </c>
      <c r="P430" s="234">
        <f>Broadcast_BASE[[#This Row],[Rolex EXP]]*86400</f>
        <v>15857.919537360514</v>
      </c>
      <c r="Q430" s="235" t="str">
        <f>IF(Broadcast_BASE[[#This Row],[Dashboard Rated?]]="No","N","Y")</f>
        <v>Y</v>
      </c>
      <c r="R430" s="236"/>
      <c r="S430" s="236"/>
    </row>
    <row r="431" spans="1:19" x14ac:dyDescent="0.25">
      <c r="A431" s="72" t="e">
        <f>#REF!</f>
        <v>#REF!</v>
      </c>
      <c r="B431" t="s">
        <v>45</v>
      </c>
      <c r="C431" t="s">
        <v>45</v>
      </c>
      <c r="D431" t="s">
        <v>1643</v>
      </c>
      <c r="E431" s="102">
        <v>3.7222222222222219</v>
      </c>
      <c r="F431" s="101">
        <v>74986.284308877308</v>
      </c>
      <c r="G431" s="102">
        <v>0.22800431383389763</v>
      </c>
      <c r="H431" s="101">
        <v>53333.815478985111</v>
      </c>
      <c r="I431" s="101">
        <v>14807.293566739623</v>
      </c>
      <c r="J431" s="101"/>
      <c r="K431" s="233" t="str">
        <f>VLOOKUP(Broadcast_BASE[[#This Row],[Broadcast Market]],Continent_Look_Up[],2,FALSE)</f>
        <v>Digital</v>
      </c>
      <c r="L431" t="str">
        <f>IF(OR(Broadcast_BASE[[#This Row],[Broadcast Continent]]="Digital",Broadcast_BASE[[#This Row],[Programme Type]]="Digital"),"Y","N")</f>
        <v>Y</v>
      </c>
      <c r="M431" s="4" t="str">
        <f>IF(ISNUMBER(SEARCH("Pan ",Broadcast_BASE[[#This Row],[Broadcast Market]]))=TRUE,"Y","N")</f>
        <v>N</v>
      </c>
      <c r="N431" t="str">
        <f>VLOOKUP(CONCATENATE(Broadcast_BASE[[#This Row],[Broadcast Market]],Broadcast_BASE[[#This Row],[Broadcaster]]),Table1[[CC]:[Pay TV vs. Free-to-Air]],3,FALSE)</f>
        <v>Digital</v>
      </c>
      <c r="O431" s="1" t="str">
        <f>VLOOKUP(CONCATENATE(Broadcast_BASE[[#This Row],[Broadcast Market]],Broadcast_BASE[[#This Row],[Broadcaster]]),Table1[[CC]:[Pay TV vs. Free-to-Air]],2,FALSE)</f>
        <v>-</v>
      </c>
      <c r="P431" s="234">
        <f>Broadcast_BASE[[#This Row],[Rolex EXP]]*86400</f>
        <v>19699.572715248756</v>
      </c>
      <c r="Q431" s="235" t="str">
        <f>IF(Broadcast_BASE[[#This Row],[Dashboard Rated?]]="No","N","Y")</f>
        <v>Y</v>
      </c>
      <c r="R431" s="236"/>
      <c r="S431" s="236"/>
    </row>
    <row r="432" spans="1:19" x14ac:dyDescent="0.25">
      <c r="A432" s="72" t="e">
        <f>#REF!</f>
        <v>#REF!</v>
      </c>
      <c r="B432" t="s">
        <v>45</v>
      </c>
      <c r="C432" t="s">
        <v>45</v>
      </c>
      <c r="D432" t="s">
        <v>1642</v>
      </c>
      <c r="E432" s="102">
        <v>0.875</v>
      </c>
      <c r="F432" s="101">
        <v>9862.2192391889585</v>
      </c>
      <c r="G432" s="102">
        <v>5.1443409269359856E-2</v>
      </c>
      <c r="H432" s="101">
        <v>838.635309378339</v>
      </c>
      <c r="I432" s="101">
        <v>238.45955016470461</v>
      </c>
      <c r="J432" s="101"/>
      <c r="K432" s="233" t="str">
        <f>VLOOKUP(Broadcast_BASE[[#This Row],[Broadcast Market]],Continent_Look_Up[],2,FALSE)</f>
        <v>Digital</v>
      </c>
      <c r="L432" t="str">
        <f>IF(OR(Broadcast_BASE[[#This Row],[Broadcast Continent]]="Digital",Broadcast_BASE[[#This Row],[Programme Type]]="Digital"),"Y","N")</f>
        <v>Y</v>
      </c>
      <c r="M432" s="4" t="str">
        <f>IF(ISNUMBER(SEARCH("Pan ",Broadcast_BASE[[#This Row],[Broadcast Market]]))=TRUE,"Y","N")</f>
        <v>N</v>
      </c>
      <c r="N432" t="str">
        <f>VLOOKUP(CONCATENATE(Broadcast_BASE[[#This Row],[Broadcast Market]],Broadcast_BASE[[#This Row],[Broadcaster]]),Table1[[CC]:[Pay TV vs. Free-to-Air]],3,FALSE)</f>
        <v>Digital</v>
      </c>
      <c r="O432" s="1" t="str">
        <f>VLOOKUP(CONCATENATE(Broadcast_BASE[[#This Row],[Broadcast Market]],Broadcast_BASE[[#This Row],[Broadcaster]]),Table1[[CC]:[Pay TV vs. Free-to-Air]],2,FALSE)</f>
        <v>-</v>
      </c>
      <c r="P432" s="234">
        <f>Broadcast_BASE[[#This Row],[Rolex EXP]]*86400</f>
        <v>4444.7105608726915</v>
      </c>
      <c r="Q432" s="235" t="str">
        <f>IF(Broadcast_BASE[[#This Row],[Dashboard Rated?]]="No","N","Y")</f>
        <v>Y</v>
      </c>
      <c r="R432" s="236"/>
      <c r="S432" s="236"/>
    </row>
    <row r="433" spans="1:19" x14ac:dyDescent="0.25">
      <c r="A433" s="72" t="e">
        <f>#REF!</f>
        <v>#REF!</v>
      </c>
      <c r="B433" t="s">
        <v>45</v>
      </c>
      <c r="C433" t="s">
        <v>45</v>
      </c>
      <c r="D433" t="s">
        <v>1643</v>
      </c>
      <c r="E433" s="102">
        <v>2.0486111111111112</v>
      </c>
      <c r="F433" s="101">
        <v>17804.977370097589</v>
      </c>
      <c r="G433" s="102">
        <v>0.12548744884514887</v>
      </c>
      <c r="H433" s="101">
        <v>13154.971081813463</v>
      </c>
      <c r="I433" s="101">
        <v>3652.2704577011627</v>
      </c>
      <c r="J433" s="101"/>
      <c r="K433" s="233" t="str">
        <f>VLOOKUP(Broadcast_BASE[[#This Row],[Broadcast Market]],Continent_Look_Up[],2,FALSE)</f>
        <v>Digital</v>
      </c>
      <c r="L433" t="str">
        <f>IF(OR(Broadcast_BASE[[#This Row],[Broadcast Continent]]="Digital",Broadcast_BASE[[#This Row],[Programme Type]]="Digital"),"Y","N")</f>
        <v>Y</v>
      </c>
      <c r="M433" s="4" t="str">
        <f>IF(ISNUMBER(SEARCH("Pan ",Broadcast_BASE[[#This Row],[Broadcast Market]]))=TRUE,"Y","N")</f>
        <v>N</v>
      </c>
      <c r="N433" t="str">
        <f>VLOOKUP(CONCATENATE(Broadcast_BASE[[#This Row],[Broadcast Market]],Broadcast_BASE[[#This Row],[Broadcaster]]),Table1[[CC]:[Pay TV vs. Free-to-Air]],3,FALSE)</f>
        <v>Digital</v>
      </c>
      <c r="O433" s="1" t="str">
        <f>VLOOKUP(CONCATENATE(Broadcast_BASE[[#This Row],[Broadcast Market]],Broadcast_BASE[[#This Row],[Broadcaster]]),Table1[[CC]:[Pay TV vs. Free-to-Air]],2,FALSE)</f>
        <v>-</v>
      </c>
      <c r="P433" s="234">
        <f>Broadcast_BASE[[#This Row],[Rolex EXP]]*86400</f>
        <v>10842.115580220861</v>
      </c>
      <c r="Q433" s="235" t="str">
        <f>IF(Broadcast_BASE[[#This Row],[Dashboard Rated?]]="No","N","Y")</f>
        <v>Y</v>
      </c>
      <c r="R433" s="236"/>
      <c r="S433" s="236"/>
    </row>
    <row r="434" spans="1:19" x14ac:dyDescent="0.25">
      <c r="A434" s="72" t="e">
        <f>#REF!</f>
        <v>#REF!</v>
      </c>
      <c r="B434" t="s">
        <v>45</v>
      </c>
      <c r="C434" t="s">
        <v>45</v>
      </c>
      <c r="D434" t="s">
        <v>1643</v>
      </c>
      <c r="E434" s="102">
        <v>2.5416666666666665</v>
      </c>
      <c r="F434" s="101">
        <v>17804.977370097589</v>
      </c>
      <c r="G434" s="102">
        <v>0.15568951280448978</v>
      </c>
      <c r="H434" s="101">
        <v>16312.75339069754</v>
      </c>
      <c r="I434" s="101">
        <v>4528.9789633194669</v>
      </c>
      <c r="J434" s="101"/>
      <c r="K434" s="233" t="str">
        <f>VLOOKUP(Broadcast_BASE[[#This Row],[Broadcast Market]],Continent_Look_Up[],2,FALSE)</f>
        <v>Digital</v>
      </c>
      <c r="L434" t="str">
        <f>IF(OR(Broadcast_BASE[[#This Row],[Broadcast Continent]]="Digital",Broadcast_BASE[[#This Row],[Programme Type]]="Digital"),"Y","N")</f>
        <v>Y</v>
      </c>
      <c r="M434" s="4" t="str">
        <f>IF(ISNUMBER(SEARCH("Pan ",Broadcast_BASE[[#This Row],[Broadcast Market]]))=TRUE,"Y","N")</f>
        <v>N</v>
      </c>
      <c r="N434" t="str">
        <f>VLOOKUP(CONCATENATE(Broadcast_BASE[[#This Row],[Broadcast Market]],Broadcast_BASE[[#This Row],[Broadcaster]]),Table1[[CC]:[Pay TV vs. Free-to-Air]],3,FALSE)</f>
        <v>Digital</v>
      </c>
      <c r="O434" s="1" t="str">
        <f>VLOOKUP(CONCATENATE(Broadcast_BASE[[#This Row],[Broadcast Market]],Broadcast_BASE[[#This Row],[Broadcaster]]),Table1[[CC]:[Pay TV vs. Free-to-Air]],2,FALSE)</f>
        <v>-</v>
      </c>
      <c r="P434" s="234">
        <f>Broadcast_BASE[[#This Row],[Rolex EXP]]*86400</f>
        <v>13451.573906307916</v>
      </c>
      <c r="Q434" s="235" t="str">
        <f>IF(Broadcast_BASE[[#This Row],[Dashboard Rated?]]="No","N","Y")</f>
        <v>Y</v>
      </c>
      <c r="R434" s="236"/>
      <c r="S434" s="236"/>
    </row>
    <row r="435" spans="1:19" x14ac:dyDescent="0.25">
      <c r="A435" s="72" t="e">
        <f>#REF!</f>
        <v>#REF!</v>
      </c>
      <c r="B435" t="s">
        <v>45</v>
      </c>
      <c r="C435" t="s">
        <v>45</v>
      </c>
      <c r="D435" t="s">
        <v>1643</v>
      </c>
      <c r="E435" s="102">
        <v>6.385416666666667</v>
      </c>
      <c r="F435" s="101">
        <v>28522</v>
      </c>
      <c r="G435" s="102">
        <v>0.41001185214696029</v>
      </c>
      <c r="H435" s="101">
        <v>18926.173160390419</v>
      </c>
      <c r="I435" s="101">
        <v>5336.6457594132653</v>
      </c>
      <c r="J435" s="101"/>
      <c r="K435" s="233" t="str">
        <f>VLOOKUP(Broadcast_BASE[[#This Row],[Broadcast Market]],Continent_Look_Up[],2,FALSE)</f>
        <v>Digital</v>
      </c>
      <c r="L435" t="str">
        <f>IF(OR(Broadcast_BASE[[#This Row],[Broadcast Continent]]="Digital",Broadcast_BASE[[#This Row],[Programme Type]]="Digital"),"Y","N")</f>
        <v>Y</v>
      </c>
      <c r="M435" s="4" t="str">
        <f>IF(ISNUMBER(SEARCH("Pan ",Broadcast_BASE[[#This Row],[Broadcast Market]]))=TRUE,"Y","N")</f>
        <v>N</v>
      </c>
      <c r="N435" t="str">
        <f>VLOOKUP(CONCATENATE(Broadcast_BASE[[#This Row],[Broadcast Market]],Broadcast_BASE[[#This Row],[Broadcaster]]),Table1[[CC]:[Pay TV vs. Free-to-Air]],3,FALSE)</f>
        <v>Digital</v>
      </c>
      <c r="O435" s="1" t="str">
        <f>VLOOKUP(CONCATENATE(Broadcast_BASE[[#This Row],[Broadcast Market]],Broadcast_BASE[[#This Row],[Broadcaster]]),Table1[[CC]:[Pay TV vs. Free-to-Air]],2,FALSE)</f>
        <v>-</v>
      </c>
      <c r="P435" s="234">
        <f>Broadcast_BASE[[#This Row],[Rolex EXP]]*86400</f>
        <v>35425.024025497369</v>
      </c>
      <c r="Q435" s="235" t="str">
        <f>IF(Broadcast_BASE[[#This Row],[Dashboard Rated?]]="No","N","Y")</f>
        <v>Y</v>
      </c>
      <c r="R435" s="236"/>
      <c r="S435" s="236"/>
    </row>
    <row r="436" spans="1:19" x14ac:dyDescent="0.25">
      <c r="A436" s="72" t="e">
        <f>#REF!</f>
        <v>#REF!</v>
      </c>
      <c r="B436" t="s">
        <v>45</v>
      </c>
      <c r="C436" t="s">
        <v>45</v>
      </c>
      <c r="D436" t="s">
        <v>1643</v>
      </c>
      <c r="E436" s="102">
        <v>0.15555555555555556</v>
      </c>
      <c r="F436" s="101">
        <v>13054.4653082693</v>
      </c>
      <c r="G436" s="102">
        <v>9.5285384885807952E-3</v>
      </c>
      <c r="H436" s="101">
        <v>4951.0740789853526</v>
      </c>
      <c r="I436" s="101">
        <v>1374.587711376058</v>
      </c>
      <c r="J436" s="101"/>
      <c r="K436" s="233" t="str">
        <f>VLOOKUP(Broadcast_BASE[[#This Row],[Broadcast Market]],Continent_Look_Up[],2,FALSE)</f>
        <v>Digital</v>
      </c>
      <c r="L436" t="str">
        <f>IF(OR(Broadcast_BASE[[#This Row],[Broadcast Continent]]="Digital",Broadcast_BASE[[#This Row],[Programme Type]]="Digital"),"Y","N")</f>
        <v>Y</v>
      </c>
      <c r="M436" s="4" t="str">
        <f>IF(ISNUMBER(SEARCH("Pan ",Broadcast_BASE[[#This Row],[Broadcast Market]]))=TRUE,"Y","N")</f>
        <v>N</v>
      </c>
      <c r="N436" t="str">
        <f>VLOOKUP(CONCATENATE(Broadcast_BASE[[#This Row],[Broadcast Market]],Broadcast_BASE[[#This Row],[Broadcaster]]),Table1[[CC]:[Pay TV vs. Free-to-Air]],3,FALSE)</f>
        <v>Digital</v>
      </c>
      <c r="O436" s="1" t="str">
        <f>VLOOKUP(CONCATENATE(Broadcast_BASE[[#This Row],[Broadcast Market]],Broadcast_BASE[[#This Row],[Broadcaster]]),Table1[[CC]:[Pay TV vs. Free-to-Air]],2,FALSE)</f>
        <v>-</v>
      </c>
      <c r="P436" s="234">
        <f>Broadcast_BASE[[#This Row],[Rolex EXP]]*86400</f>
        <v>823.26572541338066</v>
      </c>
      <c r="Q436" s="235" t="str">
        <f>IF(Broadcast_BASE[[#This Row],[Dashboard Rated?]]="No","N","Y")</f>
        <v>Y</v>
      </c>
      <c r="R436" s="236"/>
      <c r="S436" s="236"/>
    </row>
    <row r="437" spans="1:19" x14ac:dyDescent="0.25">
      <c r="A437" s="72" t="e">
        <f>#REF!</f>
        <v>#REF!</v>
      </c>
      <c r="B437" t="s">
        <v>45</v>
      </c>
      <c r="C437" t="s">
        <v>45</v>
      </c>
      <c r="D437" t="s">
        <v>1643</v>
      </c>
      <c r="E437" s="102">
        <v>6.5694444444444438</v>
      </c>
      <c r="F437" s="101">
        <v>120768</v>
      </c>
      <c r="G437" s="102">
        <v>0.42219400197905926</v>
      </c>
      <c r="H437" s="101">
        <v>109706.23884709044</v>
      </c>
      <c r="I437" s="101">
        <v>30876.441374749211</v>
      </c>
      <c r="J437" s="101"/>
      <c r="K437" s="233" t="str">
        <f>VLOOKUP(Broadcast_BASE[[#This Row],[Broadcast Market]],Continent_Look_Up[],2,FALSE)</f>
        <v>Digital</v>
      </c>
      <c r="L437" t="str">
        <f>IF(OR(Broadcast_BASE[[#This Row],[Broadcast Continent]]="Digital",Broadcast_BASE[[#This Row],[Programme Type]]="Digital"),"Y","N")</f>
        <v>Y</v>
      </c>
      <c r="M437" s="4" t="str">
        <f>IF(ISNUMBER(SEARCH("Pan ",Broadcast_BASE[[#This Row],[Broadcast Market]]))=TRUE,"Y","N")</f>
        <v>N</v>
      </c>
      <c r="N437" t="str">
        <f>VLOOKUP(CONCATENATE(Broadcast_BASE[[#This Row],[Broadcast Market]],Broadcast_BASE[[#This Row],[Broadcaster]]),Table1[[CC]:[Pay TV vs. Free-to-Air]],3,FALSE)</f>
        <v>Digital</v>
      </c>
      <c r="O437" s="1" t="str">
        <f>VLOOKUP(CONCATENATE(Broadcast_BASE[[#This Row],[Broadcast Market]],Broadcast_BASE[[#This Row],[Broadcaster]]),Table1[[CC]:[Pay TV vs. Free-to-Air]],2,FALSE)</f>
        <v>-</v>
      </c>
      <c r="P437" s="234">
        <f>Broadcast_BASE[[#This Row],[Rolex EXP]]*86400</f>
        <v>36477.561770990724</v>
      </c>
      <c r="Q437" s="235" t="str">
        <f>IF(Broadcast_BASE[[#This Row],[Dashboard Rated?]]="No","N","Y")</f>
        <v>Y</v>
      </c>
      <c r="R437" s="236"/>
      <c r="S437" s="236"/>
    </row>
    <row r="438" spans="1:19" x14ac:dyDescent="0.25">
      <c r="A438" s="72" t="e">
        <f>#REF!</f>
        <v>#REF!</v>
      </c>
      <c r="B438" t="s">
        <v>45</v>
      </c>
      <c r="C438" t="s">
        <v>45</v>
      </c>
      <c r="D438" t="s">
        <v>1642</v>
      </c>
      <c r="E438" s="102">
        <v>0.91666666666666663</v>
      </c>
      <c r="F438" s="101">
        <v>21733.325877283314</v>
      </c>
      <c r="G438" s="102">
        <v>6.2736494922144406E-2</v>
      </c>
      <c r="H438" s="101">
        <v>2045.2587828585915</v>
      </c>
      <c r="I438" s="101">
        <v>580.10948310305878</v>
      </c>
      <c r="J438" s="101"/>
      <c r="K438" s="233" t="str">
        <f>VLOOKUP(Broadcast_BASE[[#This Row],[Broadcast Market]],Continent_Look_Up[],2,FALSE)</f>
        <v>Digital</v>
      </c>
      <c r="L438" t="str">
        <f>IF(OR(Broadcast_BASE[[#This Row],[Broadcast Continent]]="Digital",Broadcast_BASE[[#This Row],[Programme Type]]="Digital"),"Y","N")</f>
        <v>Y</v>
      </c>
      <c r="M438" s="4" t="str">
        <f>IF(ISNUMBER(SEARCH("Pan ",Broadcast_BASE[[#This Row],[Broadcast Market]]))=TRUE,"Y","N")</f>
        <v>N</v>
      </c>
      <c r="N438" t="str">
        <f>VLOOKUP(CONCATENATE(Broadcast_BASE[[#This Row],[Broadcast Market]],Broadcast_BASE[[#This Row],[Broadcaster]]),Table1[[CC]:[Pay TV vs. Free-to-Air]],3,FALSE)</f>
        <v>Digital</v>
      </c>
      <c r="O438" s="1" t="str">
        <f>VLOOKUP(CONCATENATE(Broadcast_BASE[[#This Row],[Broadcast Market]],Broadcast_BASE[[#This Row],[Broadcaster]]),Table1[[CC]:[Pay TV vs. Free-to-Air]],2,FALSE)</f>
        <v>-</v>
      </c>
      <c r="P438" s="234">
        <f>Broadcast_BASE[[#This Row],[Rolex EXP]]*86400</f>
        <v>5420.4331612732767</v>
      </c>
      <c r="Q438" s="235" t="str">
        <f>IF(Broadcast_BASE[[#This Row],[Dashboard Rated?]]="No","N","Y")</f>
        <v>Y</v>
      </c>
      <c r="R438" s="236"/>
      <c r="S438" s="236"/>
    </row>
    <row r="439" spans="1:19" x14ac:dyDescent="0.25">
      <c r="A439" s="72" t="e">
        <f>#REF!</f>
        <v>#REF!</v>
      </c>
      <c r="B439" t="s">
        <v>45</v>
      </c>
      <c r="C439" t="s">
        <v>45</v>
      </c>
      <c r="D439" t="s">
        <v>1643</v>
      </c>
      <c r="E439" s="102">
        <v>6.3506944444444438</v>
      </c>
      <c r="F439" s="101">
        <v>246194.72135858436</v>
      </c>
      <c r="G439" s="102">
        <v>0.40899576347210759</v>
      </c>
      <c r="H439" s="101">
        <v>74925.170841391169</v>
      </c>
      <c r="I439" s="101">
        <v>21109.186565695429</v>
      </c>
      <c r="J439" s="101"/>
      <c r="K439" s="233" t="str">
        <f>VLOOKUP(Broadcast_BASE[[#This Row],[Broadcast Market]],Continent_Look_Up[],2,FALSE)</f>
        <v>Digital</v>
      </c>
      <c r="L439" t="str">
        <f>IF(OR(Broadcast_BASE[[#This Row],[Broadcast Continent]]="Digital",Broadcast_BASE[[#This Row],[Programme Type]]="Digital"),"Y","N")</f>
        <v>Y</v>
      </c>
      <c r="M439" s="4" t="str">
        <f>IF(ISNUMBER(SEARCH("Pan ",Broadcast_BASE[[#This Row],[Broadcast Market]]))=TRUE,"Y","N")</f>
        <v>N</v>
      </c>
      <c r="N439" t="str">
        <f>VLOOKUP(CONCATENATE(Broadcast_BASE[[#This Row],[Broadcast Market]],Broadcast_BASE[[#This Row],[Broadcaster]]),Table1[[CC]:[Pay TV vs. Free-to-Air]],3,FALSE)</f>
        <v>Digital</v>
      </c>
      <c r="O439" s="1" t="str">
        <f>VLOOKUP(CONCATENATE(Broadcast_BASE[[#This Row],[Broadcast Market]],Broadcast_BASE[[#This Row],[Broadcaster]]),Table1[[CC]:[Pay TV vs. Free-to-Air]],2,FALSE)</f>
        <v>-</v>
      </c>
      <c r="P439" s="234">
        <f>Broadcast_BASE[[#This Row],[Rolex EXP]]*86400</f>
        <v>35337.233963990097</v>
      </c>
      <c r="Q439" s="235" t="str">
        <f>IF(Broadcast_BASE[[#This Row],[Dashboard Rated?]]="No","N","Y")</f>
        <v>Y</v>
      </c>
      <c r="R439" s="236"/>
      <c r="S439" s="236"/>
    </row>
    <row r="440" spans="1:19" x14ac:dyDescent="0.25">
      <c r="A440" s="72" t="e">
        <f>#REF!</f>
        <v>#REF!</v>
      </c>
      <c r="B440" t="s">
        <v>45</v>
      </c>
      <c r="C440" t="s">
        <v>45</v>
      </c>
      <c r="D440" t="s">
        <v>1644</v>
      </c>
      <c r="E440" s="102">
        <v>1.8993055555555556</v>
      </c>
      <c r="F440" s="101">
        <v>23179.267105530209</v>
      </c>
      <c r="G440" s="102">
        <v>0.1198539625892993</v>
      </c>
      <c r="H440" s="101">
        <v>3549.5825827414506</v>
      </c>
      <c r="I440" s="101">
        <v>1012.3195877530903</v>
      </c>
      <c r="J440" s="101"/>
      <c r="K440" s="233" t="str">
        <f>VLOOKUP(Broadcast_BASE[[#This Row],[Broadcast Market]],Continent_Look_Up[],2,FALSE)</f>
        <v>Digital</v>
      </c>
      <c r="L440" t="str">
        <f>IF(OR(Broadcast_BASE[[#This Row],[Broadcast Continent]]="Digital",Broadcast_BASE[[#This Row],[Programme Type]]="Digital"),"Y","N")</f>
        <v>Y</v>
      </c>
      <c r="M440" s="4" t="str">
        <f>IF(ISNUMBER(SEARCH("Pan ",Broadcast_BASE[[#This Row],[Broadcast Market]]))=TRUE,"Y","N")</f>
        <v>N</v>
      </c>
      <c r="N440" t="str">
        <f>VLOOKUP(CONCATENATE(Broadcast_BASE[[#This Row],[Broadcast Market]],Broadcast_BASE[[#This Row],[Broadcaster]]),Table1[[CC]:[Pay TV vs. Free-to-Air]],3,FALSE)</f>
        <v>Digital</v>
      </c>
      <c r="O440" s="1" t="str">
        <f>VLOOKUP(CONCATENATE(Broadcast_BASE[[#This Row],[Broadcast Market]],Broadcast_BASE[[#This Row],[Broadcaster]]),Table1[[CC]:[Pay TV vs. Free-to-Air]],2,FALSE)</f>
        <v>-</v>
      </c>
      <c r="P440" s="234">
        <f>Broadcast_BASE[[#This Row],[Rolex EXP]]*86400</f>
        <v>10355.38236771546</v>
      </c>
      <c r="Q440" s="235" t="str">
        <f>IF(Broadcast_BASE[[#This Row],[Dashboard Rated?]]="No","N","Y")</f>
        <v>Y</v>
      </c>
      <c r="R440" s="236"/>
      <c r="S440" s="236"/>
    </row>
    <row r="441" spans="1:19" x14ac:dyDescent="0.25">
      <c r="A441" s="72" t="e">
        <f>#REF!</f>
        <v>#REF!</v>
      </c>
      <c r="B441" t="s">
        <v>45</v>
      </c>
      <c r="C441" t="s">
        <v>45</v>
      </c>
      <c r="D441" t="s">
        <v>1642</v>
      </c>
      <c r="E441" s="102">
        <v>0.95138888888888884</v>
      </c>
      <c r="F441" s="101">
        <v>17073.058083391341</v>
      </c>
      <c r="G441" s="102">
        <v>5.8575996228793004E-2</v>
      </c>
      <c r="H441" s="101">
        <v>1579.2477920528338</v>
      </c>
      <c r="I441" s="101">
        <v>443.15491868644176</v>
      </c>
      <c r="J441" s="101"/>
      <c r="K441" s="233" t="str">
        <f>VLOOKUP(Broadcast_BASE[[#This Row],[Broadcast Market]],Continent_Look_Up[],2,FALSE)</f>
        <v>Digital</v>
      </c>
      <c r="L441" t="str">
        <f>IF(OR(Broadcast_BASE[[#This Row],[Broadcast Continent]]="Digital",Broadcast_BASE[[#This Row],[Programme Type]]="Digital"),"Y","N")</f>
        <v>Y</v>
      </c>
      <c r="M441" s="4" t="str">
        <f>IF(ISNUMBER(SEARCH("Pan ",Broadcast_BASE[[#This Row],[Broadcast Market]]))=TRUE,"Y","N")</f>
        <v>N</v>
      </c>
      <c r="N441" t="str">
        <f>VLOOKUP(CONCATENATE(Broadcast_BASE[[#This Row],[Broadcast Market]],Broadcast_BASE[[#This Row],[Broadcaster]]),Table1[[CC]:[Pay TV vs. Free-to-Air]],3,FALSE)</f>
        <v>Digital</v>
      </c>
      <c r="O441" s="1" t="str">
        <f>VLOOKUP(CONCATENATE(Broadcast_BASE[[#This Row],[Broadcast Market]],Broadcast_BASE[[#This Row],[Broadcaster]]),Table1[[CC]:[Pay TV vs. Free-to-Air]],2,FALSE)</f>
        <v>-</v>
      </c>
      <c r="P441" s="234">
        <f>Broadcast_BASE[[#This Row],[Rolex EXP]]*86400</f>
        <v>5060.9660741677153</v>
      </c>
      <c r="Q441" s="235" t="str">
        <f>IF(Broadcast_BASE[[#This Row],[Dashboard Rated?]]="No","N","Y")</f>
        <v>Y</v>
      </c>
      <c r="R441" s="236"/>
      <c r="S441" s="236"/>
    </row>
    <row r="442" spans="1:19" x14ac:dyDescent="0.25">
      <c r="A442" s="72" t="e">
        <f>#REF!</f>
        <v>#REF!</v>
      </c>
      <c r="B442" t="s">
        <v>45</v>
      </c>
      <c r="C442" t="s">
        <v>45</v>
      </c>
      <c r="D442" t="s">
        <v>1643</v>
      </c>
      <c r="E442" s="102">
        <v>3.4513888888888888</v>
      </c>
      <c r="F442" s="101">
        <v>129686.54061973149</v>
      </c>
      <c r="G442" s="102">
        <v>0.21150164252284068</v>
      </c>
      <c r="H442" s="101">
        <v>34881.341495494213</v>
      </c>
      <c r="I442" s="101">
        <v>9695.22476510052</v>
      </c>
      <c r="J442" s="101"/>
      <c r="K442" s="233" t="str">
        <f>VLOOKUP(Broadcast_BASE[[#This Row],[Broadcast Market]],Continent_Look_Up[],2,FALSE)</f>
        <v>Digital</v>
      </c>
      <c r="L442" t="str">
        <f>IF(OR(Broadcast_BASE[[#This Row],[Broadcast Continent]]="Digital",Broadcast_BASE[[#This Row],[Programme Type]]="Digital"),"Y","N")</f>
        <v>Y</v>
      </c>
      <c r="M442" s="4" t="str">
        <f>IF(ISNUMBER(SEARCH("Pan ",Broadcast_BASE[[#This Row],[Broadcast Market]]))=TRUE,"Y","N")</f>
        <v>N</v>
      </c>
      <c r="N442" t="str">
        <f>VLOOKUP(CONCATENATE(Broadcast_BASE[[#This Row],[Broadcast Market]],Broadcast_BASE[[#This Row],[Broadcaster]]),Table1[[CC]:[Pay TV vs. Free-to-Air]],3,FALSE)</f>
        <v>Digital</v>
      </c>
      <c r="O442" s="1" t="str">
        <f>VLOOKUP(CONCATENATE(Broadcast_BASE[[#This Row],[Broadcast Market]],Broadcast_BASE[[#This Row],[Broadcaster]]),Table1[[CC]:[Pay TV vs. Free-to-Air]],2,FALSE)</f>
        <v>-</v>
      </c>
      <c r="P442" s="234">
        <f>Broadcast_BASE[[#This Row],[Rolex EXP]]*86400</f>
        <v>18273.741913973434</v>
      </c>
      <c r="Q442" s="235" t="str">
        <f>IF(Broadcast_BASE[[#This Row],[Dashboard Rated?]]="No","N","Y")</f>
        <v>Y</v>
      </c>
      <c r="R442" s="236"/>
      <c r="S442" s="236"/>
    </row>
    <row r="443" spans="1:19" x14ac:dyDescent="0.25">
      <c r="A443" s="72" t="e">
        <f>#REF!</f>
        <v>#REF!</v>
      </c>
      <c r="B443" t="s">
        <v>45</v>
      </c>
      <c r="C443" t="s">
        <v>45</v>
      </c>
      <c r="D443" t="s">
        <v>1644</v>
      </c>
      <c r="E443" s="102">
        <v>1.9548611111111109</v>
      </c>
      <c r="F443" s="101">
        <v>20112.734689428507</v>
      </c>
      <c r="G443" s="102">
        <v>0.12070994053226315</v>
      </c>
      <c r="H443" s="101">
        <v>3217.1219765628875</v>
      </c>
      <c r="I443" s="101">
        <v>914.88374115808892</v>
      </c>
      <c r="J443" s="101"/>
      <c r="K443" s="233" t="str">
        <f>VLOOKUP(Broadcast_BASE[[#This Row],[Broadcast Market]],Continent_Look_Up[],2,FALSE)</f>
        <v>Digital</v>
      </c>
      <c r="L443" t="str">
        <f>IF(OR(Broadcast_BASE[[#This Row],[Broadcast Continent]]="Digital",Broadcast_BASE[[#This Row],[Programme Type]]="Digital"),"Y","N")</f>
        <v>Y</v>
      </c>
      <c r="M443" s="4" t="str">
        <f>IF(ISNUMBER(SEARCH("Pan ",Broadcast_BASE[[#This Row],[Broadcast Market]]))=TRUE,"Y","N")</f>
        <v>N</v>
      </c>
      <c r="N443" t="str">
        <f>VLOOKUP(CONCATENATE(Broadcast_BASE[[#This Row],[Broadcast Market]],Broadcast_BASE[[#This Row],[Broadcaster]]),Table1[[CC]:[Pay TV vs. Free-to-Air]],3,FALSE)</f>
        <v>Digital</v>
      </c>
      <c r="O443" s="1" t="str">
        <f>VLOOKUP(CONCATENATE(Broadcast_BASE[[#This Row],[Broadcast Market]],Broadcast_BASE[[#This Row],[Broadcaster]]),Table1[[CC]:[Pay TV vs. Free-to-Air]],2,FALSE)</f>
        <v>-</v>
      </c>
      <c r="P443" s="234">
        <f>Broadcast_BASE[[#This Row],[Rolex EXP]]*86400</f>
        <v>10429.338861987537</v>
      </c>
      <c r="Q443" s="235" t="str">
        <f>IF(Broadcast_BASE[[#This Row],[Dashboard Rated?]]="No","N","Y")</f>
        <v>Y</v>
      </c>
      <c r="R443" s="236"/>
      <c r="S443" s="236"/>
    </row>
    <row r="444" spans="1:19" x14ac:dyDescent="0.25">
      <c r="A444" s="72" t="e">
        <f>#REF!</f>
        <v>#REF!</v>
      </c>
      <c r="B444" t="s">
        <v>45</v>
      </c>
      <c r="C444" t="s">
        <v>45</v>
      </c>
      <c r="D444" t="s">
        <v>1643</v>
      </c>
      <c r="E444" s="102">
        <v>7.875</v>
      </c>
      <c r="F444" s="101">
        <v>48078.177589694518</v>
      </c>
      <c r="G444" s="102">
        <v>0.50883138458644384</v>
      </c>
      <c r="H444" s="101">
        <v>36063.85657205282</v>
      </c>
      <c r="I444" s="101">
        <v>10163.109920236329</v>
      </c>
      <c r="J444" s="101"/>
      <c r="K444" s="233" t="str">
        <f>VLOOKUP(Broadcast_BASE[[#This Row],[Broadcast Market]],Continent_Look_Up[],2,FALSE)</f>
        <v>Digital</v>
      </c>
      <c r="L444" t="str">
        <f>IF(OR(Broadcast_BASE[[#This Row],[Broadcast Continent]]="Digital",Broadcast_BASE[[#This Row],[Programme Type]]="Digital"),"Y","N")</f>
        <v>Y</v>
      </c>
      <c r="M444" s="4" t="str">
        <f>IF(ISNUMBER(SEARCH("Pan ",Broadcast_BASE[[#This Row],[Broadcast Market]]))=TRUE,"Y","N")</f>
        <v>N</v>
      </c>
      <c r="N444" t="str">
        <f>VLOOKUP(CONCATENATE(Broadcast_BASE[[#This Row],[Broadcast Market]],Broadcast_BASE[[#This Row],[Broadcaster]]),Table1[[CC]:[Pay TV vs. Free-to-Air]],3,FALSE)</f>
        <v>Digital</v>
      </c>
      <c r="O444" s="1" t="str">
        <f>VLOOKUP(CONCATENATE(Broadcast_BASE[[#This Row],[Broadcast Market]],Broadcast_BASE[[#This Row],[Broadcaster]]),Table1[[CC]:[Pay TV vs. Free-to-Air]],2,FALSE)</f>
        <v>-</v>
      </c>
      <c r="P444" s="234">
        <f>Broadcast_BASE[[#This Row],[Rolex EXP]]*86400</f>
        <v>43963.031628268749</v>
      </c>
      <c r="Q444" s="235" t="str">
        <f>IF(Broadcast_BASE[[#This Row],[Dashboard Rated?]]="No","N","Y")</f>
        <v>Y</v>
      </c>
      <c r="R444" s="236"/>
      <c r="S444" s="236"/>
    </row>
    <row r="445" spans="1:19" x14ac:dyDescent="0.25">
      <c r="A445" s="72" t="e">
        <f>#REF!</f>
        <v>#REF!</v>
      </c>
      <c r="B445" t="s">
        <v>45</v>
      </c>
      <c r="C445" t="s">
        <v>45</v>
      </c>
      <c r="D445" t="s">
        <v>1644</v>
      </c>
      <c r="E445" s="102">
        <v>0.125</v>
      </c>
      <c r="F445" s="101">
        <v>674.47348010014991</v>
      </c>
      <c r="G445" s="102">
        <v>7.6568612854667102E-3</v>
      </c>
      <c r="H445" s="101">
        <v>205.55578362923535</v>
      </c>
      <c r="I445" s="101">
        <v>57.069324690235312</v>
      </c>
      <c r="J445" s="101"/>
      <c r="K445" s="233" t="str">
        <f>VLOOKUP(Broadcast_BASE[[#This Row],[Broadcast Market]],Continent_Look_Up[],2,FALSE)</f>
        <v>Digital</v>
      </c>
      <c r="L445" t="str">
        <f>IF(OR(Broadcast_BASE[[#This Row],[Broadcast Continent]]="Digital",Broadcast_BASE[[#This Row],[Programme Type]]="Digital"),"Y","N")</f>
        <v>Y</v>
      </c>
      <c r="M445" s="4" t="str">
        <f>IF(ISNUMBER(SEARCH("Pan ",Broadcast_BASE[[#This Row],[Broadcast Market]]))=TRUE,"Y","N")</f>
        <v>N</v>
      </c>
      <c r="N445" t="str">
        <f>VLOOKUP(CONCATENATE(Broadcast_BASE[[#This Row],[Broadcast Market]],Broadcast_BASE[[#This Row],[Broadcaster]]),Table1[[CC]:[Pay TV vs. Free-to-Air]],3,FALSE)</f>
        <v>Digital</v>
      </c>
      <c r="O445" s="1" t="str">
        <f>VLOOKUP(CONCATENATE(Broadcast_BASE[[#This Row],[Broadcast Market]],Broadcast_BASE[[#This Row],[Broadcaster]]),Table1[[CC]:[Pay TV vs. Free-to-Air]],2,FALSE)</f>
        <v>-</v>
      </c>
      <c r="P445" s="234">
        <f>Broadcast_BASE[[#This Row],[Rolex EXP]]*86400</f>
        <v>661.5528150643238</v>
      </c>
      <c r="Q445" s="235" t="str">
        <f>IF(Broadcast_BASE[[#This Row],[Dashboard Rated?]]="No","N","Y")</f>
        <v>Y</v>
      </c>
      <c r="R445" s="236"/>
      <c r="S445" s="236"/>
    </row>
    <row r="446" spans="1:19" x14ac:dyDescent="0.25">
      <c r="A446" s="72" t="e">
        <f>#REF!</f>
        <v>#REF!</v>
      </c>
      <c r="B446" t="s">
        <v>45</v>
      </c>
      <c r="C446" t="s">
        <v>45</v>
      </c>
      <c r="D446" t="s">
        <v>1643</v>
      </c>
      <c r="E446" s="102">
        <v>1.9409722222222223</v>
      </c>
      <c r="F446" s="101">
        <v>826.74369209075348</v>
      </c>
      <c r="G446" s="102">
        <v>0.14031459628587176</v>
      </c>
      <c r="H446" s="101">
        <v>404.03350353415897</v>
      </c>
      <c r="I446" s="101">
        <v>116.03161106524199</v>
      </c>
      <c r="J446" s="101"/>
      <c r="K446" s="233" t="str">
        <f>VLOOKUP(Broadcast_BASE[[#This Row],[Broadcast Market]],Continent_Look_Up[],2,FALSE)</f>
        <v>Digital</v>
      </c>
      <c r="L446" t="str">
        <f>IF(OR(Broadcast_BASE[[#This Row],[Broadcast Continent]]="Digital",Broadcast_BASE[[#This Row],[Programme Type]]="Digital"),"Y","N")</f>
        <v>Y</v>
      </c>
      <c r="M446" s="4" t="str">
        <f>IF(ISNUMBER(SEARCH("Pan ",Broadcast_BASE[[#This Row],[Broadcast Market]]))=TRUE,"Y","N")</f>
        <v>N</v>
      </c>
      <c r="N446" t="str">
        <f>VLOOKUP(CONCATENATE(Broadcast_BASE[[#This Row],[Broadcast Market]],Broadcast_BASE[[#This Row],[Broadcaster]]),Table1[[CC]:[Pay TV vs. Free-to-Air]],3,FALSE)</f>
        <v>Digital</v>
      </c>
      <c r="O446" s="1" t="str">
        <f>VLOOKUP(CONCATENATE(Broadcast_BASE[[#This Row],[Broadcast Market]],Broadcast_BASE[[#This Row],[Broadcaster]]),Table1[[CC]:[Pay TV vs. Free-to-Air]],2,FALSE)</f>
        <v>-</v>
      </c>
      <c r="P446" s="234">
        <f>Broadcast_BASE[[#This Row],[Rolex EXP]]*86400</f>
        <v>12123.181119099319</v>
      </c>
      <c r="Q446" s="235" t="str">
        <f>IF(Broadcast_BASE[[#This Row],[Dashboard Rated?]]="No","N","Y")</f>
        <v>Y</v>
      </c>
      <c r="R446" s="236"/>
      <c r="S446" s="236"/>
    </row>
    <row r="447" spans="1:19" x14ac:dyDescent="0.25">
      <c r="A447" s="72" t="e">
        <f>#REF!</f>
        <v>#REF!</v>
      </c>
      <c r="B447" t="s">
        <v>45</v>
      </c>
      <c r="C447" t="s">
        <v>45</v>
      </c>
      <c r="D447" t="s">
        <v>1642</v>
      </c>
      <c r="E447" s="102">
        <v>0.72892361111111115</v>
      </c>
      <c r="F447" s="101">
        <v>8806.9557912339897</v>
      </c>
      <c r="G447" s="102">
        <v>4.3490594414247873E-2</v>
      </c>
      <c r="H447" s="101">
        <v>651.2280209150789</v>
      </c>
      <c r="I447" s="101">
        <v>183.79048346325496</v>
      </c>
      <c r="J447" s="101"/>
      <c r="K447" s="233" t="str">
        <f>VLOOKUP(Broadcast_BASE[[#This Row],[Broadcast Market]],Continent_Look_Up[],2,FALSE)</f>
        <v>Digital</v>
      </c>
      <c r="L447" t="str">
        <f>IF(OR(Broadcast_BASE[[#This Row],[Broadcast Continent]]="Digital",Broadcast_BASE[[#This Row],[Programme Type]]="Digital"),"Y","N")</f>
        <v>Y</v>
      </c>
      <c r="M447" s="4" t="str">
        <f>IF(ISNUMBER(SEARCH("Pan ",Broadcast_BASE[[#This Row],[Broadcast Market]]))=TRUE,"Y","N")</f>
        <v>N</v>
      </c>
      <c r="N447" t="str">
        <f>VLOOKUP(CONCATENATE(Broadcast_BASE[[#This Row],[Broadcast Market]],Broadcast_BASE[[#This Row],[Broadcaster]]),Table1[[CC]:[Pay TV vs. Free-to-Air]],3,FALSE)</f>
        <v>Digital</v>
      </c>
      <c r="O447" s="1" t="str">
        <f>VLOOKUP(CONCATENATE(Broadcast_BASE[[#This Row],[Broadcast Market]],Broadcast_BASE[[#This Row],[Broadcaster]]),Table1[[CC]:[Pay TV vs. Free-to-Air]],2,FALSE)</f>
        <v>-</v>
      </c>
      <c r="P447" s="234">
        <f>Broadcast_BASE[[#This Row],[Rolex EXP]]*86400</f>
        <v>3757.5873573910162</v>
      </c>
      <c r="Q447" s="235" t="str">
        <f>IF(Broadcast_BASE[[#This Row],[Dashboard Rated?]]="No","N","Y")</f>
        <v>Y</v>
      </c>
      <c r="R447" s="236"/>
      <c r="S447" s="236"/>
    </row>
    <row r="448" spans="1:19" x14ac:dyDescent="0.25">
      <c r="A448" s="72" t="e">
        <f>#REF!</f>
        <v>#REF!</v>
      </c>
      <c r="B448" t="s">
        <v>45</v>
      </c>
      <c r="C448" t="s">
        <v>45</v>
      </c>
      <c r="D448" t="s">
        <v>1643</v>
      </c>
      <c r="E448" s="102">
        <v>3.8540509259259257</v>
      </c>
      <c r="F448" s="101">
        <v>4177.2934581997215</v>
      </c>
      <c r="G448" s="102">
        <v>0.23607946661551485</v>
      </c>
      <c r="H448" s="101">
        <v>5116.4501133375943</v>
      </c>
      <c r="I448" s="101">
        <v>1420.5017617316294</v>
      </c>
      <c r="J448" s="101"/>
      <c r="K448" s="233" t="str">
        <f>VLOOKUP(Broadcast_BASE[[#This Row],[Broadcast Market]],Continent_Look_Up[],2,FALSE)</f>
        <v>Digital</v>
      </c>
      <c r="L448" t="str">
        <f>IF(OR(Broadcast_BASE[[#This Row],[Broadcast Continent]]="Digital",Broadcast_BASE[[#This Row],[Programme Type]]="Digital"),"Y","N")</f>
        <v>Y</v>
      </c>
      <c r="M448" s="4" t="str">
        <f>IF(ISNUMBER(SEARCH("Pan ",Broadcast_BASE[[#This Row],[Broadcast Market]]))=TRUE,"Y","N")</f>
        <v>N</v>
      </c>
      <c r="N448" t="str">
        <f>VLOOKUP(CONCATENATE(Broadcast_BASE[[#This Row],[Broadcast Market]],Broadcast_BASE[[#This Row],[Broadcaster]]),Table1[[CC]:[Pay TV vs. Free-to-Air]],3,FALSE)</f>
        <v>Digital</v>
      </c>
      <c r="O448" s="1" t="str">
        <f>VLOOKUP(CONCATENATE(Broadcast_BASE[[#This Row],[Broadcast Market]],Broadcast_BASE[[#This Row],[Broadcaster]]),Table1[[CC]:[Pay TV vs. Free-to-Air]],2,FALSE)</f>
        <v>-</v>
      </c>
      <c r="P448" s="234">
        <f>Broadcast_BASE[[#This Row],[Rolex EXP]]*86400</f>
        <v>20397.265915580483</v>
      </c>
      <c r="Q448" s="235" t="str">
        <f>IF(Broadcast_BASE[[#This Row],[Dashboard Rated?]]="No","N","Y")</f>
        <v>Y</v>
      </c>
      <c r="R448" s="236"/>
      <c r="S448" s="236"/>
    </row>
    <row r="449" spans="1:19" x14ac:dyDescent="0.25">
      <c r="A449" s="72" t="e">
        <f>#REF!</f>
        <v>#REF!</v>
      </c>
      <c r="B449" t="s">
        <v>45</v>
      </c>
      <c r="C449" t="s">
        <v>45</v>
      </c>
      <c r="D449" t="s">
        <v>1643</v>
      </c>
      <c r="E449" s="102">
        <v>4.206828703703704</v>
      </c>
      <c r="F449" s="101">
        <v>8293.3776298235807</v>
      </c>
      <c r="G449" s="102">
        <v>0.25768883068783199</v>
      </c>
      <c r="H449" s="101">
        <v>9250.581453098348</v>
      </c>
      <c r="I449" s="101">
        <v>2568.2781929043895</v>
      </c>
      <c r="J449" s="101"/>
      <c r="K449" s="233" t="str">
        <f>VLOOKUP(Broadcast_BASE[[#This Row],[Broadcast Market]],Continent_Look_Up[],2,FALSE)</f>
        <v>Digital</v>
      </c>
      <c r="L449" t="str">
        <f>IF(OR(Broadcast_BASE[[#This Row],[Broadcast Continent]]="Digital",Broadcast_BASE[[#This Row],[Programme Type]]="Digital"),"Y","N")</f>
        <v>Y</v>
      </c>
      <c r="M449" s="4" t="str">
        <f>IF(ISNUMBER(SEARCH("Pan ",Broadcast_BASE[[#This Row],[Broadcast Market]]))=TRUE,"Y","N")</f>
        <v>N</v>
      </c>
      <c r="N449" t="str">
        <f>VLOOKUP(CONCATENATE(Broadcast_BASE[[#This Row],[Broadcast Market]],Broadcast_BASE[[#This Row],[Broadcaster]]),Table1[[CC]:[Pay TV vs. Free-to-Air]],3,FALSE)</f>
        <v>Digital</v>
      </c>
      <c r="O449" s="1" t="str">
        <f>VLOOKUP(CONCATENATE(Broadcast_BASE[[#This Row],[Broadcast Market]],Broadcast_BASE[[#This Row],[Broadcaster]]),Table1[[CC]:[Pay TV vs. Free-to-Air]],2,FALSE)</f>
        <v>-</v>
      </c>
      <c r="P449" s="234">
        <f>Broadcast_BASE[[#This Row],[Rolex EXP]]*86400</f>
        <v>22264.314971428685</v>
      </c>
      <c r="Q449" s="235" t="str">
        <f>IF(Broadcast_BASE[[#This Row],[Dashboard Rated?]]="No","N","Y")</f>
        <v>Y</v>
      </c>
      <c r="R449" s="236"/>
      <c r="S449" s="236"/>
    </row>
    <row r="450" spans="1:19" x14ac:dyDescent="0.25">
      <c r="A450" s="72" t="e">
        <f>#REF!</f>
        <v>#REF!</v>
      </c>
      <c r="B450" t="s">
        <v>45</v>
      </c>
      <c r="C450" t="s">
        <v>45</v>
      </c>
      <c r="D450" t="s">
        <v>1642</v>
      </c>
      <c r="E450" s="102">
        <v>2.9435879629629631</v>
      </c>
      <c r="F450" s="101">
        <v>6078.9183767833256</v>
      </c>
      <c r="G450" s="102">
        <v>0.18749908594718981</v>
      </c>
      <c r="H450" s="101">
        <v>1976.0613792112858</v>
      </c>
      <c r="I450" s="101">
        <v>576.60944262037685</v>
      </c>
      <c r="J450" s="101"/>
      <c r="K450" s="233" t="str">
        <f>VLOOKUP(Broadcast_BASE[[#This Row],[Broadcast Market]],Continent_Look_Up[],2,FALSE)</f>
        <v>Digital</v>
      </c>
      <c r="L450" t="str">
        <f>IF(OR(Broadcast_BASE[[#This Row],[Broadcast Continent]]="Digital",Broadcast_BASE[[#This Row],[Programme Type]]="Digital"),"Y","N")</f>
        <v>Y</v>
      </c>
      <c r="M450" s="4" t="str">
        <f>IF(ISNUMBER(SEARCH("Pan ",Broadcast_BASE[[#This Row],[Broadcast Market]]))=TRUE,"Y","N")</f>
        <v>N</v>
      </c>
      <c r="N450" t="str">
        <f>VLOOKUP(CONCATENATE(Broadcast_BASE[[#This Row],[Broadcast Market]],Broadcast_BASE[[#This Row],[Broadcaster]]),Table1[[CC]:[Pay TV vs. Free-to-Air]],3,FALSE)</f>
        <v>Digital</v>
      </c>
      <c r="O450" s="1" t="str">
        <f>VLOOKUP(CONCATENATE(Broadcast_BASE[[#This Row],[Broadcast Market]],Broadcast_BASE[[#This Row],[Broadcaster]]),Table1[[CC]:[Pay TV vs. Free-to-Air]],2,FALSE)</f>
        <v>-</v>
      </c>
      <c r="P450" s="234">
        <f>Broadcast_BASE[[#This Row],[Rolex EXP]]*86400</f>
        <v>16199.921025837199</v>
      </c>
      <c r="Q450" s="235" t="str">
        <f>IF(Broadcast_BASE[[#This Row],[Dashboard Rated?]]="No","N","Y")</f>
        <v>Y</v>
      </c>
      <c r="R450" s="236"/>
      <c r="S450" s="236"/>
    </row>
    <row r="451" spans="1:19" x14ac:dyDescent="0.25">
      <c r="A451" s="72" t="e">
        <f>#REF!</f>
        <v>#REF!</v>
      </c>
      <c r="B451" t="s">
        <v>45</v>
      </c>
      <c r="C451" t="s">
        <v>45</v>
      </c>
      <c r="D451" t="s">
        <v>1643</v>
      </c>
      <c r="E451" s="102">
        <v>3.7707291666666669</v>
      </c>
      <c r="F451" s="101">
        <v>5475.8276425207987</v>
      </c>
      <c r="G451" s="102">
        <v>0.23097560139384118</v>
      </c>
      <c r="H451" s="101">
        <v>5901.8911389906034</v>
      </c>
      <c r="I451" s="101">
        <v>1638.5670874870646</v>
      </c>
      <c r="J451" s="101"/>
      <c r="K451" s="233" t="str">
        <f>VLOOKUP(Broadcast_BASE[[#This Row],[Broadcast Market]],Continent_Look_Up[],2,FALSE)</f>
        <v>Digital</v>
      </c>
      <c r="L451" t="str">
        <f>IF(OR(Broadcast_BASE[[#This Row],[Broadcast Continent]]="Digital",Broadcast_BASE[[#This Row],[Programme Type]]="Digital"),"Y","N")</f>
        <v>Y</v>
      </c>
      <c r="M451" s="4" t="str">
        <f>IF(ISNUMBER(SEARCH("Pan ",Broadcast_BASE[[#This Row],[Broadcast Market]]))=TRUE,"Y","N")</f>
        <v>N</v>
      </c>
      <c r="N451" t="str">
        <f>VLOOKUP(CONCATENATE(Broadcast_BASE[[#This Row],[Broadcast Market]],Broadcast_BASE[[#This Row],[Broadcaster]]),Table1[[CC]:[Pay TV vs. Free-to-Air]],3,FALSE)</f>
        <v>Digital</v>
      </c>
      <c r="O451" s="1" t="str">
        <f>VLOOKUP(CONCATENATE(Broadcast_BASE[[#This Row],[Broadcast Market]],Broadcast_BASE[[#This Row],[Broadcaster]]),Table1[[CC]:[Pay TV vs. Free-to-Air]],2,FALSE)</f>
        <v>-</v>
      </c>
      <c r="P451" s="234">
        <f>Broadcast_BASE[[#This Row],[Rolex EXP]]*86400</f>
        <v>19956.29196042788</v>
      </c>
      <c r="Q451" s="235" t="str">
        <f>IF(Broadcast_BASE[[#This Row],[Dashboard Rated?]]="No","N","Y")</f>
        <v>Y</v>
      </c>
      <c r="R451" s="236"/>
      <c r="S451" s="236"/>
    </row>
    <row r="452" spans="1:19" x14ac:dyDescent="0.25">
      <c r="A452" s="72" t="e">
        <f>#REF!</f>
        <v>#REF!</v>
      </c>
      <c r="B452" t="s">
        <v>45</v>
      </c>
      <c r="C452" t="s">
        <v>45</v>
      </c>
      <c r="D452" t="s">
        <v>1643</v>
      </c>
      <c r="E452" s="102">
        <v>4.020833333333333</v>
      </c>
      <c r="F452" s="101">
        <v>280783.55742862553</v>
      </c>
      <c r="G452" s="102">
        <v>0.25213755771503465</v>
      </c>
      <c r="H452" s="101">
        <v>150292.80080992315</v>
      </c>
      <c r="I452" s="101">
        <v>41893.033600575669</v>
      </c>
      <c r="J452" s="101"/>
      <c r="K452" s="233" t="str">
        <f>VLOOKUP(Broadcast_BASE[[#This Row],[Broadcast Market]],Continent_Look_Up[],2,FALSE)</f>
        <v>Digital</v>
      </c>
      <c r="L452" t="str">
        <f>IF(OR(Broadcast_BASE[[#This Row],[Broadcast Continent]]="Digital",Broadcast_BASE[[#This Row],[Programme Type]]="Digital"),"Y","N")</f>
        <v>Y</v>
      </c>
      <c r="M452" s="4" t="str">
        <f>IF(ISNUMBER(SEARCH("Pan ",Broadcast_BASE[[#This Row],[Broadcast Market]]))=TRUE,"Y","N")</f>
        <v>N</v>
      </c>
      <c r="N452" t="str">
        <f>VLOOKUP(CONCATENATE(Broadcast_BASE[[#This Row],[Broadcast Market]],Broadcast_BASE[[#This Row],[Broadcaster]]),Table1[[CC]:[Pay TV vs. Free-to-Air]],3,FALSE)</f>
        <v>Digital</v>
      </c>
      <c r="O452" s="1" t="str">
        <f>VLOOKUP(CONCATENATE(Broadcast_BASE[[#This Row],[Broadcast Market]],Broadcast_BASE[[#This Row],[Broadcaster]]),Table1[[CC]:[Pay TV vs. Free-to-Air]],2,FALSE)</f>
        <v>-</v>
      </c>
      <c r="P452" s="234">
        <f>Broadcast_BASE[[#This Row],[Rolex EXP]]*86400</f>
        <v>21784.684986578995</v>
      </c>
      <c r="Q452" s="235" t="str">
        <f>IF(Broadcast_BASE[[#This Row],[Dashboard Rated?]]="No","N","Y")</f>
        <v>Y</v>
      </c>
      <c r="R452" s="236"/>
      <c r="S452" s="236"/>
    </row>
    <row r="453" spans="1:19" x14ac:dyDescent="0.25">
      <c r="A453" s="72" t="e">
        <f>#REF!</f>
        <v>#REF!</v>
      </c>
      <c r="B453" t="s">
        <v>45</v>
      </c>
      <c r="C453" t="s">
        <v>45</v>
      </c>
      <c r="D453" t="s">
        <v>1644</v>
      </c>
      <c r="E453" s="102">
        <v>0.5</v>
      </c>
      <c r="F453" s="101">
        <v>5535.8915649631599</v>
      </c>
      <c r="G453" s="102">
        <v>2.8351594999103055E-2</v>
      </c>
      <c r="H453" s="101">
        <v>1561.77736098936</v>
      </c>
      <c r="I453" s="101">
        <v>454.45608688728436</v>
      </c>
      <c r="J453" s="101"/>
      <c r="K453" s="233" t="str">
        <f>VLOOKUP(Broadcast_BASE[[#This Row],[Broadcast Market]],Continent_Look_Up[],2,FALSE)</f>
        <v>Digital</v>
      </c>
      <c r="L453" t="str">
        <f>IF(OR(Broadcast_BASE[[#This Row],[Broadcast Continent]]="Digital",Broadcast_BASE[[#This Row],[Programme Type]]="Digital"),"Y","N")</f>
        <v>Y</v>
      </c>
      <c r="M453" s="4" t="str">
        <f>IF(ISNUMBER(SEARCH("Pan ",Broadcast_BASE[[#This Row],[Broadcast Market]]))=TRUE,"Y","N")</f>
        <v>N</v>
      </c>
      <c r="N453" t="str">
        <f>VLOOKUP(CONCATENATE(Broadcast_BASE[[#This Row],[Broadcast Market]],Broadcast_BASE[[#This Row],[Broadcaster]]),Table1[[CC]:[Pay TV vs. Free-to-Air]],3,FALSE)</f>
        <v>Digital</v>
      </c>
      <c r="O453" s="1" t="str">
        <f>VLOOKUP(CONCATENATE(Broadcast_BASE[[#This Row],[Broadcast Market]],Broadcast_BASE[[#This Row],[Broadcaster]]),Table1[[CC]:[Pay TV vs. Free-to-Air]],2,FALSE)</f>
        <v>-</v>
      </c>
      <c r="P453" s="234">
        <f>Broadcast_BASE[[#This Row],[Rolex EXP]]*86400</f>
        <v>2449.5778079225038</v>
      </c>
      <c r="Q453" s="235" t="str">
        <f>IF(Broadcast_BASE[[#This Row],[Dashboard Rated?]]="No","N","Y")</f>
        <v>Y</v>
      </c>
      <c r="R453" s="236"/>
      <c r="S453" s="236"/>
    </row>
    <row r="454" spans="1:19" x14ac:dyDescent="0.25">
      <c r="A454" s="72" t="e">
        <f>#REF!</f>
        <v>#REF!</v>
      </c>
      <c r="B454" t="s">
        <v>45</v>
      </c>
      <c r="C454" t="s">
        <v>45</v>
      </c>
      <c r="D454" t="s">
        <v>1643</v>
      </c>
      <c r="E454" s="102">
        <v>0.83333333333333337</v>
      </c>
      <c r="F454" s="101">
        <v>51529.3919255168</v>
      </c>
      <c r="G454" s="102">
        <v>5.1045741903111418E-2</v>
      </c>
      <c r="H454" s="101">
        <v>26173.909105155777</v>
      </c>
      <c r="I454" s="101">
        <v>7266.7734799868422</v>
      </c>
      <c r="J454" s="101"/>
      <c r="K454" s="233" t="str">
        <f>VLOOKUP(Broadcast_BASE[[#This Row],[Broadcast Market]],Continent_Look_Up[],2,FALSE)</f>
        <v>Digital</v>
      </c>
      <c r="L454" t="str">
        <f>IF(OR(Broadcast_BASE[[#This Row],[Broadcast Continent]]="Digital",Broadcast_BASE[[#This Row],[Programme Type]]="Digital"),"Y","N")</f>
        <v>Y</v>
      </c>
      <c r="M454" s="4" t="str">
        <f>IF(ISNUMBER(SEARCH("Pan ",Broadcast_BASE[[#This Row],[Broadcast Market]]))=TRUE,"Y","N")</f>
        <v>N</v>
      </c>
      <c r="N454" t="str">
        <f>VLOOKUP(CONCATENATE(Broadcast_BASE[[#This Row],[Broadcast Market]],Broadcast_BASE[[#This Row],[Broadcaster]]),Table1[[CC]:[Pay TV vs. Free-to-Air]],3,FALSE)</f>
        <v>Digital</v>
      </c>
      <c r="O454" s="1" t="str">
        <f>VLOOKUP(CONCATENATE(Broadcast_BASE[[#This Row],[Broadcast Market]],Broadcast_BASE[[#This Row],[Broadcaster]]),Table1[[CC]:[Pay TV vs. Free-to-Air]],2,FALSE)</f>
        <v>-</v>
      </c>
      <c r="P454" s="234">
        <f>Broadcast_BASE[[#This Row],[Rolex EXP]]*86400</f>
        <v>4410.3521004288268</v>
      </c>
      <c r="Q454" s="235" t="str">
        <f>IF(Broadcast_BASE[[#This Row],[Dashboard Rated?]]="No","N","Y")</f>
        <v>Y</v>
      </c>
      <c r="R454" s="236"/>
      <c r="S454" s="236"/>
    </row>
    <row r="455" spans="1:19" x14ac:dyDescent="0.25">
      <c r="A455" s="72" t="e">
        <f>#REF!</f>
        <v>#REF!</v>
      </c>
      <c r="B455" t="s">
        <v>45</v>
      </c>
      <c r="C455" t="s">
        <v>45</v>
      </c>
      <c r="D455" t="s">
        <v>1644</v>
      </c>
      <c r="E455" s="102">
        <v>0.89583333333333337</v>
      </c>
      <c r="F455" s="101">
        <v>12705.60738070632</v>
      </c>
      <c r="G455" s="102">
        <v>5.5063380569066733E-2</v>
      </c>
      <c r="H455" s="101">
        <v>3419.3154246746217</v>
      </c>
      <c r="I455" s="101">
        <v>977.78536625682864</v>
      </c>
      <c r="J455" s="101"/>
      <c r="K455" s="233" t="str">
        <f>VLOOKUP(Broadcast_BASE[[#This Row],[Broadcast Market]],Continent_Look_Up[],2,FALSE)</f>
        <v>Digital</v>
      </c>
      <c r="L455" t="str">
        <f>IF(OR(Broadcast_BASE[[#This Row],[Broadcast Continent]]="Digital",Broadcast_BASE[[#This Row],[Programme Type]]="Digital"),"Y","N")</f>
        <v>Y</v>
      </c>
      <c r="M455" s="4" t="str">
        <f>IF(ISNUMBER(SEARCH("Pan ",Broadcast_BASE[[#This Row],[Broadcast Market]]))=TRUE,"Y","N")</f>
        <v>N</v>
      </c>
      <c r="N455" t="str">
        <f>VLOOKUP(CONCATENATE(Broadcast_BASE[[#This Row],[Broadcast Market]],Broadcast_BASE[[#This Row],[Broadcaster]]),Table1[[CC]:[Pay TV vs. Free-to-Air]],3,FALSE)</f>
        <v>Digital</v>
      </c>
      <c r="O455" s="1" t="str">
        <f>VLOOKUP(CONCATENATE(Broadcast_BASE[[#This Row],[Broadcast Market]],Broadcast_BASE[[#This Row],[Broadcaster]]),Table1[[CC]:[Pay TV vs. Free-to-Air]],2,FALSE)</f>
        <v>-</v>
      </c>
      <c r="P455" s="234">
        <f>Broadcast_BASE[[#This Row],[Rolex EXP]]*86400</f>
        <v>4757.4760811673659</v>
      </c>
      <c r="Q455" s="235" t="str">
        <f>IF(Broadcast_BASE[[#This Row],[Dashboard Rated?]]="No","N","Y")</f>
        <v>Y</v>
      </c>
      <c r="R455" s="236"/>
      <c r="S455" s="236"/>
    </row>
    <row r="456" spans="1:19" x14ac:dyDescent="0.25">
      <c r="A456" s="72" t="e">
        <f>#REF!</f>
        <v>#REF!</v>
      </c>
      <c r="B456" t="s">
        <v>45</v>
      </c>
      <c r="C456" t="s">
        <v>45</v>
      </c>
      <c r="D456" t="s">
        <v>1642</v>
      </c>
      <c r="E456" s="102">
        <v>2.0833333333333332E-2</v>
      </c>
      <c r="F456" s="101">
        <v>1049.53235668515</v>
      </c>
      <c r="G456" s="102">
        <v>1.1050021561017675E-3</v>
      </c>
      <c r="H456" s="101">
        <v>46.160765371310681</v>
      </c>
      <c r="I456" s="101">
        <v>13.849434294782164</v>
      </c>
      <c r="J456" s="101"/>
      <c r="K456" s="233" t="str">
        <f>VLOOKUP(Broadcast_BASE[[#This Row],[Broadcast Market]],Continent_Look_Up[],2,FALSE)</f>
        <v>Digital</v>
      </c>
      <c r="L456" t="str">
        <f>IF(OR(Broadcast_BASE[[#This Row],[Broadcast Continent]]="Digital",Broadcast_BASE[[#This Row],[Programme Type]]="Digital"),"Y","N")</f>
        <v>Y</v>
      </c>
      <c r="M456" s="4" t="str">
        <f>IF(ISNUMBER(SEARCH("Pan ",Broadcast_BASE[[#This Row],[Broadcast Market]]))=TRUE,"Y","N")</f>
        <v>N</v>
      </c>
      <c r="N456" t="str">
        <f>VLOOKUP(CONCATENATE(Broadcast_BASE[[#This Row],[Broadcast Market]],Broadcast_BASE[[#This Row],[Broadcaster]]),Table1[[CC]:[Pay TV vs. Free-to-Air]],3,FALSE)</f>
        <v>Digital</v>
      </c>
      <c r="O456" s="1" t="str">
        <f>VLOOKUP(CONCATENATE(Broadcast_BASE[[#This Row],[Broadcast Market]],Broadcast_BASE[[#This Row],[Broadcaster]]),Table1[[CC]:[Pay TV vs. Free-to-Air]],2,FALSE)</f>
        <v>-</v>
      </c>
      <c r="P456" s="234">
        <f>Broadcast_BASE[[#This Row],[Rolex EXP]]*86400</f>
        <v>95.472186287192713</v>
      </c>
      <c r="Q456" s="235" t="str">
        <f>IF(Broadcast_BASE[[#This Row],[Dashboard Rated?]]="No","N","Y")</f>
        <v>Y</v>
      </c>
      <c r="R456" s="236"/>
      <c r="S456" s="236"/>
    </row>
    <row r="457" spans="1:19" x14ac:dyDescent="0.25">
      <c r="A457" s="72" t="e">
        <f>#REF!</f>
        <v>#REF!</v>
      </c>
      <c r="B457" t="s">
        <v>45</v>
      </c>
      <c r="C457" t="s">
        <v>45</v>
      </c>
      <c r="D457" t="s">
        <v>1643</v>
      </c>
      <c r="E457" s="102">
        <v>2.3229166666666665</v>
      </c>
      <c r="F457" s="101">
        <v>169258.56390569036</v>
      </c>
      <c r="G457" s="102">
        <v>0.1523704187332455</v>
      </c>
      <c r="H457" s="101">
        <v>83539.47771214605</v>
      </c>
      <c r="I457" s="101">
        <v>23677.669306692576</v>
      </c>
      <c r="J457" s="101"/>
      <c r="K457" s="233" t="str">
        <f>VLOOKUP(Broadcast_BASE[[#This Row],[Broadcast Market]],Continent_Look_Up[],2,FALSE)</f>
        <v>Digital</v>
      </c>
      <c r="L457" t="str">
        <f>IF(OR(Broadcast_BASE[[#This Row],[Broadcast Continent]]="Digital",Broadcast_BASE[[#This Row],[Programme Type]]="Digital"),"Y","N")</f>
        <v>Y</v>
      </c>
      <c r="M457" s="4" t="str">
        <f>IF(ISNUMBER(SEARCH("Pan ",Broadcast_BASE[[#This Row],[Broadcast Market]]))=TRUE,"Y","N")</f>
        <v>N</v>
      </c>
      <c r="N457" t="str">
        <f>VLOOKUP(CONCATENATE(Broadcast_BASE[[#This Row],[Broadcast Market]],Broadcast_BASE[[#This Row],[Broadcaster]]),Table1[[CC]:[Pay TV vs. Free-to-Air]],3,FALSE)</f>
        <v>Digital</v>
      </c>
      <c r="O457" s="1" t="str">
        <f>VLOOKUP(CONCATENATE(Broadcast_BASE[[#This Row],[Broadcast Market]],Broadcast_BASE[[#This Row],[Broadcaster]]),Table1[[CC]:[Pay TV vs. Free-to-Air]],2,FALSE)</f>
        <v>-</v>
      </c>
      <c r="P457" s="234">
        <f>Broadcast_BASE[[#This Row],[Rolex EXP]]*86400</f>
        <v>13164.804178552411</v>
      </c>
      <c r="Q457" s="235" t="str">
        <f>IF(Broadcast_BASE[[#This Row],[Dashboard Rated?]]="No","N","Y")</f>
        <v>Y</v>
      </c>
      <c r="R457" s="236"/>
      <c r="S457" s="236"/>
    </row>
    <row r="458" spans="1:19" x14ac:dyDescent="0.25">
      <c r="A458" s="72" t="e">
        <f>#REF!</f>
        <v>#REF!</v>
      </c>
      <c r="B458" t="s">
        <v>45</v>
      </c>
      <c r="C458" t="s">
        <v>45</v>
      </c>
      <c r="D458" t="s">
        <v>1644</v>
      </c>
      <c r="E458" s="102">
        <v>0.84722222222222221</v>
      </c>
      <c r="F458" s="101">
        <v>9687.8102386855298</v>
      </c>
      <c r="G458" s="102">
        <v>5.8988041800371739E-2</v>
      </c>
      <c r="H458" s="101">
        <v>3249.4181810874898</v>
      </c>
      <c r="I458" s="101">
        <v>934.62514938458423</v>
      </c>
      <c r="J458" s="101"/>
      <c r="K458" s="233" t="str">
        <f>VLOOKUP(Broadcast_BASE[[#This Row],[Broadcast Market]],Continent_Look_Up[],2,FALSE)</f>
        <v>Digital</v>
      </c>
      <c r="L458" t="str">
        <f>IF(OR(Broadcast_BASE[[#This Row],[Broadcast Continent]]="Digital",Broadcast_BASE[[#This Row],[Programme Type]]="Digital"),"Y","N")</f>
        <v>Y</v>
      </c>
      <c r="M458" s="4" t="str">
        <f>IF(ISNUMBER(SEARCH("Pan ",Broadcast_BASE[[#This Row],[Broadcast Market]]))=TRUE,"Y","N")</f>
        <v>N</v>
      </c>
      <c r="N458" t="str">
        <f>VLOOKUP(CONCATENATE(Broadcast_BASE[[#This Row],[Broadcast Market]],Broadcast_BASE[[#This Row],[Broadcaster]]),Table1[[CC]:[Pay TV vs. Free-to-Air]],3,FALSE)</f>
        <v>Digital</v>
      </c>
      <c r="O458" s="1" t="str">
        <f>VLOOKUP(CONCATENATE(Broadcast_BASE[[#This Row],[Broadcast Market]],Broadcast_BASE[[#This Row],[Broadcaster]]),Table1[[CC]:[Pay TV vs. Free-to-Air]],2,FALSE)</f>
        <v>-</v>
      </c>
      <c r="P458" s="234">
        <f>Broadcast_BASE[[#This Row],[Rolex EXP]]*86400</f>
        <v>5096.5668115521185</v>
      </c>
      <c r="Q458" s="235" t="str">
        <f>IF(Broadcast_BASE[[#This Row],[Dashboard Rated?]]="No","N","Y")</f>
        <v>Y</v>
      </c>
      <c r="R458" s="236"/>
      <c r="S458" s="236"/>
    </row>
    <row r="459" spans="1:19" x14ac:dyDescent="0.25">
      <c r="A459" s="72" t="e">
        <f>#REF!</f>
        <v>#REF!</v>
      </c>
      <c r="B459" t="s">
        <v>45</v>
      </c>
      <c r="C459" t="s">
        <v>45</v>
      </c>
      <c r="D459" t="s">
        <v>1643</v>
      </c>
      <c r="E459" s="102">
        <v>1.8125</v>
      </c>
      <c r="F459" s="101">
        <v>143493.86794293197</v>
      </c>
      <c r="G459" s="102">
        <v>0.11625486264763797</v>
      </c>
      <c r="H459" s="101">
        <v>65571.50502396618</v>
      </c>
      <c r="I459" s="101">
        <v>18416.012750966034</v>
      </c>
      <c r="J459" s="101"/>
      <c r="K459" s="233" t="str">
        <f>VLOOKUP(Broadcast_BASE[[#This Row],[Broadcast Market]],Continent_Look_Up[],2,FALSE)</f>
        <v>Digital</v>
      </c>
      <c r="L459" t="str">
        <f>IF(OR(Broadcast_BASE[[#This Row],[Broadcast Continent]]="Digital",Broadcast_BASE[[#This Row],[Programme Type]]="Digital"),"Y","N")</f>
        <v>Y</v>
      </c>
      <c r="M459" s="4" t="str">
        <f>IF(ISNUMBER(SEARCH("Pan ",Broadcast_BASE[[#This Row],[Broadcast Market]]))=TRUE,"Y","N")</f>
        <v>N</v>
      </c>
      <c r="N459" t="str">
        <f>VLOOKUP(CONCATENATE(Broadcast_BASE[[#This Row],[Broadcast Market]],Broadcast_BASE[[#This Row],[Broadcaster]]),Table1[[CC]:[Pay TV vs. Free-to-Air]],3,FALSE)</f>
        <v>Digital</v>
      </c>
      <c r="O459" s="1" t="str">
        <f>VLOOKUP(CONCATENATE(Broadcast_BASE[[#This Row],[Broadcast Market]],Broadcast_BASE[[#This Row],[Broadcaster]]),Table1[[CC]:[Pay TV vs. Free-to-Air]],2,FALSE)</f>
        <v>-</v>
      </c>
      <c r="P459" s="234">
        <f>Broadcast_BASE[[#This Row],[Rolex EXP]]*86400</f>
        <v>10044.42013275592</v>
      </c>
      <c r="Q459" s="235" t="str">
        <f>IF(Broadcast_BASE[[#This Row],[Dashboard Rated?]]="No","N","Y")</f>
        <v>Y</v>
      </c>
      <c r="R459" s="236"/>
      <c r="S459" s="236"/>
    </row>
    <row r="460" spans="1:19" x14ac:dyDescent="0.25">
      <c r="A460" s="72" t="e">
        <f>#REF!</f>
        <v>#REF!</v>
      </c>
      <c r="B460" t="s">
        <v>45</v>
      </c>
      <c r="C460" t="s">
        <v>45</v>
      </c>
      <c r="D460" t="s">
        <v>1644</v>
      </c>
      <c r="E460" s="102">
        <v>0.35416666666666669</v>
      </c>
      <c r="F460" s="101">
        <v>5535.8915649631599</v>
      </c>
      <c r="G460" s="102">
        <v>2.3085538803348991E-2</v>
      </c>
      <c r="H460" s="101">
        <v>1271.6911295626401</v>
      </c>
      <c r="I460" s="101">
        <v>361.70297528760733</v>
      </c>
      <c r="J460" s="101"/>
      <c r="K460" s="233" t="str">
        <f>VLOOKUP(Broadcast_BASE[[#This Row],[Broadcast Market]],Continent_Look_Up[],2,FALSE)</f>
        <v>Digital</v>
      </c>
      <c r="L460" t="str">
        <f>IF(OR(Broadcast_BASE[[#This Row],[Broadcast Continent]]="Digital",Broadcast_BASE[[#This Row],[Programme Type]]="Digital"),"Y","N")</f>
        <v>Y</v>
      </c>
      <c r="M460" s="4" t="str">
        <f>IF(ISNUMBER(SEARCH("Pan ",Broadcast_BASE[[#This Row],[Broadcast Market]]))=TRUE,"Y","N")</f>
        <v>N</v>
      </c>
      <c r="N460" t="str">
        <f>VLOOKUP(CONCATENATE(Broadcast_BASE[[#This Row],[Broadcast Market]],Broadcast_BASE[[#This Row],[Broadcaster]]),Table1[[CC]:[Pay TV vs. Free-to-Air]],3,FALSE)</f>
        <v>Digital</v>
      </c>
      <c r="O460" s="1" t="str">
        <f>VLOOKUP(CONCATENATE(Broadcast_BASE[[#This Row],[Broadcast Market]],Broadcast_BASE[[#This Row],[Broadcaster]]),Table1[[CC]:[Pay TV vs. Free-to-Air]],2,FALSE)</f>
        <v>-</v>
      </c>
      <c r="P460" s="234">
        <f>Broadcast_BASE[[#This Row],[Rolex EXP]]*86400</f>
        <v>1994.5905526093527</v>
      </c>
      <c r="Q460" s="235" t="str">
        <f>IF(Broadcast_BASE[[#This Row],[Dashboard Rated?]]="No","N","Y")</f>
        <v>Y</v>
      </c>
      <c r="R460" s="236"/>
      <c r="S460" s="236"/>
    </row>
    <row r="461" spans="1:19" x14ac:dyDescent="0.25">
      <c r="A461" s="72" t="e">
        <f>#REF!</f>
        <v>#REF!</v>
      </c>
      <c r="B461" t="s">
        <v>45</v>
      </c>
      <c r="C461" t="s">
        <v>45</v>
      </c>
      <c r="D461" t="s">
        <v>1642</v>
      </c>
      <c r="E461" s="102">
        <v>1.5891319444444445</v>
      </c>
      <c r="F461" s="101">
        <v>185704.37205017838</v>
      </c>
      <c r="G461" s="102">
        <v>0.12354760768482376</v>
      </c>
      <c r="H461" s="101">
        <v>8789.9139257711977</v>
      </c>
      <c r="I461" s="101">
        <v>2523.4910782853281</v>
      </c>
      <c r="J461" s="101"/>
      <c r="K461" s="233" t="str">
        <f>VLOOKUP(Broadcast_BASE[[#This Row],[Broadcast Market]],Continent_Look_Up[],2,FALSE)</f>
        <v>Digital</v>
      </c>
      <c r="L461" t="str">
        <f>IF(OR(Broadcast_BASE[[#This Row],[Broadcast Continent]]="Digital",Broadcast_BASE[[#This Row],[Programme Type]]="Digital"),"Y","N")</f>
        <v>Y</v>
      </c>
      <c r="M461" s="4" t="str">
        <f>IF(ISNUMBER(SEARCH("Pan ",Broadcast_BASE[[#This Row],[Broadcast Market]]))=TRUE,"Y","N")</f>
        <v>N</v>
      </c>
      <c r="N461" t="str">
        <f>VLOOKUP(CONCATENATE(Broadcast_BASE[[#This Row],[Broadcast Market]],Broadcast_BASE[[#This Row],[Broadcaster]]),Table1[[CC]:[Pay TV vs. Free-to-Air]],3,FALSE)</f>
        <v>Digital</v>
      </c>
      <c r="O461" s="1" t="str">
        <f>VLOOKUP(CONCATENATE(Broadcast_BASE[[#This Row],[Broadcast Market]],Broadcast_BASE[[#This Row],[Broadcaster]]),Table1[[CC]:[Pay TV vs. Free-to-Air]],2,FALSE)</f>
        <v>-</v>
      </c>
      <c r="P461" s="234">
        <f>Broadcast_BASE[[#This Row],[Rolex EXP]]*86400</f>
        <v>10674.513303968773</v>
      </c>
      <c r="Q461" s="235" t="str">
        <f>IF(Broadcast_BASE[[#This Row],[Dashboard Rated?]]="No","N","Y")</f>
        <v>Y</v>
      </c>
      <c r="R461" s="236"/>
      <c r="S461" s="236"/>
    </row>
    <row r="462" spans="1:19" x14ac:dyDescent="0.25">
      <c r="A462" s="72" t="e">
        <f>#REF!</f>
        <v>#REF!</v>
      </c>
      <c r="B462" t="s">
        <v>45</v>
      </c>
      <c r="C462" t="s">
        <v>45</v>
      </c>
      <c r="D462" t="s">
        <v>1643</v>
      </c>
      <c r="E462" s="102">
        <v>5.6700925925925922</v>
      </c>
      <c r="F462" s="101">
        <v>259907.58873231057</v>
      </c>
      <c r="G462" s="102">
        <v>0.46171380012329638</v>
      </c>
      <c r="H462" s="101">
        <v>73350.538013721351</v>
      </c>
      <c r="I462" s="101">
        <v>21081.718909611569</v>
      </c>
      <c r="J462" s="101"/>
      <c r="K462" s="233" t="str">
        <f>VLOOKUP(Broadcast_BASE[[#This Row],[Broadcast Market]],Continent_Look_Up[],2,FALSE)</f>
        <v>Digital</v>
      </c>
      <c r="L462" t="str">
        <f>IF(OR(Broadcast_BASE[[#This Row],[Broadcast Continent]]="Digital",Broadcast_BASE[[#This Row],[Programme Type]]="Digital"),"Y","N")</f>
        <v>Y</v>
      </c>
      <c r="M462" s="4" t="str">
        <f>IF(ISNUMBER(SEARCH("Pan ",Broadcast_BASE[[#This Row],[Broadcast Market]]))=TRUE,"Y","N")</f>
        <v>N</v>
      </c>
      <c r="N462" t="str">
        <f>VLOOKUP(CONCATENATE(Broadcast_BASE[[#This Row],[Broadcast Market]],Broadcast_BASE[[#This Row],[Broadcaster]]),Table1[[CC]:[Pay TV vs. Free-to-Air]],3,FALSE)</f>
        <v>Digital</v>
      </c>
      <c r="O462" s="1" t="str">
        <f>VLOOKUP(CONCATENATE(Broadcast_BASE[[#This Row],[Broadcast Market]],Broadcast_BASE[[#This Row],[Broadcaster]]),Table1[[CC]:[Pay TV vs. Free-to-Air]],2,FALSE)</f>
        <v>-</v>
      </c>
      <c r="P462" s="234">
        <f>Broadcast_BASE[[#This Row],[Rolex EXP]]*86400</f>
        <v>39892.072330652809</v>
      </c>
      <c r="Q462" s="235" t="str">
        <f>IF(Broadcast_BASE[[#This Row],[Dashboard Rated?]]="No","N","Y")</f>
        <v>Y</v>
      </c>
      <c r="R462" s="236"/>
      <c r="S462" s="236"/>
    </row>
    <row r="463" spans="1:19" x14ac:dyDescent="0.25">
      <c r="A463" s="72" t="e">
        <f>#REF!</f>
        <v>#REF!</v>
      </c>
      <c r="B463" t="s">
        <v>45</v>
      </c>
      <c r="C463" t="s">
        <v>45</v>
      </c>
      <c r="D463" t="s">
        <v>1644</v>
      </c>
      <c r="E463" s="102">
        <v>1.4393171296296297</v>
      </c>
      <c r="F463" s="101">
        <v>25192.214802834078</v>
      </c>
      <c r="G463" s="102">
        <v>0.1165055671318827</v>
      </c>
      <c r="H463" s="101">
        <v>4023.976495456453</v>
      </c>
      <c r="I463" s="101">
        <v>1156.0765101512277</v>
      </c>
      <c r="J463" s="101"/>
      <c r="K463" s="233" t="str">
        <f>VLOOKUP(Broadcast_BASE[[#This Row],[Broadcast Market]],Continent_Look_Up[],2,FALSE)</f>
        <v>Digital</v>
      </c>
      <c r="L463" t="str">
        <f>IF(OR(Broadcast_BASE[[#This Row],[Broadcast Continent]]="Digital",Broadcast_BASE[[#This Row],[Programme Type]]="Digital"),"Y","N")</f>
        <v>Y</v>
      </c>
      <c r="M463" s="4" t="str">
        <f>IF(ISNUMBER(SEARCH("Pan ",Broadcast_BASE[[#This Row],[Broadcast Market]]))=TRUE,"Y","N")</f>
        <v>N</v>
      </c>
      <c r="N463" t="str">
        <f>VLOOKUP(CONCATENATE(Broadcast_BASE[[#This Row],[Broadcast Market]],Broadcast_BASE[[#This Row],[Broadcaster]]),Table1[[CC]:[Pay TV vs. Free-to-Air]],3,FALSE)</f>
        <v>Digital</v>
      </c>
      <c r="O463" s="1" t="str">
        <f>VLOOKUP(CONCATENATE(Broadcast_BASE[[#This Row],[Broadcast Market]],Broadcast_BASE[[#This Row],[Broadcaster]]),Table1[[CC]:[Pay TV vs. Free-to-Air]],2,FALSE)</f>
        <v>-</v>
      </c>
      <c r="P463" s="234">
        <f>Broadcast_BASE[[#This Row],[Rolex EXP]]*86400</f>
        <v>10066.081000194665</v>
      </c>
      <c r="Q463" s="235" t="str">
        <f>IF(Broadcast_BASE[[#This Row],[Dashboard Rated?]]="No","N","Y")</f>
        <v>Y</v>
      </c>
      <c r="R463" s="236"/>
      <c r="S463" s="236"/>
    </row>
    <row r="464" spans="1:19" x14ac:dyDescent="0.25">
      <c r="A464" s="72" t="e">
        <f>#REF!</f>
        <v>#REF!</v>
      </c>
      <c r="B464" t="s">
        <v>45</v>
      </c>
      <c r="C464" t="s">
        <v>45</v>
      </c>
      <c r="D464" t="s">
        <v>1642</v>
      </c>
      <c r="E464" s="102">
        <v>0.83843749999999995</v>
      </c>
      <c r="F464" s="101">
        <v>39733.588032249594</v>
      </c>
      <c r="G464" s="102">
        <v>6.5951216212620456E-2</v>
      </c>
      <c r="H464" s="101">
        <v>3337.951654170341</v>
      </c>
      <c r="I464" s="101">
        <v>950.73539559632059</v>
      </c>
      <c r="J464" s="101"/>
      <c r="K464" s="233" t="str">
        <f>VLOOKUP(Broadcast_BASE[[#This Row],[Broadcast Market]],Continent_Look_Up[],2,FALSE)</f>
        <v>Digital</v>
      </c>
      <c r="L464" t="str">
        <f>IF(OR(Broadcast_BASE[[#This Row],[Broadcast Continent]]="Digital",Broadcast_BASE[[#This Row],[Programme Type]]="Digital"),"Y","N")</f>
        <v>Y</v>
      </c>
      <c r="M464" s="4" t="str">
        <f>IF(ISNUMBER(SEARCH("Pan ",Broadcast_BASE[[#This Row],[Broadcast Market]]))=TRUE,"Y","N")</f>
        <v>N</v>
      </c>
      <c r="N464" t="str">
        <f>VLOOKUP(CONCATENATE(Broadcast_BASE[[#This Row],[Broadcast Market]],Broadcast_BASE[[#This Row],[Broadcaster]]),Table1[[CC]:[Pay TV vs. Free-to-Air]],3,FALSE)</f>
        <v>Digital</v>
      </c>
      <c r="O464" s="1" t="str">
        <f>VLOOKUP(CONCATENATE(Broadcast_BASE[[#This Row],[Broadcast Market]],Broadcast_BASE[[#This Row],[Broadcaster]]),Table1[[CC]:[Pay TV vs. Free-to-Air]],2,FALSE)</f>
        <v>-</v>
      </c>
      <c r="P464" s="234">
        <f>Broadcast_BASE[[#This Row],[Rolex EXP]]*86400</f>
        <v>5698.1850807704077</v>
      </c>
      <c r="Q464" s="235" t="str">
        <f>IF(Broadcast_BASE[[#This Row],[Dashboard Rated?]]="No","N","Y")</f>
        <v>Y</v>
      </c>
      <c r="R464" s="236"/>
      <c r="S464" s="236"/>
    </row>
    <row r="465" spans="1:19" x14ac:dyDescent="0.25">
      <c r="A465" s="72" t="e">
        <f>#REF!</f>
        <v>#REF!</v>
      </c>
      <c r="B465" t="s">
        <v>45</v>
      </c>
      <c r="C465" t="s">
        <v>45</v>
      </c>
      <c r="D465" t="s">
        <v>1643</v>
      </c>
      <c r="E465" s="102">
        <v>3.0458796296296295</v>
      </c>
      <c r="F465" s="101">
        <v>168369.00984919936</v>
      </c>
      <c r="G465" s="102">
        <v>0.25179070981041834</v>
      </c>
      <c r="H465" s="101">
        <v>43819.94766306063</v>
      </c>
      <c r="I465" s="101">
        <v>13132.911694841216</v>
      </c>
      <c r="J465" s="101"/>
      <c r="K465" s="233" t="str">
        <f>VLOOKUP(Broadcast_BASE[[#This Row],[Broadcast Market]],Continent_Look_Up[],2,FALSE)</f>
        <v>Digital</v>
      </c>
      <c r="L465" t="str">
        <f>IF(OR(Broadcast_BASE[[#This Row],[Broadcast Continent]]="Digital",Broadcast_BASE[[#This Row],[Programme Type]]="Digital"),"Y","N")</f>
        <v>Y</v>
      </c>
      <c r="M465" s="4" t="str">
        <f>IF(ISNUMBER(SEARCH("Pan ",Broadcast_BASE[[#This Row],[Broadcast Market]]))=TRUE,"Y","N")</f>
        <v>N</v>
      </c>
      <c r="N465" t="str">
        <f>VLOOKUP(CONCATENATE(Broadcast_BASE[[#This Row],[Broadcast Market]],Broadcast_BASE[[#This Row],[Broadcaster]]),Table1[[CC]:[Pay TV vs. Free-to-Air]],3,FALSE)</f>
        <v>Digital</v>
      </c>
      <c r="O465" s="1" t="str">
        <f>VLOOKUP(CONCATENATE(Broadcast_BASE[[#This Row],[Broadcast Market]],Broadcast_BASE[[#This Row],[Broadcaster]]),Table1[[CC]:[Pay TV vs. Free-to-Air]],2,FALSE)</f>
        <v>-</v>
      </c>
      <c r="P465" s="234">
        <f>Broadcast_BASE[[#This Row],[Rolex EXP]]*86400</f>
        <v>21754.717327620147</v>
      </c>
      <c r="Q465" s="235" t="str">
        <f>IF(Broadcast_BASE[[#This Row],[Dashboard Rated?]]="No","N","Y")</f>
        <v>Y</v>
      </c>
      <c r="R465" s="236"/>
      <c r="S465" s="236"/>
    </row>
    <row r="466" spans="1:19" x14ac:dyDescent="0.25">
      <c r="A466" s="72" t="e">
        <f>#REF!</f>
        <v>#REF!</v>
      </c>
      <c r="B466" t="s">
        <v>45</v>
      </c>
      <c r="C466" t="s">
        <v>45</v>
      </c>
      <c r="D466" t="s">
        <v>1644</v>
      </c>
      <c r="E466" s="102">
        <v>2.4179629629629633</v>
      </c>
      <c r="F466" s="101">
        <v>34370.375191436397</v>
      </c>
      <c r="G466" s="102">
        <v>0.18174330250067053</v>
      </c>
      <c r="H466" s="101">
        <v>6059.8957147922711</v>
      </c>
      <c r="I466" s="101">
        <v>1718.2524432692039</v>
      </c>
      <c r="J466" s="101"/>
      <c r="K466" s="233" t="str">
        <f>VLOOKUP(Broadcast_BASE[[#This Row],[Broadcast Market]],Continent_Look_Up[],2,FALSE)</f>
        <v>Digital</v>
      </c>
      <c r="L466" t="str">
        <f>IF(OR(Broadcast_BASE[[#This Row],[Broadcast Continent]]="Digital",Broadcast_BASE[[#This Row],[Programme Type]]="Digital"),"Y","N")</f>
        <v>Y</v>
      </c>
      <c r="M466" s="4" t="str">
        <f>IF(ISNUMBER(SEARCH("Pan ",Broadcast_BASE[[#This Row],[Broadcast Market]]))=TRUE,"Y","N")</f>
        <v>N</v>
      </c>
      <c r="N466" t="str">
        <f>VLOOKUP(CONCATENATE(Broadcast_BASE[[#This Row],[Broadcast Market]],Broadcast_BASE[[#This Row],[Broadcaster]]),Table1[[CC]:[Pay TV vs. Free-to-Air]],3,FALSE)</f>
        <v>Digital</v>
      </c>
      <c r="O466" s="1" t="str">
        <f>VLOOKUP(CONCATENATE(Broadcast_BASE[[#This Row],[Broadcast Market]],Broadcast_BASE[[#This Row],[Broadcaster]]),Table1[[CC]:[Pay TV vs. Free-to-Air]],2,FALSE)</f>
        <v>-</v>
      </c>
      <c r="P466" s="234">
        <f>Broadcast_BASE[[#This Row],[Rolex EXP]]*86400</f>
        <v>15702.621336057933</v>
      </c>
      <c r="Q466" s="235" t="str">
        <f>IF(Broadcast_BASE[[#This Row],[Dashboard Rated?]]="No","N","Y")</f>
        <v>Y</v>
      </c>
      <c r="R466" s="236"/>
      <c r="S466" s="236"/>
    </row>
    <row r="467" spans="1:19" x14ac:dyDescent="0.25">
      <c r="A467" s="72" t="e">
        <f>#REF!</f>
        <v>#REF!</v>
      </c>
      <c r="B467" t="s">
        <v>45</v>
      </c>
      <c r="C467" t="s">
        <v>45</v>
      </c>
      <c r="D467" t="s">
        <v>1642</v>
      </c>
      <c r="E467" s="102">
        <v>0.22916666666666666</v>
      </c>
      <c r="F467" s="101">
        <v>241.7297867782766</v>
      </c>
      <c r="G467" s="102">
        <v>1.3695296240403601E-2</v>
      </c>
      <c r="H467" s="101">
        <v>78.186979686878416</v>
      </c>
      <c r="I467" s="101">
        <v>21.879814015664511</v>
      </c>
      <c r="J467" s="101"/>
      <c r="K467" s="233" t="str">
        <f>VLOOKUP(Broadcast_BASE[[#This Row],[Broadcast Market]],Continent_Look_Up[],2,FALSE)</f>
        <v>Digital</v>
      </c>
      <c r="L467" t="str">
        <f>IF(OR(Broadcast_BASE[[#This Row],[Broadcast Continent]]="Digital",Broadcast_BASE[[#This Row],[Programme Type]]="Digital"),"Y","N")</f>
        <v>Y</v>
      </c>
      <c r="M467" s="4" t="str">
        <f>IF(ISNUMBER(SEARCH("Pan ",Broadcast_BASE[[#This Row],[Broadcast Market]]))=TRUE,"Y","N")</f>
        <v>N</v>
      </c>
      <c r="N467" t="str">
        <f>VLOOKUP(CONCATENATE(Broadcast_BASE[[#This Row],[Broadcast Market]],Broadcast_BASE[[#This Row],[Broadcaster]]),Table1[[CC]:[Pay TV vs. Free-to-Air]],3,FALSE)</f>
        <v>Digital</v>
      </c>
      <c r="O467" s="1" t="str">
        <f>VLOOKUP(CONCATENATE(Broadcast_BASE[[#This Row],[Broadcast Market]],Broadcast_BASE[[#This Row],[Broadcaster]]),Table1[[CC]:[Pay TV vs. Free-to-Air]],2,FALSE)</f>
        <v>-</v>
      </c>
      <c r="P467" s="234">
        <f>Broadcast_BASE[[#This Row],[Rolex EXP]]*86400</f>
        <v>1183.2735951708712</v>
      </c>
      <c r="Q467" s="235" t="str">
        <f>IF(Broadcast_BASE[[#This Row],[Dashboard Rated?]]="No","N","Y")</f>
        <v>Y</v>
      </c>
      <c r="R467" s="236"/>
      <c r="S467" s="236"/>
    </row>
    <row r="468" spans="1:19" x14ac:dyDescent="0.25">
      <c r="A468" s="72" t="e">
        <f>#REF!</f>
        <v>#REF!</v>
      </c>
      <c r="B468" t="s">
        <v>45</v>
      </c>
      <c r="C468" t="s">
        <v>45</v>
      </c>
      <c r="D468" t="s">
        <v>1643</v>
      </c>
      <c r="E468" s="102">
        <v>5.5</v>
      </c>
      <c r="F468" s="101">
        <v>10584.393916468487</v>
      </c>
      <c r="G468" s="102">
        <v>0.34262577417357559</v>
      </c>
      <c r="H468" s="101">
        <v>5346.0904658474901</v>
      </c>
      <c r="I468" s="101">
        <v>1493.9509852939218</v>
      </c>
      <c r="J468" s="101"/>
      <c r="K468" s="233" t="str">
        <f>VLOOKUP(Broadcast_BASE[[#This Row],[Broadcast Market]],Continent_Look_Up[],2,FALSE)</f>
        <v>Digital</v>
      </c>
      <c r="L468" t="str">
        <f>IF(OR(Broadcast_BASE[[#This Row],[Broadcast Continent]]="Digital",Broadcast_BASE[[#This Row],[Programme Type]]="Digital"),"Y","N")</f>
        <v>Y</v>
      </c>
      <c r="M468" s="4" t="str">
        <f>IF(ISNUMBER(SEARCH("Pan ",Broadcast_BASE[[#This Row],[Broadcast Market]]))=TRUE,"Y","N")</f>
        <v>N</v>
      </c>
      <c r="N468" t="str">
        <f>VLOOKUP(CONCATENATE(Broadcast_BASE[[#This Row],[Broadcast Market]],Broadcast_BASE[[#This Row],[Broadcaster]]),Table1[[CC]:[Pay TV vs. Free-to-Air]],3,FALSE)</f>
        <v>Digital</v>
      </c>
      <c r="O468" s="1" t="str">
        <f>VLOOKUP(CONCATENATE(Broadcast_BASE[[#This Row],[Broadcast Market]],Broadcast_BASE[[#This Row],[Broadcaster]]),Table1[[CC]:[Pay TV vs. Free-to-Air]],2,FALSE)</f>
        <v>-</v>
      </c>
      <c r="P468" s="234">
        <f>Broadcast_BASE[[#This Row],[Rolex EXP]]*86400</f>
        <v>29602.866888596931</v>
      </c>
      <c r="Q468" s="235" t="str">
        <f>IF(Broadcast_BASE[[#This Row],[Dashboard Rated?]]="No","N","Y")</f>
        <v>Y</v>
      </c>
      <c r="R468" s="236"/>
      <c r="S468" s="236"/>
    </row>
    <row r="469" spans="1:19" x14ac:dyDescent="0.25">
      <c r="A469" s="72" t="e">
        <f>#REF!</f>
        <v>#REF!</v>
      </c>
      <c r="B469" t="s">
        <v>45</v>
      </c>
      <c r="C469" t="s">
        <v>45</v>
      </c>
      <c r="D469" t="s">
        <v>1644</v>
      </c>
      <c r="E469" s="102">
        <v>4.270833333333333</v>
      </c>
      <c r="F469" s="101">
        <v>4613.6219526753475</v>
      </c>
      <c r="G469" s="102">
        <v>0.29684675776579861</v>
      </c>
      <c r="H469" s="101">
        <v>1619.7589381315847</v>
      </c>
      <c r="I469" s="101">
        <v>463.42360491989149</v>
      </c>
      <c r="J469" s="101"/>
      <c r="K469" s="233" t="str">
        <f>VLOOKUP(Broadcast_BASE[[#This Row],[Broadcast Market]],Continent_Look_Up[],2,FALSE)</f>
        <v>Digital</v>
      </c>
      <c r="L469" t="str">
        <f>IF(OR(Broadcast_BASE[[#This Row],[Broadcast Continent]]="Digital",Broadcast_BASE[[#This Row],[Programme Type]]="Digital"),"Y","N")</f>
        <v>Y</v>
      </c>
      <c r="M469" s="4" t="str">
        <f>IF(ISNUMBER(SEARCH("Pan ",Broadcast_BASE[[#This Row],[Broadcast Market]]))=TRUE,"Y","N")</f>
        <v>N</v>
      </c>
      <c r="N469" t="str">
        <f>VLOOKUP(CONCATENATE(Broadcast_BASE[[#This Row],[Broadcast Market]],Broadcast_BASE[[#This Row],[Broadcaster]]),Table1[[CC]:[Pay TV vs. Free-to-Air]],3,FALSE)</f>
        <v>Digital</v>
      </c>
      <c r="O469" s="1" t="str">
        <f>VLOOKUP(CONCATENATE(Broadcast_BASE[[#This Row],[Broadcast Market]],Broadcast_BASE[[#This Row],[Broadcaster]]),Table1[[CC]:[Pay TV vs. Free-to-Air]],2,FALSE)</f>
        <v>-</v>
      </c>
      <c r="P469" s="234">
        <f>Broadcast_BASE[[#This Row],[Rolex EXP]]*86400</f>
        <v>25647.559870965</v>
      </c>
      <c r="Q469" s="235" t="str">
        <f>IF(Broadcast_BASE[[#This Row],[Dashboard Rated?]]="No","N","Y")</f>
        <v>Y</v>
      </c>
      <c r="R469" s="236"/>
      <c r="S469" s="236"/>
    </row>
    <row r="470" spans="1:19" x14ac:dyDescent="0.25">
      <c r="A470" s="72" t="e">
        <f>#REF!</f>
        <v>#REF!</v>
      </c>
      <c r="B470" t="s">
        <v>45</v>
      </c>
      <c r="C470" t="s">
        <v>45</v>
      </c>
      <c r="D470" t="s">
        <v>1642</v>
      </c>
      <c r="E470" s="102">
        <v>8.3333333333333329E-2</v>
      </c>
      <c r="F470" s="101">
        <v>154.187457454368</v>
      </c>
      <c r="G470" s="102">
        <v>5.1045741903111407E-3</v>
      </c>
      <c r="H470" s="101">
        <v>31.32727436333105</v>
      </c>
      <c r="I470" s="101">
        <v>8.6975241500660392</v>
      </c>
      <c r="J470" s="101"/>
      <c r="K470" s="233" t="str">
        <f>VLOOKUP(Broadcast_BASE[[#This Row],[Broadcast Market]],Continent_Look_Up[],2,FALSE)</f>
        <v>Digital</v>
      </c>
      <c r="L470" t="str">
        <f>IF(OR(Broadcast_BASE[[#This Row],[Broadcast Continent]]="Digital",Broadcast_BASE[[#This Row],[Programme Type]]="Digital"),"Y","N")</f>
        <v>Y</v>
      </c>
      <c r="M470" s="4" t="str">
        <f>IF(ISNUMBER(SEARCH("Pan ",Broadcast_BASE[[#This Row],[Broadcast Market]]))=TRUE,"Y","N")</f>
        <v>N</v>
      </c>
      <c r="N470" t="str">
        <f>VLOOKUP(CONCATENATE(Broadcast_BASE[[#This Row],[Broadcast Market]],Broadcast_BASE[[#This Row],[Broadcaster]]),Table1[[CC]:[Pay TV vs. Free-to-Air]],3,FALSE)</f>
        <v>Digital</v>
      </c>
      <c r="O470" s="1" t="str">
        <f>VLOOKUP(CONCATENATE(Broadcast_BASE[[#This Row],[Broadcast Market]],Broadcast_BASE[[#This Row],[Broadcaster]]),Table1[[CC]:[Pay TV vs. Free-to-Air]],2,FALSE)</f>
        <v>-</v>
      </c>
      <c r="P470" s="234">
        <f>Broadcast_BASE[[#This Row],[Rolex EXP]]*86400</f>
        <v>441.03521004288257</v>
      </c>
      <c r="Q470" s="235" t="str">
        <f>IF(Broadcast_BASE[[#This Row],[Dashboard Rated?]]="No","N","Y")</f>
        <v>Y</v>
      </c>
      <c r="R470" s="236"/>
      <c r="S470" s="236"/>
    </row>
    <row r="471" spans="1:19" x14ac:dyDescent="0.25">
      <c r="A471" s="72" t="e">
        <f>#REF!</f>
        <v>#REF!</v>
      </c>
      <c r="B471" t="s">
        <v>45</v>
      </c>
      <c r="C471" t="s">
        <v>45</v>
      </c>
      <c r="D471" t="s">
        <v>1643</v>
      </c>
      <c r="E471" s="102">
        <v>8.3333333333333329E-2</v>
      </c>
      <c r="F471" s="101">
        <v>392.014589498833</v>
      </c>
      <c r="G471" s="102">
        <v>5.1045741903111407E-3</v>
      </c>
      <c r="H471" s="101">
        <v>79.648168550240413</v>
      </c>
      <c r="I471" s="101">
        <v>22.113059101148909</v>
      </c>
      <c r="J471" s="101"/>
      <c r="K471" s="233" t="str">
        <f>VLOOKUP(Broadcast_BASE[[#This Row],[Broadcast Market]],Continent_Look_Up[],2,FALSE)</f>
        <v>Digital</v>
      </c>
      <c r="L471" t="str">
        <f>IF(OR(Broadcast_BASE[[#This Row],[Broadcast Continent]]="Digital",Broadcast_BASE[[#This Row],[Programme Type]]="Digital"),"Y","N")</f>
        <v>Y</v>
      </c>
      <c r="M471" s="4" t="str">
        <f>IF(ISNUMBER(SEARCH("Pan ",Broadcast_BASE[[#This Row],[Broadcast Market]]))=TRUE,"Y","N")</f>
        <v>N</v>
      </c>
      <c r="N471" t="str">
        <f>VLOOKUP(CONCATENATE(Broadcast_BASE[[#This Row],[Broadcast Market]],Broadcast_BASE[[#This Row],[Broadcaster]]),Table1[[CC]:[Pay TV vs. Free-to-Air]],3,FALSE)</f>
        <v>Digital</v>
      </c>
      <c r="O471" s="1" t="str">
        <f>VLOOKUP(CONCATENATE(Broadcast_BASE[[#This Row],[Broadcast Market]],Broadcast_BASE[[#This Row],[Broadcaster]]),Table1[[CC]:[Pay TV vs. Free-to-Air]],2,FALSE)</f>
        <v>-</v>
      </c>
      <c r="P471" s="234">
        <f>Broadcast_BASE[[#This Row],[Rolex EXP]]*86400</f>
        <v>441.03521004288257</v>
      </c>
      <c r="Q471" s="235" t="str">
        <f>IF(Broadcast_BASE[[#This Row],[Dashboard Rated?]]="No","N","Y")</f>
        <v>Y</v>
      </c>
      <c r="R471" s="236"/>
      <c r="S471" s="236"/>
    </row>
    <row r="472" spans="1:19" x14ac:dyDescent="0.25">
      <c r="A472" s="72" t="e">
        <f>#REF!</f>
        <v>#REF!</v>
      </c>
      <c r="B472" t="s">
        <v>45</v>
      </c>
      <c r="C472" t="s">
        <v>45</v>
      </c>
      <c r="D472" t="s">
        <v>1644</v>
      </c>
      <c r="E472" s="102">
        <v>0.16666666666666666</v>
      </c>
      <c r="F472" s="101">
        <v>139.785332307532</v>
      </c>
      <c r="G472" s="102">
        <v>1.0209148380622281E-2</v>
      </c>
      <c r="H472" s="101">
        <v>56.802200768677146</v>
      </c>
      <c r="I472" s="101">
        <v>15.770236096273578</v>
      </c>
      <c r="J472" s="101"/>
      <c r="K472" s="233" t="str">
        <f>VLOOKUP(Broadcast_BASE[[#This Row],[Broadcast Market]],Continent_Look_Up[],2,FALSE)</f>
        <v>Digital</v>
      </c>
      <c r="L472" t="str">
        <f>IF(OR(Broadcast_BASE[[#This Row],[Broadcast Continent]]="Digital",Broadcast_BASE[[#This Row],[Programme Type]]="Digital"),"Y","N")</f>
        <v>Y</v>
      </c>
      <c r="M472" s="4" t="str">
        <f>IF(ISNUMBER(SEARCH("Pan ",Broadcast_BASE[[#This Row],[Broadcast Market]]))=TRUE,"Y","N")</f>
        <v>N</v>
      </c>
      <c r="N472" t="str">
        <f>VLOOKUP(CONCATENATE(Broadcast_BASE[[#This Row],[Broadcast Market]],Broadcast_BASE[[#This Row],[Broadcaster]]),Table1[[CC]:[Pay TV vs. Free-to-Air]],3,FALSE)</f>
        <v>Digital</v>
      </c>
      <c r="O472" s="1" t="str">
        <f>VLOOKUP(CONCATENATE(Broadcast_BASE[[#This Row],[Broadcast Market]],Broadcast_BASE[[#This Row],[Broadcaster]]),Table1[[CC]:[Pay TV vs. Free-to-Air]],2,FALSE)</f>
        <v>-</v>
      </c>
      <c r="P472" s="234">
        <f>Broadcast_BASE[[#This Row],[Rolex EXP]]*86400</f>
        <v>882.07042008576514</v>
      </c>
      <c r="Q472" s="235" t="str">
        <f>IF(Broadcast_BASE[[#This Row],[Dashboard Rated?]]="No","N","Y")</f>
        <v>Y</v>
      </c>
      <c r="R472" s="236"/>
      <c r="S472" s="236"/>
    </row>
    <row r="473" spans="1:19" x14ac:dyDescent="0.25">
      <c r="A473" s="72" t="e">
        <f>#REF!</f>
        <v>#REF!</v>
      </c>
      <c r="B473" t="s">
        <v>45</v>
      </c>
      <c r="C473" t="s">
        <v>45</v>
      </c>
      <c r="D473" t="s">
        <v>1642</v>
      </c>
      <c r="E473" s="102">
        <v>2.4236111111111112</v>
      </c>
      <c r="F473" s="101">
        <v>420612.15037099819</v>
      </c>
      <c r="G473" s="102">
        <v>0.14845803270154898</v>
      </c>
      <c r="H473" s="101">
        <v>64857.749868780338</v>
      </c>
      <c r="I473" s="101">
        <v>18006.732384702686</v>
      </c>
      <c r="J473" s="101"/>
      <c r="K473" s="233" t="str">
        <f>VLOOKUP(Broadcast_BASE[[#This Row],[Broadcast Market]],Continent_Look_Up[],2,FALSE)</f>
        <v>Digital</v>
      </c>
      <c r="L473" t="str">
        <f>IF(OR(Broadcast_BASE[[#This Row],[Broadcast Continent]]="Digital",Broadcast_BASE[[#This Row],[Programme Type]]="Digital"),"Y","N")</f>
        <v>Y</v>
      </c>
      <c r="M473" s="4" t="str">
        <f>IF(ISNUMBER(SEARCH("Pan ",Broadcast_BASE[[#This Row],[Broadcast Market]]))=TRUE,"Y","N")</f>
        <v>N</v>
      </c>
      <c r="N473" t="str">
        <f>VLOOKUP(CONCATENATE(Broadcast_BASE[[#This Row],[Broadcast Market]],Broadcast_BASE[[#This Row],[Broadcaster]]),Table1[[CC]:[Pay TV vs. Free-to-Air]],3,FALSE)</f>
        <v>Digital</v>
      </c>
      <c r="O473" s="1" t="str">
        <f>VLOOKUP(CONCATENATE(Broadcast_BASE[[#This Row],[Broadcast Market]],Broadcast_BASE[[#This Row],[Broadcaster]]),Table1[[CC]:[Pay TV vs. Free-to-Air]],2,FALSE)</f>
        <v>-</v>
      </c>
      <c r="P473" s="234">
        <f>Broadcast_BASE[[#This Row],[Rolex EXP]]*86400</f>
        <v>12826.774025413832</v>
      </c>
      <c r="Q473" s="235" t="str">
        <f>IF(Broadcast_BASE[[#This Row],[Dashboard Rated?]]="No","N","Y")</f>
        <v>Y</v>
      </c>
      <c r="R473" s="236"/>
      <c r="S473" s="236"/>
    </row>
    <row r="474" spans="1:19" x14ac:dyDescent="0.25">
      <c r="A474" s="72" t="e">
        <f>#REF!</f>
        <v>#REF!</v>
      </c>
      <c r="B474" t="s">
        <v>45</v>
      </c>
      <c r="C474" t="s">
        <v>45</v>
      </c>
      <c r="D474" t="s">
        <v>1643</v>
      </c>
      <c r="E474" s="102">
        <v>6.4291666666666671</v>
      </c>
      <c r="F474" s="101">
        <v>372011.40878126107</v>
      </c>
      <c r="G474" s="102">
        <v>0.39381789878250451</v>
      </c>
      <c r="H474" s="101">
        <v>158975.80408714581</v>
      </c>
      <c r="I474" s="101">
        <v>44137.127261303671</v>
      </c>
      <c r="J474" s="101"/>
      <c r="K474" s="233" t="str">
        <f>VLOOKUP(Broadcast_BASE[[#This Row],[Broadcast Market]],Continent_Look_Up[],2,FALSE)</f>
        <v>Digital</v>
      </c>
      <c r="L474" t="str">
        <f>IF(OR(Broadcast_BASE[[#This Row],[Broadcast Continent]]="Digital",Broadcast_BASE[[#This Row],[Programme Type]]="Digital"),"Y","N")</f>
        <v>Y</v>
      </c>
      <c r="M474" s="4" t="str">
        <f>IF(ISNUMBER(SEARCH("Pan ",Broadcast_BASE[[#This Row],[Broadcast Market]]))=TRUE,"Y","N")</f>
        <v>N</v>
      </c>
      <c r="N474" t="str">
        <f>VLOOKUP(CONCATENATE(Broadcast_BASE[[#This Row],[Broadcast Market]],Broadcast_BASE[[#This Row],[Broadcaster]]),Table1[[CC]:[Pay TV vs. Free-to-Air]],3,FALSE)</f>
        <v>Digital</v>
      </c>
      <c r="O474" s="1" t="str">
        <f>VLOOKUP(CONCATENATE(Broadcast_BASE[[#This Row],[Broadcast Market]],Broadcast_BASE[[#This Row],[Broadcaster]]),Table1[[CC]:[Pay TV vs. Free-to-Air]],2,FALSE)</f>
        <v>-</v>
      </c>
      <c r="P474" s="234">
        <f>Broadcast_BASE[[#This Row],[Rolex EXP]]*86400</f>
        <v>34025.866454808391</v>
      </c>
      <c r="Q474" s="235" t="str">
        <f>IF(Broadcast_BASE[[#This Row],[Dashboard Rated?]]="No","N","Y")</f>
        <v>Y</v>
      </c>
      <c r="R474" s="236"/>
      <c r="S474" s="236"/>
    </row>
    <row r="475" spans="1:19" x14ac:dyDescent="0.25">
      <c r="A475" s="72" t="e">
        <f>#REF!</f>
        <v>#REF!</v>
      </c>
      <c r="B475" t="s">
        <v>45</v>
      </c>
      <c r="C475" t="s">
        <v>45</v>
      </c>
      <c r="D475" t="s">
        <v>1642</v>
      </c>
      <c r="E475" s="102">
        <v>1.1909722222222221</v>
      </c>
      <c r="F475" s="101">
        <v>76746.595376142868</v>
      </c>
      <c r="G475" s="102">
        <v>7.7112516075087581E-2</v>
      </c>
      <c r="H475" s="101">
        <v>7851.5081053793456</v>
      </c>
      <c r="I475" s="101">
        <v>2217.2834665220298</v>
      </c>
      <c r="J475" s="101"/>
      <c r="K475" s="233" t="str">
        <f>VLOOKUP(Broadcast_BASE[[#This Row],[Broadcast Market]],Continent_Look_Up[],2,FALSE)</f>
        <v>Digital</v>
      </c>
      <c r="L475" t="str">
        <f>IF(OR(Broadcast_BASE[[#This Row],[Broadcast Continent]]="Digital",Broadcast_BASE[[#This Row],[Programme Type]]="Digital"),"Y","N")</f>
        <v>Y</v>
      </c>
      <c r="M475" s="4" t="str">
        <f>IF(ISNUMBER(SEARCH("Pan ",Broadcast_BASE[[#This Row],[Broadcast Market]]))=TRUE,"Y","N")</f>
        <v>N</v>
      </c>
      <c r="N475" t="str">
        <f>VLOOKUP(CONCATENATE(Broadcast_BASE[[#This Row],[Broadcast Market]],Broadcast_BASE[[#This Row],[Broadcaster]]),Table1[[CC]:[Pay TV vs. Free-to-Air]],3,FALSE)</f>
        <v>Digital</v>
      </c>
      <c r="O475" s="1" t="str">
        <f>VLOOKUP(CONCATENATE(Broadcast_BASE[[#This Row],[Broadcast Market]],Broadcast_BASE[[#This Row],[Broadcaster]]),Table1[[CC]:[Pay TV vs. Free-to-Air]],2,FALSE)</f>
        <v>-</v>
      </c>
      <c r="P475" s="234">
        <f>Broadcast_BASE[[#This Row],[Rolex EXP]]*86400</f>
        <v>6662.5213888875669</v>
      </c>
      <c r="Q475" s="235" t="str">
        <f>IF(Broadcast_BASE[[#This Row],[Dashboard Rated?]]="No","N","Y")</f>
        <v>Y</v>
      </c>
      <c r="R475" s="236"/>
      <c r="S475" s="236"/>
    </row>
    <row r="476" spans="1:19" x14ac:dyDescent="0.25">
      <c r="A476" s="72" t="e">
        <f>#REF!</f>
        <v>#REF!</v>
      </c>
      <c r="B476" t="s">
        <v>45</v>
      </c>
      <c r="C476" t="s">
        <v>45</v>
      </c>
      <c r="D476" t="s">
        <v>1643</v>
      </c>
      <c r="E476" s="102">
        <v>5.7361111111111107</v>
      </c>
      <c r="F476" s="101">
        <v>230766.12718059466</v>
      </c>
      <c r="G476" s="102">
        <v>0.36999358506157121</v>
      </c>
      <c r="H476" s="101">
        <v>46604.515275712685</v>
      </c>
      <c r="I476" s="101">
        <v>13129.132338366639</v>
      </c>
      <c r="J476" s="101"/>
      <c r="K476" s="233" t="str">
        <f>VLOOKUP(Broadcast_BASE[[#This Row],[Broadcast Market]],Continent_Look_Up[],2,FALSE)</f>
        <v>Digital</v>
      </c>
      <c r="L476" t="str">
        <f>IF(OR(Broadcast_BASE[[#This Row],[Broadcast Continent]]="Digital",Broadcast_BASE[[#This Row],[Programme Type]]="Digital"),"Y","N")</f>
        <v>Y</v>
      </c>
      <c r="M476" s="4" t="str">
        <f>IF(ISNUMBER(SEARCH("Pan ",Broadcast_BASE[[#This Row],[Broadcast Market]]))=TRUE,"Y","N")</f>
        <v>N</v>
      </c>
      <c r="N476" t="str">
        <f>VLOOKUP(CONCATENATE(Broadcast_BASE[[#This Row],[Broadcast Market]],Broadcast_BASE[[#This Row],[Broadcaster]]),Table1[[CC]:[Pay TV vs. Free-to-Air]],3,FALSE)</f>
        <v>Digital</v>
      </c>
      <c r="O476" s="1" t="str">
        <f>VLOOKUP(CONCATENATE(Broadcast_BASE[[#This Row],[Broadcast Market]],Broadcast_BASE[[#This Row],[Broadcaster]]),Table1[[CC]:[Pay TV vs. Free-to-Air]],2,FALSE)</f>
        <v>-</v>
      </c>
      <c r="P476" s="234">
        <f>Broadcast_BASE[[#This Row],[Rolex EXP]]*86400</f>
        <v>31967.445749319751</v>
      </c>
      <c r="Q476" s="235" t="str">
        <f>IF(Broadcast_BASE[[#This Row],[Dashboard Rated?]]="No","N","Y")</f>
        <v>Y</v>
      </c>
      <c r="R476" s="236"/>
      <c r="S476" s="236"/>
    </row>
    <row r="477" spans="1:19" x14ac:dyDescent="0.25">
      <c r="A477" s="72" t="e">
        <f>#REF!</f>
        <v>#REF!</v>
      </c>
      <c r="B477" t="s">
        <v>45</v>
      </c>
      <c r="C477" t="s">
        <v>45</v>
      </c>
      <c r="D477" t="s">
        <v>1644</v>
      </c>
      <c r="E477" s="102">
        <v>1.7673611111111109</v>
      </c>
      <c r="F477" s="101">
        <v>65427.711176699755</v>
      </c>
      <c r="G477" s="102">
        <v>0.10941298903576126</v>
      </c>
      <c r="H477" s="101">
        <v>10200.798805709006</v>
      </c>
      <c r="I477" s="101">
        <v>2920.1039974008099</v>
      </c>
      <c r="J477" s="101"/>
      <c r="K477" s="233" t="str">
        <f>VLOOKUP(Broadcast_BASE[[#This Row],[Broadcast Market]],Continent_Look_Up[],2,FALSE)</f>
        <v>Digital</v>
      </c>
      <c r="L477" t="str">
        <f>IF(OR(Broadcast_BASE[[#This Row],[Broadcast Continent]]="Digital",Broadcast_BASE[[#This Row],[Programme Type]]="Digital"),"Y","N")</f>
        <v>Y</v>
      </c>
      <c r="M477" s="4" t="str">
        <f>IF(ISNUMBER(SEARCH("Pan ",Broadcast_BASE[[#This Row],[Broadcast Market]]))=TRUE,"Y","N")</f>
        <v>N</v>
      </c>
      <c r="N477" t="str">
        <f>VLOOKUP(CONCATENATE(Broadcast_BASE[[#This Row],[Broadcast Market]],Broadcast_BASE[[#This Row],[Broadcaster]]),Table1[[CC]:[Pay TV vs. Free-to-Air]],3,FALSE)</f>
        <v>Digital</v>
      </c>
      <c r="O477" s="1" t="str">
        <f>VLOOKUP(CONCATENATE(Broadcast_BASE[[#This Row],[Broadcast Market]],Broadcast_BASE[[#This Row],[Broadcaster]]),Table1[[CC]:[Pay TV vs. Free-to-Air]],2,FALSE)</f>
        <v>-</v>
      </c>
      <c r="P477" s="234">
        <f>Broadcast_BASE[[#This Row],[Rolex EXP]]*86400</f>
        <v>9453.2822526897726</v>
      </c>
      <c r="Q477" s="235" t="str">
        <f>IF(Broadcast_BASE[[#This Row],[Dashboard Rated?]]="No","N","Y")</f>
        <v>Y</v>
      </c>
      <c r="R477" s="236"/>
      <c r="S477" s="236"/>
    </row>
    <row r="478" spans="1:19" x14ac:dyDescent="0.25">
      <c r="A478" s="72" t="e">
        <f>#REF!</f>
        <v>#REF!</v>
      </c>
      <c r="B478" t="s">
        <v>45</v>
      </c>
      <c r="C478" t="s">
        <v>45</v>
      </c>
      <c r="D478" t="s">
        <v>1642</v>
      </c>
      <c r="E478" s="102">
        <v>0.86458333333333337</v>
      </c>
      <c r="F478" s="101">
        <v>53705.305950000562</v>
      </c>
      <c r="G478" s="102">
        <v>5.3404809030442452E-2</v>
      </c>
      <c r="H478" s="101">
        <v>5436.160994380336</v>
      </c>
      <c r="I478" s="101">
        <v>1537.9101743571159</v>
      </c>
      <c r="J478" s="101"/>
      <c r="K478" s="233" t="str">
        <f>VLOOKUP(Broadcast_BASE[[#This Row],[Broadcast Market]],Continent_Look_Up[],2,FALSE)</f>
        <v>Digital</v>
      </c>
      <c r="L478" t="str">
        <f>IF(OR(Broadcast_BASE[[#This Row],[Broadcast Continent]]="Digital",Broadcast_BASE[[#This Row],[Programme Type]]="Digital"),"Y","N")</f>
        <v>Y</v>
      </c>
      <c r="M478" s="4" t="str">
        <f>IF(ISNUMBER(SEARCH("Pan ",Broadcast_BASE[[#This Row],[Broadcast Market]]))=TRUE,"Y","N")</f>
        <v>N</v>
      </c>
      <c r="N478" t="str">
        <f>VLOOKUP(CONCATENATE(Broadcast_BASE[[#This Row],[Broadcast Market]],Broadcast_BASE[[#This Row],[Broadcaster]]),Table1[[CC]:[Pay TV vs. Free-to-Air]],3,FALSE)</f>
        <v>Digital</v>
      </c>
      <c r="O478" s="1" t="str">
        <f>VLOOKUP(CONCATENATE(Broadcast_BASE[[#This Row],[Broadcast Market]],Broadcast_BASE[[#This Row],[Broadcaster]]),Table1[[CC]:[Pay TV vs. Free-to-Air]],2,FALSE)</f>
        <v>-</v>
      </c>
      <c r="P478" s="234">
        <f>Broadcast_BASE[[#This Row],[Rolex EXP]]*86400</f>
        <v>4614.175500230228</v>
      </c>
      <c r="Q478" s="235" t="str">
        <f>IF(Broadcast_BASE[[#This Row],[Dashboard Rated?]]="No","N","Y")</f>
        <v>Y</v>
      </c>
      <c r="R478" s="236"/>
      <c r="S478" s="236"/>
    </row>
    <row r="479" spans="1:19" x14ac:dyDescent="0.25">
      <c r="A479" s="72" t="e">
        <f>#REF!</f>
        <v>#REF!</v>
      </c>
      <c r="B479" t="s">
        <v>45</v>
      </c>
      <c r="C479" t="s">
        <v>45</v>
      </c>
      <c r="D479" t="s">
        <v>1643</v>
      </c>
      <c r="E479" s="102">
        <v>4</v>
      </c>
      <c r="F479" s="101">
        <v>161017.11538333099</v>
      </c>
      <c r="G479" s="102">
        <v>0.2449643254147065</v>
      </c>
      <c r="H479" s="101">
        <v>30762.387100813274</v>
      </c>
      <c r="I479" s="101">
        <v>8538.2769789277027</v>
      </c>
      <c r="J479" s="101"/>
      <c r="K479" s="233" t="str">
        <f>VLOOKUP(Broadcast_BASE[[#This Row],[Broadcast Market]],Continent_Look_Up[],2,FALSE)</f>
        <v>Digital</v>
      </c>
      <c r="L479" t="str">
        <f>IF(OR(Broadcast_BASE[[#This Row],[Broadcast Continent]]="Digital",Broadcast_BASE[[#This Row],[Programme Type]]="Digital"),"Y","N")</f>
        <v>Y</v>
      </c>
      <c r="M479" s="4" t="str">
        <f>IF(ISNUMBER(SEARCH("Pan ",Broadcast_BASE[[#This Row],[Broadcast Market]]))=TRUE,"Y","N")</f>
        <v>N</v>
      </c>
      <c r="N479" t="str">
        <f>VLOOKUP(CONCATENATE(Broadcast_BASE[[#This Row],[Broadcast Market]],Broadcast_BASE[[#This Row],[Broadcaster]]),Table1[[CC]:[Pay TV vs. Free-to-Air]],3,FALSE)</f>
        <v>Digital</v>
      </c>
      <c r="O479" s="1" t="str">
        <f>VLOOKUP(CONCATENATE(Broadcast_BASE[[#This Row],[Broadcast Market]],Broadcast_BASE[[#This Row],[Broadcaster]]),Table1[[CC]:[Pay TV vs. Free-to-Air]],2,FALSE)</f>
        <v>-</v>
      </c>
      <c r="P479" s="234">
        <f>Broadcast_BASE[[#This Row],[Rolex EXP]]*86400</f>
        <v>21164.917715830641</v>
      </c>
      <c r="Q479" s="235" t="str">
        <f>IF(Broadcast_BASE[[#This Row],[Dashboard Rated?]]="No","N","Y")</f>
        <v>Y</v>
      </c>
      <c r="R479" s="236"/>
      <c r="S479" s="236"/>
    </row>
    <row r="480" spans="1:19" x14ac:dyDescent="0.25">
      <c r="A480" s="72" t="e">
        <f>#REF!</f>
        <v>#REF!</v>
      </c>
      <c r="B480" t="s">
        <v>45</v>
      </c>
      <c r="C480" t="s">
        <v>45</v>
      </c>
      <c r="D480" t="s">
        <v>1644</v>
      </c>
      <c r="E480" s="102">
        <v>1.5451388888888891</v>
      </c>
      <c r="F480" s="101">
        <v>58214.815451974282</v>
      </c>
      <c r="G480" s="102">
        <v>9.5880263025902121E-2</v>
      </c>
      <c r="H480" s="101">
        <v>8899.3519957037697</v>
      </c>
      <c r="I480" s="101">
        <v>2544.2846321845641</v>
      </c>
      <c r="J480" s="101"/>
      <c r="K480" s="233" t="str">
        <f>VLOOKUP(Broadcast_BASE[[#This Row],[Broadcast Market]],Continent_Look_Up[],2,FALSE)</f>
        <v>Digital</v>
      </c>
      <c r="L480" t="str">
        <f>IF(OR(Broadcast_BASE[[#This Row],[Broadcast Continent]]="Digital",Broadcast_BASE[[#This Row],[Programme Type]]="Digital"),"Y","N")</f>
        <v>Y</v>
      </c>
      <c r="M480" s="4" t="str">
        <f>IF(ISNUMBER(SEARCH("Pan ",Broadcast_BASE[[#This Row],[Broadcast Market]]))=TRUE,"Y","N")</f>
        <v>N</v>
      </c>
      <c r="N480" t="str">
        <f>VLOOKUP(CONCATENATE(Broadcast_BASE[[#This Row],[Broadcast Market]],Broadcast_BASE[[#This Row],[Broadcaster]]),Table1[[CC]:[Pay TV vs. Free-to-Air]],3,FALSE)</f>
        <v>Digital</v>
      </c>
      <c r="O480" s="1" t="str">
        <f>VLOOKUP(CONCATENATE(Broadcast_BASE[[#This Row],[Broadcast Market]],Broadcast_BASE[[#This Row],[Broadcaster]]),Table1[[CC]:[Pay TV vs. Free-to-Air]],2,FALSE)</f>
        <v>-</v>
      </c>
      <c r="P480" s="234">
        <f>Broadcast_BASE[[#This Row],[Rolex EXP]]*86400</f>
        <v>8284.0547254379435</v>
      </c>
      <c r="Q480" s="235" t="str">
        <f>IF(Broadcast_BASE[[#This Row],[Dashboard Rated?]]="No","N","Y")</f>
        <v>Y</v>
      </c>
      <c r="R480" s="236"/>
      <c r="S480" s="236"/>
    </row>
    <row r="481" spans="1:19" x14ac:dyDescent="0.25">
      <c r="A481" s="72" t="e">
        <f>#REF!</f>
        <v>#REF!</v>
      </c>
      <c r="B481" t="s">
        <v>45</v>
      </c>
      <c r="C481" t="s">
        <v>45</v>
      </c>
      <c r="D481" t="s">
        <v>1642</v>
      </c>
      <c r="E481" s="102">
        <v>0.28561342592592592</v>
      </c>
      <c r="F481" s="101">
        <v>1633.0151462273334</v>
      </c>
      <c r="G481" s="102">
        <v>1.7495219068653891E-2</v>
      </c>
      <c r="H481" s="101">
        <v>108.36031396375063</v>
      </c>
      <c r="I481" s="101">
        <v>30.084533900964836</v>
      </c>
      <c r="J481" s="101"/>
      <c r="K481" s="233" t="str">
        <f>VLOOKUP(Broadcast_BASE[[#This Row],[Broadcast Market]],Continent_Look_Up[],2,FALSE)</f>
        <v>Digital</v>
      </c>
      <c r="L481" t="str">
        <f>IF(OR(Broadcast_BASE[[#This Row],[Broadcast Continent]]="Digital",Broadcast_BASE[[#This Row],[Programme Type]]="Digital"),"Y","N")</f>
        <v>Y</v>
      </c>
      <c r="M481" s="4" t="str">
        <f>IF(ISNUMBER(SEARCH("Pan ",Broadcast_BASE[[#This Row],[Broadcast Market]]))=TRUE,"Y","N")</f>
        <v>N</v>
      </c>
      <c r="N481" t="str">
        <f>VLOOKUP(CONCATENATE(Broadcast_BASE[[#This Row],[Broadcast Market]],Broadcast_BASE[[#This Row],[Broadcaster]]),Table1[[CC]:[Pay TV vs. Free-to-Air]],3,FALSE)</f>
        <v>Digital</v>
      </c>
      <c r="O481" s="1" t="str">
        <f>VLOOKUP(CONCATENATE(Broadcast_BASE[[#This Row],[Broadcast Market]],Broadcast_BASE[[#This Row],[Broadcaster]]),Table1[[CC]:[Pay TV vs. Free-to-Air]],2,FALSE)</f>
        <v>-</v>
      </c>
      <c r="P481" s="234">
        <f>Broadcast_BASE[[#This Row],[Rolex EXP]]*86400</f>
        <v>1511.5869275316961</v>
      </c>
      <c r="Q481" s="235" t="str">
        <f>IF(Broadcast_BASE[[#This Row],[Dashboard Rated?]]="No","N","Y")</f>
        <v>Y</v>
      </c>
      <c r="R481" s="236"/>
      <c r="S481" s="236"/>
    </row>
    <row r="482" spans="1:19" x14ac:dyDescent="0.25">
      <c r="A482" s="72" t="e">
        <f>#REF!</f>
        <v>#REF!</v>
      </c>
      <c r="B482" t="s">
        <v>45</v>
      </c>
      <c r="C482" t="s">
        <v>45</v>
      </c>
      <c r="D482" t="s">
        <v>1643</v>
      </c>
      <c r="E482" s="102">
        <v>6.0157175925925932</v>
      </c>
      <c r="F482" s="101">
        <v>10559.249121676776</v>
      </c>
      <c r="G482" s="102">
        <v>0.36849212111218571</v>
      </c>
      <c r="H482" s="101">
        <v>6703.8209339295008</v>
      </c>
      <c r="I482" s="101">
        <v>1861.2102602459001</v>
      </c>
      <c r="J482" s="101"/>
      <c r="K482" s="233" t="str">
        <f>VLOOKUP(Broadcast_BASE[[#This Row],[Broadcast Market]],Continent_Look_Up[],2,FALSE)</f>
        <v>Digital</v>
      </c>
      <c r="L482" t="str">
        <f>IF(OR(Broadcast_BASE[[#This Row],[Broadcast Continent]]="Digital",Broadcast_BASE[[#This Row],[Programme Type]]="Digital"),"Y","N")</f>
        <v>Y</v>
      </c>
      <c r="M482" s="4" t="str">
        <f>IF(ISNUMBER(SEARCH("Pan ",Broadcast_BASE[[#This Row],[Broadcast Market]]))=TRUE,"Y","N")</f>
        <v>N</v>
      </c>
      <c r="N482" t="str">
        <f>VLOOKUP(CONCATENATE(Broadcast_BASE[[#This Row],[Broadcast Market]],Broadcast_BASE[[#This Row],[Broadcaster]]),Table1[[CC]:[Pay TV vs. Free-to-Air]],3,FALSE)</f>
        <v>Digital</v>
      </c>
      <c r="O482" s="1" t="str">
        <f>VLOOKUP(CONCATENATE(Broadcast_BASE[[#This Row],[Broadcast Market]],Broadcast_BASE[[#This Row],[Broadcaster]]),Table1[[CC]:[Pay TV vs. Free-to-Air]],2,FALSE)</f>
        <v>-</v>
      </c>
      <c r="P482" s="234">
        <f>Broadcast_BASE[[#This Row],[Rolex EXP]]*86400</f>
        <v>31837.719264092844</v>
      </c>
      <c r="Q482" s="235" t="str">
        <f>IF(Broadcast_BASE[[#This Row],[Dashboard Rated?]]="No","N","Y")</f>
        <v>Y</v>
      </c>
      <c r="R482" s="236"/>
      <c r="S482" s="236"/>
    </row>
    <row r="483" spans="1:19" x14ac:dyDescent="0.25">
      <c r="A483" s="72" t="e">
        <f>#REF!</f>
        <v>#REF!</v>
      </c>
      <c r="B483" t="s">
        <v>45</v>
      </c>
      <c r="C483" t="s">
        <v>45</v>
      </c>
      <c r="D483" t="s">
        <v>1644</v>
      </c>
      <c r="E483" s="102">
        <v>0.17097222222222222</v>
      </c>
      <c r="F483" s="101">
        <v>8.356944351450581</v>
      </c>
      <c r="G483" s="102">
        <v>1.0472884713788357E-2</v>
      </c>
      <c r="H483" s="101">
        <v>3.4835967476408127</v>
      </c>
      <c r="I483" s="101">
        <v>0.96716575116928893</v>
      </c>
      <c r="J483" s="101"/>
      <c r="K483" s="233" t="str">
        <f>VLOOKUP(Broadcast_BASE[[#This Row],[Broadcast Market]],Continent_Look_Up[],2,FALSE)</f>
        <v>Digital</v>
      </c>
      <c r="L483" t="str">
        <f>IF(OR(Broadcast_BASE[[#This Row],[Broadcast Continent]]="Digital",Broadcast_BASE[[#This Row],[Programme Type]]="Digital"),"Y","N")</f>
        <v>Y</v>
      </c>
      <c r="M483" s="4" t="str">
        <f>IF(ISNUMBER(SEARCH("Pan ",Broadcast_BASE[[#This Row],[Broadcast Market]]))=TRUE,"Y","N")</f>
        <v>N</v>
      </c>
      <c r="N483" t="str">
        <f>VLOOKUP(CONCATENATE(Broadcast_BASE[[#This Row],[Broadcast Market]],Broadcast_BASE[[#This Row],[Broadcaster]]),Table1[[CC]:[Pay TV vs. Free-to-Air]],3,FALSE)</f>
        <v>Digital</v>
      </c>
      <c r="O483" s="1" t="str">
        <f>VLOOKUP(CONCATENATE(Broadcast_BASE[[#This Row],[Broadcast Market]],Broadcast_BASE[[#This Row],[Broadcaster]]),Table1[[CC]:[Pay TV vs. Free-to-Air]],2,FALSE)</f>
        <v>-</v>
      </c>
      <c r="P483" s="234">
        <f>Broadcast_BASE[[#This Row],[Rolex EXP]]*86400</f>
        <v>904.85723927131403</v>
      </c>
      <c r="Q483" s="235" t="str">
        <f>IF(Broadcast_BASE[[#This Row],[Dashboard Rated?]]="No","N","Y")</f>
        <v>Y</v>
      </c>
      <c r="R483" s="236"/>
      <c r="S483" s="236"/>
    </row>
    <row r="484" spans="1:19" x14ac:dyDescent="0.25">
      <c r="A484" s="72" t="e">
        <f>#REF!</f>
        <v>#REF!</v>
      </c>
      <c r="B484" t="s">
        <v>45</v>
      </c>
      <c r="C484" t="s">
        <v>45</v>
      </c>
      <c r="D484" t="s">
        <v>1643</v>
      </c>
      <c r="E484" s="102">
        <v>0.16015046296296295</v>
      </c>
      <c r="F484" s="101">
        <v>13.500057583942001</v>
      </c>
      <c r="G484" s="102">
        <v>9.8099990376854535E-3</v>
      </c>
      <c r="H484" s="101">
        <v>5.271310870975868</v>
      </c>
      <c r="I484" s="101">
        <v>1.4634964111810231</v>
      </c>
      <c r="J484" s="101"/>
      <c r="K484" s="233" t="str">
        <f>VLOOKUP(Broadcast_BASE[[#This Row],[Broadcast Market]],Continent_Look_Up[],2,FALSE)</f>
        <v>Digital</v>
      </c>
      <c r="L484" t="str">
        <f>IF(OR(Broadcast_BASE[[#This Row],[Broadcast Continent]]="Digital",Broadcast_BASE[[#This Row],[Programme Type]]="Digital"),"Y","N")</f>
        <v>Y</v>
      </c>
      <c r="M484" s="4" t="str">
        <f>IF(ISNUMBER(SEARCH("Pan ",Broadcast_BASE[[#This Row],[Broadcast Market]]))=TRUE,"Y","N")</f>
        <v>N</v>
      </c>
      <c r="N484" t="str">
        <f>VLOOKUP(CONCATENATE(Broadcast_BASE[[#This Row],[Broadcast Market]],Broadcast_BASE[[#This Row],[Broadcaster]]),Table1[[CC]:[Pay TV vs. Free-to-Air]],3,FALSE)</f>
        <v>Digital</v>
      </c>
      <c r="O484" s="1" t="str">
        <f>VLOOKUP(CONCATENATE(Broadcast_BASE[[#This Row],[Broadcast Market]],Broadcast_BASE[[#This Row],[Broadcaster]]),Table1[[CC]:[Pay TV vs. Free-to-Air]],2,FALSE)</f>
        <v>-</v>
      </c>
      <c r="P484" s="234">
        <f>Broadcast_BASE[[#This Row],[Rolex EXP]]*86400</f>
        <v>847.58391685602317</v>
      </c>
      <c r="Q484" s="235" t="str">
        <f>IF(Broadcast_BASE[[#This Row],[Dashboard Rated?]]="No","N","Y")</f>
        <v>Y</v>
      </c>
      <c r="R484" s="236"/>
      <c r="S484" s="236"/>
    </row>
    <row r="485" spans="1:19" x14ac:dyDescent="0.25">
      <c r="A485" s="72" t="e">
        <f>#REF!</f>
        <v>#REF!</v>
      </c>
      <c r="B485" t="s">
        <v>45</v>
      </c>
      <c r="C485" t="s">
        <v>45</v>
      </c>
      <c r="D485" t="s">
        <v>1642</v>
      </c>
      <c r="E485" s="102">
        <v>1.5881134259259257</v>
      </c>
      <c r="F485" s="101">
        <v>56756.102287934278</v>
      </c>
      <c r="G485" s="102">
        <v>9.7279713663217068E-2</v>
      </c>
      <c r="H485" s="101">
        <v>3432.4897929431581</v>
      </c>
      <c r="I485" s="101">
        <v>952.9767104131779</v>
      </c>
      <c r="J485" s="101"/>
      <c r="K485" s="233" t="str">
        <f>VLOOKUP(Broadcast_BASE[[#This Row],[Broadcast Market]],Continent_Look_Up[],2,FALSE)</f>
        <v>Digital</v>
      </c>
      <c r="L485" t="str">
        <f>IF(OR(Broadcast_BASE[[#This Row],[Broadcast Continent]]="Digital",Broadcast_BASE[[#This Row],[Programme Type]]="Digital"),"Y","N")</f>
        <v>Y</v>
      </c>
      <c r="M485" s="4" t="str">
        <f>IF(ISNUMBER(SEARCH("Pan ",Broadcast_BASE[[#This Row],[Broadcast Market]]))=TRUE,"Y","N")</f>
        <v>N</v>
      </c>
      <c r="N485" t="str">
        <f>VLOOKUP(CONCATENATE(Broadcast_BASE[[#This Row],[Broadcast Market]],Broadcast_BASE[[#This Row],[Broadcaster]]),Table1[[CC]:[Pay TV vs. Free-to-Air]],3,FALSE)</f>
        <v>Digital</v>
      </c>
      <c r="O485" s="1" t="str">
        <f>VLOOKUP(CONCATENATE(Broadcast_BASE[[#This Row],[Broadcast Market]],Broadcast_BASE[[#This Row],[Broadcaster]]),Table1[[CC]:[Pay TV vs. Free-to-Air]],2,FALSE)</f>
        <v>-</v>
      </c>
      <c r="P485" s="234">
        <f>Broadcast_BASE[[#This Row],[Rolex EXP]]*86400</f>
        <v>8404.967260501955</v>
      </c>
      <c r="Q485" s="235" t="str">
        <f>IF(Broadcast_BASE[[#This Row],[Dashboard Rated?]]="No","N","Y")</f>
        <v>Y</v>
      </c>
      <c r="R485" s="236"/>
      <c r="S485" s="236"/>
    </row>
    <row r="486" spans="1:19" x14ac:dyDescent="0.25">
      <c r="A486" s="72" t="e">
        <f>#REF!</f>
        <v>#REF!</v>
      </c>
      <c r="B486" t="s">
        <v>45</v>
      </c>
      <c r="C486" t="s">
        <v>45</v>
      </c>
      <c r="D486" t="s">
        <v>1643</v>
      </c>
      <c r="E486" s="102">
        <v>7.6190046296296297</v>
      </c>
      <c r="F486" s="101">
        <v>55432.338485183005</v>
      </c>
      <c r="G486" s="102">
        <v>0.46670129265922194</v>
      </c>
      <c r="H486" s="101">
        <v>37228.695522756781</v>
      </c>
      <c r="I486" s="101">
        <v>10335.96075513168</v>
      </c>
      <c r="J486" s="101"/>
      <c r="K486" s="233" t="str">
        <f>VLOOKUP(Broadcast_BASE[[#This Row],[Broadcast Market]],Continent_Look_Up[],2,FALSE)</f>
        <v>Digital</v>
      </c>
      <c r="L486" t="str">
        <f>IF(OR(Broadcast_BASE[[#This Row],[Broadcast Continent]]="Digital",Broadcast_BASE[[#This Row],[Programme Type]]="Digital"),"Y","N")</f>
        <v>Y</v>
      </c>
      <c r="M486" s="4" t="str">
        <f>IF(ISNUMBER(SEARCH("Pan ",Broadcast_BASE[[#This Row],[Broadcast Market]]))=TRUE,"Y","N")</f>
        <v>N</v>
      </c>
      <c r="N486" t="str">
        <f>VLOOKUP(CONCATENATE(Broadcast_BASE[[#This Row],[Broadcast Market]],Broadcast_BASE[[#This Row],[Broadcaster]]),Table1[[CC]:[Pay TV vs. Free-to-Air]],3,FALSE)</f>
        <v>Digital</v>
      </c>
      <c r="O486" s="1" t="str">
        <f>VLOOKUP(CONCATENATE(Broadcast_BASE[[#This Row],[Broadcast Market]],Broadcast_BASE[[#This Row],[Broadcaster]]),Table1[[CC]:[Pay TV vs. Free-to-Air]],2,FALSE)</f>
        <v>-</v>
      </c>
      <c r="P486" s="234">
        <f>Broadcast_BASE[[#This Row],[Rolex EXP]]*86400</f>
        <v>40322.991685756773</v>
      </c>
      <c r="Q486" s="235" t="str">
        <f>IF(Broadcast_BASE[[#This Row],[Dashboard Rated?]]="No","N","Y")</f>
        <v>Y</v>
      </c>
      <c r="R486" s="236"/>
      <c r="S486" s="236"/>
    </row>
    <row r="487" spans="1:19" x14ac:dyDescent="0.25">
      <c r="A487" s="72" t="e">
        <f>#REF!</f>
        <v>#REF!</v>
      </c>
      <c r="B487" t="s">
        <v>45</v>
      </c>
      <c r="C487" t="s">
        <v>45</v>
      </c>
      <c r="D487" t="s">
        <v>1644</v>
      </c>
      <c r="E487" s="102">
        <v>6.1840972222222232</v>
      </c>
      <c r="F487" s="101">
        <v>39752.960980542048</v>
      </c>
      <c r="G487" s="102">
        <v>0.37880619685116451</v>
      </c>
      <c r="H487" s="101">
        <v>11930.612398407204</v>
      </c>
      <c r="I487" s="101">
        <v>3312.3465596382748</v>
      </c>
      <c r="J487" s="101"/>
      <c r="K487" s="233" t="str">
        <f>VLOOKUP(Broadcast_BASE[[#This Row],[Broadcast Market]],Continent_Look_Up[],2,FALSE)</f>
        <v>Digital</v>
      </c>
      <c r="L487" t="str">
        <f>IF(OR(Broadcast_BASE[[#This Row],[Broadcast Continent]]="Digital",Broadcast_BASE[[#This Row],[Programme Type]]="Digital"),"Y","N")</f>
        <v>Y</v>
      </c>
      <c r="M487" s="4" t="str">
        <f>IF(ISNUMBER(SEARCH("Pan ",Broadcast_BASE[[#This Row],[Broadcast Market]]))=TRUE,"Y","N")</f>
        <v>N</v>
      </c>
      <c r="N487" t="str">
        <f>VLOOKUP(CONCATENATE(Broadcast_BASE[[#This Row],[Broadcast Market]],Broadcast_BASE[[#This Row],[Broadcaster]]),Table1[[CC]:[Pay TV vs. Free-to-Air]],3,FALSE)</f>
        <v>Digital</v>
      </c>
      <c r="O487" s="1" t="str">
        <f>VLOOKUP(CONCATENATE(Broadcast_BASE[[#This Row],[Broadcast Market]],Broadcast_BASE[[#This Row],[Broadcaster]]),Table1[[CC]:[Pay TV vs. Free-to-Air]],2,FALSE)</f>
        <v>-</v>
      </c>
      <c r="P487" s="234">
        <f>Broadcast_BASE[[#This Row],[Rolex EXP]]*86400</f>
        <v>32728.855407940613</v>
      </c>
      <c r="Q487" s="235" t="str">
        <f>IF(Broadcast_BASE[[#This Row],[Dashboard Rated?]]="No","N","Y")</f>
        <v>Y</v>
      </c>
      <c r="R487" s="236"/>
      <c r="S487" s="236"/>
    </row>
    <row r="488" spans="1:19" x14ac:dyDescent="0.25">
      <c r="A488" s="72" t="e">
        <f>#REF!</f>
        <v>#REF!</v>
      </c>
      <c r="B488" t="s">
        <v>45</v>
      </c>
      <c r="C488" t="s">
        <v>45</v>
      </c>
      <c r="D488" t="s">
        <v>1643</v>
      </c>
      <c r="E488" s="102">
        <v>2.4234722222222222</v>
      </c>
      <c r="F488" s="101">
        <v>2043.4679000020008</v>
      </c>
      <c r="G488" s="102">
        <v>0.14844952507789846</v>
      </c>
      <c r="H488" s="101">
        <v>1895.7022381558322</v>
      </c>
      <c r="I488" s="101">
        <v>526.31185868483658</v>
      </c>
      <c r="J488" s="101"/>
      <c r="K488" s="233" t="str">
        <f>VLOOKUP(Broadcast_BASE[[#This Row],[Broadcast Market]],Continent_Look_Up[],2,FALSE)</f>
        <v>Digital</v>
      </c>
      <c r="L488" t="str">
        <f>IF(OR(Broadcast_BASE[[#This Row],[Broadcast Continent]]="Digital",Broadcast_BASE[[#This Row],[Programme Type]]="Digital"),"Y","N")</f>
        <v>Y</v>
      </c>
      <c r="M488" s="4" t="str">
        <f>IF(ISNUMBER(SEARCH("Pan ",Broadcast_BASE[[#This Row],[Broadcast Market]]))=TRUE,"Y","N")</f>
        <v>N</v>
      </c>
      <c r="N488" t="str">
        <f>VLOOKUP(CONCATENATE(Broadcast_BASE[[#This Row],[Broadcast Market]],Broadcast_BASE[[#This Row],[Broadcaster]]),Table1[[CC]:[Pay TV vs. Free-to-Air]],3,FALSE)</f>
        <v>Digital</v>
      </c>
      <c r="O488" s="1" t="str">
        <f>VLOOKUP(CONCATENATE(Broadcast_BASE[[#This Row],[Broadcast Market]],Broadcast_BASE[[#This Row],[Broadcaster]]),Table1[[CC]:[Pay TV vs. Free-to-Air]],2,FALSE)</f>
        <v>-</v>
      </c>
      <c r="P488" s="234">
        <f>Broadcast_BASE[[#This Row],[Rolex EXP]]*86400</f>
        <v>12826.038966730428</v>
      </c>
      <c r="Q488" s="235" t="str">
        <f>IF(Broadcast_BASE[[#This Row],[Dashboard Rated?]]="No","N","Y")</f>
        <v>Y</v>
      </c>
      <c r="R488" s="236"/>
      <c r="S488" s="236"/>
    </row>
    <row r="489" spans="1:19" x14ac:dyDescent="0.25">
      <c r="A489" s="72" t="e">
        <f>#REF!</f>
        <v>#REF!</v>
      </c>
      <c r="B489" t="s">
        <v>45</v>
      </c>
      <c r="C489" t="s">
        <v>45</v>
      </c>
      <c r="D489" t="s">
        <v>1644</v>
      </c>
      <c r="E489" s="102">
        <v>0.22556712962962963</v>
      </c>
      <c r="F489" s="101">
        <v>14.8378399709429</v>
      </c>
      <c r="G489" s="102">
        <v>1.3817089777079699E-2</v>
      </c>
      <c r="H489" s="101">
        <v>8.1602094424160629</v>
      </c>
      <c r="I489" s="101">
        <v>2.2655535834961151</v>
      </c>
      <c r="J489" s="101"/>
      <c r="K489" s="233" t="str">
        <f>VLOOKUP(Broadcast_BASE[[#This Row],[Broadcast Market]],Continent_Look_Up[],2,FALSE)</f>
        <v>Digital</v>
      </c>
      <c r="L489" t="str">
        <f>IF(OR(Broadcast_BASE[[#This Row],[Broadcast Continent]]="Digital",Broadcast_BASE[[#This Row],[Programme Type]]="Digital"),"Y","N")</f>
        <v>Y</v>
      </c>
      <c r="M489" s="4" t="str">
        <f>IF(ISNUMBER(SEARCH("Pan ",Broadcast_BASE[[#This Row],[Broadcast Market]]))=TRUE,"Y","N")</f>
        <v>N</v>
      </c>
      <c r="N489" t="str">
        <f>VLOOKUP(CONCATENATE(Broadcast_BASE[[#This Row],[Broadcast Market]],Broadcast_BASE[[#This Row],[Broadcaster]]),Table1[[CC]:[Pay TV vs. Free-to-Air]],3,FALSE)</f>
        <v>Digital</v>
      </c>
      <c r="O489" s="1" t="str">
        <f>VLOOKUP(CONCATENATE(Broadcast_BASE[[#This Row],[Broadcast Market]],Broadcast_BASE[[#This Row],[Broadcaster]]),Table1[[CC]:[Pay TV vs. Free-to-Air]],2,FALSE)</f>
        <v>-</v>
      </c>
      <c r="P489" s="234">
        <f>Broadcast_BASE[[#This Row],[Rolex EXP]]*86400</f>
        <v>1193.7965567396859</v>
      </c>
      <c r="Q489" s="235" t="str">
        <f>IF(Broadcast_BASE[[#This Row],[Dashboard Rated?]]="No","N","Y")</f>
        <v>Y</v>
      </c>
      <c r="R489" s="236"/>
      <c r="S489" s="236"/>
    </row>
    <row r="490" spans="1:19" x14ac:dyDescent="0.25">
      <c r="A490" s="72" t="e">
        <f>#REF!</f>
        <v>#REF!</v>
      </c>
      <c r="B490" t="s">
        <v>45</v>
      </c>
      <c r="C490" t="s">
        <v>45</v>
      </c>
      <c r="D490" t="s">
        <v>1642</v>
      </c>
      <c r="E490" s="102">
        <v>0.12510416666666666</v>
      </c>
      <c r="F490" s="101">
        <v>1501.6917349902533</v>
      </c>
      <c r="G490" s="102">
        <v>7.6632420032045996E-3</v>
      </c>
      <c r="H490" s="101">
        <v>71.107753687240617</v>
      </c>
      <c r="I490" s="101">
        <v>19.741947472954728</v>
      </c>
      <c r="J490" s="101"/>
      <c r="K490" s="233" t="str">
        <f>VLOOKUP(Broadcast_BASE[[#This Row],[Broadcast Market]],Continent_Look_Up[],2,FALSE)</f>
        <v>Digital</v>
      </c>
      <c r="L490" t="str">
        <f>IF(OR(Broadcast_BASE[[#This Row],[Broadcast Continent]]="Digital",Broadcast_BASE[[#This Row],[Programme Type]]="Digital"),"Y","N")</f>
        <v>Y</v>
      </c>
      <c r="M490" s="4" t="str">
        <f>IF(ISNUMBER(SEARCH("Pan ",Broadcast_BASE[[#This Row],[Broadcast Market]]))=TRUE,"Y","N")</f>
        <v>N</v>
      </c>
      <c r="N490" t="str">
        <f>VLOOKUP(CONCATENATE(Broadcast_BASE[[#This Row],[Broadcast Market]],Broadcast_BASE[[#This Row],[Broadcaster]]),Table1[[CC]:[Pay TV vs. Free-to-Air]],3,FALSE)</f>
        <v>Digital</v>
      </c>
      <c r="O490" s="1" t="str">
        <f>VLOOKUP(CONCATENATE(Broadcast_BASE[[#This Row],[Broadcast Market]],Broadcast_BASE[[#This Row],[Broadcaster]]),Table1[[CC]:[Pay TV vs. Free-to-Air]],2,FALSE)</f>
        <v>-</v>
      </c>
      <c r="P490" s="234">
        <f>Broadcast_BASE[[#This Row],[Rolex EXP]]*86400</f>
        <v>662.10410907687742</v>
      </c>
      <c r="Q490" s="235" t="str">
        <f>IF(Broadcast_BASE[[#This Row],[Dashboard Rated?]]="No","N","Y")</f>
        <v>Y</v>
      </c>
      <c r="R490" s="236"/>
      <c r="S490" s="236"/>
    </row>
    <row r="491" spans="1:19" x14ac:dyDescent="0.25">
      <c r="A491" s="72" t="e">
        <f>#REF!</f>
        <v>#REF!</v>
      </c>
      <c r="B491" t="s">
        <v>45</v>
      </c>
      <c r="C491" t="s">
        <v>45</v>
      </c>
      <c r="D491" t="s">
        <v>1644</v>
      </c>
      <c r="E491" s="102">
        <v>0.25158564814814816</v>
      </c>
      <c r="F491" s="101">
        <v>220.69155083218456</v>
      </c>
      <c r="G491" s="102">
        <v>1.5410851274276842E-2</v>
      </c>
      <c r="H491" s="101">
        <v>69.052674745811515</v>
      </c>
      <c r="I491" s="101">
        <v>19.171387183665924</v>
      </c>
      <c r="J491" s="101"/>
      <c r="K491" s="233" t="str">
        <f>VLOOKUP(Broadcast_BASE[[#This Row],[Broadcast Market]],Continent_Look_Up[],2,FALSE)</f>
        <v>Digital</v>
      </c>
      <c r="L491" t="str">
        <f>IF(OR(Broadcast_BASE[[#This Row],[Broadcast Continent]]="Digital",Broadcast_BASE[[#This Row],[Programme Type]]="Digital"),"Y","N")</f>
        <v>Y</v>
      </c>
      <c r="M491" s="4" t="str">
        <f>IF(ISNUMBER(SEARCH("Pan ",Broadcast_BASE[[#This Row],[Broadcast Market]]))=TRUE,"Y","N")</f>
        <v>N</v>
      </c>
      <c r="N491" t="str">
        <f>VLOOKUP(CONCATENATE(Broadcast_BASE[[#This Row],[Broadcast Market]],Broadcast_BASE[[#This Row],[Broadcaster]]),Table1[[CC]:[Pay TV vs. Free-to-Air]],3,FALSE)</f>
        <v>Digital</v>
      </c>
      <c r="O491" s="1" t="str">
        <f>VLOOKUP(CONCATENATE(Broadcast_BASE[[#This Row],[Broadcast Market]],Broadcast_BASE[[#This Row],[Broadcaster]]),Table1[[CC]:[Pay TV vs. Free-to-Air]],2,FALSE)</f>
        <v>-</v>
      </c>
      <c r="P491" s="234">
        <f>Broadcast_BASE[[#This Row],[Rolex EXP]]*86400</f>
        <v>1331.4975500975193</v>
      </c>
      <c r="Q491" s="235" t="str">
        <f>IF(Broadcast_BASE[[#This Row],[Dashboard Rated?]]="No","N","Y")</f>
        <v>Y</v>
      </c>
      <c r="R491" s="236"/>
      <c r="S491" s="236"/>
    </row>
    <row r="492" spans="1:19" x14ac:dyDescent="0.25">
      <c r="A492" s="72" t="e">
        <f>#REF!</f>
        <v>#REF!</v>
      </c>
      <c r="B492" t="s">
        <v>45</v>
      </c>
      <c r="C492" t="s">
        <v>45</v>
      </c>
      <c r="D492" t="s">
        <v>1642</v>
      </c>
      <c r="E492" s="102">
        <v>0.23393518518518519</v>
      </c>
      <c r="F492" s="101">
        <v>20450.466127307925</v>
      </c>
      <c r="G492" s="102">
        <v>1.4329674102023439E-2</v>
      </c>
      <c r="H492" s="101">
        <v>967.79398267706097</v>
      </c>
      <c r="I492" s="101">
        <v>268.69275121090692</v>
      </c>
      <c r="J492" s="101"/>
      <c r="K492" s="233" t="str">
        <f>VLOOKUP(Broadcast_BASE[[#This Row],[Broadcast Market]],Continent_Look_Up[],2,FALSE)</f>
        <v>Digital</v>
      </c>
      <c r="L492" t="str">
        <f>IF(OR(Broadcast_BASE[[#This Row],[Broadcast Continent]]="Digital",Broadcast_BASE[[#This Row],[Programme Type]]="Digital"),"Y","N")</f>
        <v>Y</v>
      </c>
      <c r="M492" s="4" t="str">
        <f>IF(ISNUMBER(SEARCH("Pan ",Broadcast_BASE[[#This Row],[Broadcast Market]]))=TRUE,"Y","N")</f>
        <v>N</v>
      </c>
      <c r="N492" t="str">
        <f>VLOOKUP(CONCATENATE(Broadcast_BASE[[#This Row],[Broadcast Market]],Broadcast_BASE[[#This Row],[Broadcaster]]),Table1[[CC]:[Pay TV vs. Free-to-Air]],3,FALSE)</f>
        <v>Digital</v>
      </c>
      <c r="O492" s="1" t="str">
        <f>VLOOKUP(CONCATENATE(Broadcast_BASE[[#This Row],[Broadcast Market]],Broadcast_BASE[[#This Row],[Broadcaster]]),Table1[[CC]:[Pay TV vs. Free-to-Air]],2,FALSE)</f>
        <v>-</v>
      </c>
      <c r="P492" s="234">
        <f>Broadcast_BASE[[#This Row],[Rolex EXP]]*86400</f>
        <v>1238.0838424148251</v>
      </c>
      <c r="Q492" s="235" t="str">
        <f>IF(Broadcast_BASE[[#This Row],[Dashboard Rated?]]="No","N","Y")</f>
        <v>Y</v>
      </c>
      <c r="R492" s="236"/>
      <c r="S492" s="236"/>
    </row>
    <row r="493" spans="1:19" x14ac:dyDescent="0.25">
      <c r="A493" s="72" t="e">
        <f>#REF!</f>
        <v>#REF!</v>
      </c>
      <c r="B493" t="s">
        <v>45</v>
      </c>
      <c r="C493" t="s">
        <v>45</v>
      </c>
      <c r="D493" t="s">
        <v>1642</v>
      </c>
      <c r="E493" s="102">
        <v>0.14736111111111111</v>
      </c>
      <c r="F493" s="101">
        <v>466.79503448816854</v>
      </c>
      <c r="G493" s="102">
        <v>9.026588693200199E-3</v>
      </c>
      <c r="H493" s="101">
        <v>37.982826356435368</v>
      </c>
      <c r="I493" s="101">
        <v>10.545333299393192</v>
      </c>
      <c r="J493" s="101"/>
      <c r="K493" s="233" t="str">
        <f>VLOOKUP(Broadcast_BASE[[#This Row],[Broadcast Market]],Continent_Look_Up[],2,FALSE)</f>
        <v>Digital</v>
      </c>
      <c r="L493" t="str">
        <f>IF(OR(Broadcast_BASE[[#This Row],[Broadcast Continent]]="Digital",Broadcast_BASE[[#This Row],[Programme Type]]="Digital"),"Y","N")</f>
        <v>Y</v>
      </c>
      <c r="M493" s="4" t="str">
        <f>IF(ISNUMBER(SEARCH("Pan ",Broadcast_BASE[[#This Row],[Broadcast Market]]))=TRUE,"Y","N")</f>
        <v>N</v>
      </c>
      <c r="N493" t="str">
        <f>VLOOKUP(CONCATENATE(Broadcast_BASE[[#This Row],[Broadcast Market]],Broadcast_BASE[[#This Row],[Broadcaster]]),Table1[[CC]:[Pay TV vs. Free-to-Air]],3,FALSE)</f>
        <v>Digital</v>
      </c>
      <c r="O493" s="1" t="str">
        <f>VLOOKUP(CONCATENATE(Broadcast_BASE[[#This Row],[Broadcast Market]],Broadcast_BASE[[#This Row],[Broadcaster]]),Table1[[CC]:[Pay TV vs. Free-to-Air]],2,FALSE)</f>
        <v>-</v>
      </c>
      <c r="P493" s="234">
        <f>Broadcast_BASE[[#This Row],[Rolex EXP]]*86400</f>
        <v>779.89726309249716</v>
      </c>
      <c r="Q493" s="235" t="str">
        <f>IF(Broadcast_BASE[[#This Row],[Dashboard Rated?]]="No","N","Y")</f>
        <v>Y</v>
      </c>
      <c r="R493" s="236"/>
      <c r="S493" s="236"/>
    </row>
    <row r="494" spans="1:19" x14ac:dyDescent="0.25">
      <c r="A494" s="72" t="e">
        <f>#REF!</f>
        <v>#REF!</v>
      </c>
      <c r="B494" t="s">
        <v>45</v>
      </c>
      <c r="C494" t="s">
        <v>45</v>
      </c>
      <c r="D494" t="s">
        <v>1643</v>
      </c>
      <c r="E494" s="102">
        <v>3.7275462962962966</v>
      </c>
      <c r="F494" s="101">
        <v>2580.4395781877815</v>
      </c>
      <c r="G494" s="102">
        <v>0.22833043940716749</v>
      </c>
      <c r="H494" s="101">
        <v>1926.668434382739</v>
      </c>
      <c r="I494" s="101">
        <v>534.90913517929141</v>
      </c>
      <c r="J494" s="101"/>
      <c r="K494" s="233" t="str">
        <f>VLOOKUP(Broadcast_BASE[[#This Row],[Broadcast Market]],Continent_Look_Up[],2,FALSE)</f>
        <v>Digital</v>
      </c>
      <c r="L494" t="str">
        <f>IF(OR(Broadcast_BASE[[#This Row],[Broadcast Continent]]="Digital",Broadcast_BASE[[#This Row],[Programme Type]]="Digital"),"Y","N")</f>
        <v>Y</v>
      </c>
      <c r="M494" s="4" t="str">
        <f>IF(ISNUMBER(SEARCH("Pan ",Broadcast_BASE[[#This Row],[Broadcast Market]]))=TRUE,"Y","N")</f>
        <v>N</v>
      </c>
      <c r="N494" t="str">
        <f>VLOOKUP(CONCATENATE(Broadcast_BASE[[#This Row],[Broadcast Market]],Broadcast_BASE[[#This Row],[Broadcaster]]),Table1[[CC]:[Pay TV vs. Free-to-Air]],3,FALSE)</f>
        <v>Digital</v>
      </c>
      <c r="O494" s="1" t="str">
        <f>VLOOKUP(CONCATENATE(Broadcast_BASE[[#This Row],[Broadcast Market]],Broadcast_BASE[[#This Row],[Broadcaster]]),Table1[[CC]:[Pay TV vs. Free-to-Air]],2,FALSE)</f>
        <v>-</v>
      </c>
      <c r="P494" s="234">
        <f>Broadcast_BASE[[#This Row],[Rolex EXP]]*86400</f>
        <v>19727.749964779272</v>
      </c>
      <c r="Q494" s="235" t="str">
        <f>IF(Broadcast_BASE[[#This Row],[Dashboard Rated?]]="No","N","Y")</f>
        <v>Y</v>
      </c>
      <c r="R494" s="236"/>
      <c r="S494" s="236"/>
    </row>
    <row r="495" spans="1:19" x14ac:dyDescent="0.25">
      <c r="A495" s="72" t="e">
        <f>#REF!</f>
        <v>#REF!</v>
      </c>
      <c r="B495" t="s">
        <v>45</v>
      </c>
      <c r="C495" t="s">
        <v>45</v>
      </c>
      <c r="D495" t="s">
        <v>1642</v>
      </c>
      <c r="E495" s="102">
        <v>0.72892361111111115</v>
      </c>
      <c r="F495" s="101">
        <v>38373.285219570163</v>
      </c>
      <c r="G495" s="102">
        <v>4.3490594414247831E-2</v>
      </c>
      <c r="H495" s="101">
        <v>2953.3592971036201</v>
      </c>
      <c r="I495" s="101">
        <v>840.36923148407595</v>
      </c>
      <c r="J495" s="101"/>
      <c r="K495" s="233" t="str">
        <f>VLOOKUP(Broadcast_BASE[[#This Row],[Broadcast Market]],Continent_Look_Up[],2,FALSE)</f>
        <v>Digital</v>
      </c>
      <c r="L495" t="str">
        <f>IF(OR(Broadcast_BASE[[#This Row],[Broadcast Continent]]="Digital",Broadcast_BASE[[#This Row],[Programme Type]]="Digital"),"Y","N")</f>
        <v>Y</v>
      </c>
      <c r="M495" s="4" t="str">
        <f>IF(ISNUMBER(SEARCH("Pan ",Broadcast_BASE[[#This Row],[Broadcast Market]]))=TRUE,"Y","N")</f>
        <v>N</v>
      </c>
      <c r="N495" t="str">
        <f>VLOOKUP(CONCATENATE(Broadcast_BASE[[#This Row],[Broadcast Market]],Broadcast_BASE[[#This Row],[Broadcaster]]),Table1[[CC]:[Pay TV vs. Free-to-Air]],3,FALSE)</f>
        <v>Digital</v>
      </c>
      <c r="O495" s="1" t="str">
        <f>VLOOKUP(CONCATENATE(Broadcast_BASE[[#This Row],[Broadcast Market]],Broadcast_BASE[[#This Row],[Broadcaster]]),Table1[[CC]:[Pay TV vs. Free-to-Air]],2,FALSE)</f>
        <v>-</v>
      </c>
      <c r="P495" s="234">
        <f>Broadcast_BASE[[#This Row],[Rolex EXP]]*86400</f>
        <v>3757.5873573910126</v>
      </c>
      <c r="Q495" s="235" t="str">
        <f>IF(Broadcast_BASE[[#This Row],[Dashboard Rated?]]="No","N","Y")</f>
        <v>Y</v>
      </c>
      <c r="R495" s="236"/>
      <c r="S495" s="236"/>
    </row>
    <row r="496" spans="1:19" x14ac:dyDescent="0.25">
      <c r="A496" s="72" t="e">
        <f>#REF!</f>
        <v>#REF!</v>
      </c>
      <c r="B496" t="s">
        <v>45</v>
      </c>
      <c r="C496" t="s">
        <v>45</v>
      </c>
      <c r="D496" t="s">
        <v>1643</v>
      </c>
      <c r="E496" s="102">
        <v>3.8540509259259257</v>
      </c>
      <c r="F496" s="101">
        <v>62322.25958840079</v>
      </c>
      <c r="G496" s="102">
        <v>0.23607946661551485</v>
      </c>
      <c r="H496" s="101">
        <v>58561.939231142023</v>
      </c>
      <c r="I496" s="101">
        <v>16258.799754815269</v>
      </c>
      <c r="J496" s="101"/>
      <c r="K496" s="233" t="str">
        <f>VLOOKUP(Broadcast_BASE[[#This Row],[Broadcast Market]],Continent_Look_Up[],2,FALSE)</f>
        <v>Digital</v>
      </c>
      <c r="L496" t="str">
        <f>IF(OR(Broadcast_BASE[[#This Row],[Broadcast Continent]]="Digital",Broadcast_BASE[[#This Row],[Programme Type]]="Digital"),"Y","N")</f>
        <v>Y</v>
      </c>
      <c r="M496" s="4" t="str">
        <f>IF(ISNUMBER(SEARCH("Pan ",Broadcast_BASE[[#This Row],[Broadcast Market]]))=TRUE,"Y","N")</f>
        <v>N</v>
      </c>
      <c r="N496" t="str">
        <f>VLOOKUP(CONCATENATE(Broadcast_BASE[[#This Row],[Broadcast Market]],Broadcast_BASE[[#This Row],[Broadcaster]]),Table1[[CC]:[Pay TV vs. Free-to-Air]],3,FALSE)</f>
        <v>Digital</v>
      </c>
      <c r="O496" s="1" t="str">
        <f>VLOOKUP(CONCATENATE(Broadcast_BASE[[#This Row],[Broadcast Market]],Broadcast_BASE[[#This Row],[Broadcaster]]),Table1[[CC]:[Pay TV vs. Free-to-Air]],2,FALSE)</f>
        <v>-</v>
      </c>
      <c r="P496" s="234">
        <f>Broadcast_BASE[[#This Row],[Rolex EXP]]*86400</f>
        <v>20397.265915580483</v>
      </c>
      <c r="Q496" s="235" t="str">
        <f>IF(Broadcast_BASE[[#This Row],[Dashboard Rated?]]="No","N","Y")</f>
        <v>Y</v>
      </c>
      <c r="R496" s="236"/>
      <c r="S496" s="236"/>
    </row>
    <row r="497" spans="1:19" x14ac:dyDescent="0.25">
      <c r="A497" s="72" t="e">
        <f>#REF!</f>
        <v>#REF!</v>
      </c>
      <c r="B497" t="s">
        <v>45</v>
      </c>
      <c r="C497" t="s">
        <v>45</v>
      </c>
      <c r="D497" t="s">
        <v>1643</v>
      </c>
      <c r="E497" s="102">
        <v>4.206828703703704</v>
      </c>
      <c r="F497" s="101">
        <v>62322.25958840079</v>
      </c>
      <c r="G497" s="102">
        <v>0.25768883068783199</v>
      </c>
      <c r="H497" s="101">
        <v>63922.36419214747</v>
      </c>
      <c r="I497" s="101">
        <v>17747.037289055843</v>
      </c>
      <c r="J497" s="101"/>
      <c r="K497" s="233" t="str">
        <f>VLOOKUP(Broadcast_BASE[[#This Row],[Broadcast Market]],Continent_Look_Up[],2,FALSE)</f>
        <v>Digital</v>
      </c>
      <c r="L497" t="str">
        <f>IF(OR(Broadcast_BASE[[#This Row],[Broadcast Continent]]="Digital",Broadcast_BASE[[#This Row],[Programme Type]]="Digital"),"Y","N")</f>
        <v>Y</v>
      </c>
      <c r="M497" s="4" t="str">
        <f>IF(ISNUMBER(SEARCH("Pan ",Broadcast_BASE[[#This Row],[Broadcast Market]]))=TRUE,"Y","N")</f>
        <v>N</v>
      </c>
      <c r="N497" t="str">
        <f>VLOOKUP(CONCATENATE(Broadcast_BASE[[#This Row],[Broadcast Market]],Broadcast_BASE[[#This Row],[Broadcaster]]),Table1[[CC]:[Pay TV vs. Free-to-Air]],3,FALSE)</f>
        <v>Digital</v>
      </c>
      <c r="O497" s="1" t="str">
        <f>VLOOKUP(CONCATENATE(Broadcast_BASE[[#This Row],[Broadcast Market]],Broadcast_BASE[[#This Row],[Broadcaster]]),Table1[[CC]:[Pay TV vs. Free-to-Air]],2,FALSE)</f>
        <v>-</v>
      </c>
      <c r="P497" s="234">
        <f>Broadcast_BASE[[#This Row],[Rolex EXP]]*86400</f>
        <v>22264.314971428685</v>
      </c>
      <c r="Q497" s="235" t="str">
        <f>IF(Broadcast_BASE[[#This Row],[Dashboard Rated?]]="No","N","Y")</f>
        <v>Y</v>
      </c>
      <c r="R497" s="236"/>
      <c r="S497" s="236"/>
    </row>
    <row r="498" spans="1:19" x14ac:dyDescent="0.25">
      <c r="A498" s="72" t="e">
        <f>#REF!</f>
        <v>#REF!</v>
      </c>
      <c r="B498" t="s">
        <v>45</v>
      </c>
      <c r="C498" t="s">
        <v>45</v>
      </c>
      <c r="D498" t="s">
        <v>1642</v>
      </c>
      <c r="E498" s="102">
        <v>2.9435879629629631</v>
      </c>
      <c r="F498" s="101">
        <v>274885.94150899496</v>
      </c>
      <c r="G498" s="102">
        <v>0.18749908594719014</v>
      </c>
      <c r="H498" s="101">
        <v>25294.796659581181</v>
      </c>
      <c r="I498" s="101">
        <v>7154.8565896126411</v>
      </c>
      <c r="J498" s="101"/>
      <c r="K498" s="233" t="str">
        <f>VLOOKUP(Broadcast_BASE[[#This Row],[Broadcast Market]],Continent_Look_Up[],2,FALSE)</f>
        <v>Digital</v>
      </c>
      <c r="L498" t="str">
        <f>IF(OR(Broadcast_BASE[[#This Row],[Broadcast Continent]]="Digital",Broadcast_BASE[[#This Row],[Programme Type]]="Digital"),"Y","N")</f>
        <v>Y</v>
      </c>
      <c r="M498" s="4" t="str">
        <f>IF(ISNUMBER(SEARCH("Pan ",Broadcast_BASE[[#This Row],[Broadcast Market]]))=TRUE,"Y","N")</f>
        <v>N</v>
      </c>
      <c r="N498" t="str">
        <f>VLOOKUP(CONCATENATE(Broadcast_BASE[[#This Row],[Broadcast Market]],Broadcast_BASE[[#This Row],[Broadcaster]]),Table1[[CC]:[Pay TV vs. Free-to-Air]],3,FALSE)</f>
        <v>Digital</v>
      </c>
      <c r="O498" s="1" t="str">
        <f>VLOOKUP(CONCATENATE(Broadcast_BASE[[#This Row],[Broadcast Market]],Broadcast_BASE[[#This Row],[Broadcaster]]),Table1[[CC]:[Pay TV vs. Free-to-Air]],2,FALSE)</f>
        <v>-</v>
      </c>
      <c r="P498" s="234">
        <f>Broadcast_BASE[[#This Row],[Rolex EXP]]*86400</f>
        <v>16199.921025837228</v>
      </c>
      <c r="Q498" s="235" t="str">
        <f>IF(Broadcast_BASE[[#This Row],[Dashboard Rated?]]="No","N","Y")</f>
        <v>Y</v>
      </c>
      <c r="R498" s="236"/>
      <c r="S498" s="236"/>
    </row>
    <row r="499" spans="1:19" x14ac:dyDescent="0.25">
      <c r="A499" s="72" t="e">
        <f>#REF!</f>
        <v>#REF!</v>
      </c>
      <c r="B499" t="s">
        <v>45</v>
      </c>
      <c r="C499" t="s">
        <v>45</v>
      </c>
      <c r="D499" t="s">
        <v>1643</v>
      </c>
      <c r="E499" s="102">
        <v>3.7707291666666669</v>
      </c>
      <c r="F499" s="101">
        <v>125310.26833462081</v>
      </c>
      <c r="G499" s="102">
        <v>0.23097560139384121</v>
      </c>
      <c r="H499" s="101">
        <v>128004.22380158545</v>
      </c>
      <c r="I499" s="101">
        <v>35538.355967792144</v>
      </c>
      <c r="J499" s="101"/>
      <c r="K499" s="233" t="str">
        <f>VLOOKUP(Broadcast_BASE[[#This Row],[Broadcast Market]],Continent_Look_Up[],2,FALSE)</f>
        <v>Digital</v>
      </c>
      <c r="L499" t="str">
        <f>IF(OR(Broadcast_BASE[[#This Row],[Broadcast Continent]]="Digital",Broadcast_BASE[[#This Row],[Programme Type]]="Digital"),"Y","N")</f>
        <v>Y</v>
      </c>
      <c r="M499" s="4" t="str">
        <f>IF(ISNUMBER(SEARCH("Pan ",Broadcast_BASE[[#This Row],[Broadcast Market]]))=TRUE,"Y","N")</f>
        <v>N</v>
      </c>
      <c r="N499" t="str">
        <f>VLOOKUP(CONCATENATE(Broadcast_BASE[[#This Row],[Broadcast Market]],Broadcast_BASE[[#This Row],[Broadcaster]]),Table1[[CC]:[Pay TV vs. Free-to-Air]],3,FALSE)</f>
        <v>Digital</v>
      </c>
      <c r="O499" s="1" t="str">
        <f>VLOOKUP(CONCATENATE(Broadcast_BASE[[#This Row],[Broadcast Market]],Broadcast_BASE[[#This Row],[Broadcaster]]),Table1[[CC]:[Pay TV vs. Free-to-Air]],2,FALSE)</f>
        <v>-</v>
      </c>
      <c r="P499" s="234">
        <f>Broadcast_BASE[[#This Row],[Rolex EXP]]*86400</f>
        <v>19956.29196042788</v>
      </c>
      <c r="Q499" s="235" t="str">
        <f>IF(Broadcast_BASE[[#This Row],[Dashboard Rated?]]="No","N","Y")</f>
        <v>Y</v>
      </c>
      <c r="R499" s="236"/>
      <c r="S499" s="236"/>
    </row>
    <row r="500" spans="1:19" x14ac:dyDescent="0.25">
      <c r="A500" s="72" t="e">
        <f>#REF!</f>
        <v>#REF!</v>
      </c>
      <c r="B500" t="s">
        <v>45</v>
      </c>
      <c r="C500" t="s">
        <v>45</v>
      </c>
      <c r="D500" t="s">
        <v>1643</v>
      </c>
      <c r="E500" s="102">
        <v>0.23629629629629631</v>
      </c>
      <c r="F500" s="101">
        <v>28.930156153983297</v>
      </c>
      <c r="G500" s="102">
        <v>1.3631034046251241E-2</v>
      </c>
      <c r="H500" s="101">
        <v>7.8808575487394164</v>
      </c>
      <c r="I500" s="101">
        <v>2.3220514401921823</v>
      </c>
      <c r="J500" s="101"/>
      <c r="K500" s="233" t="str">
        <f>VLOOKUP(Broadcast_BASE[[#This Row],[Broadcast Market]],Continent_Look_Up[],2,FALSE)</f>
        <v>Digital</v>
      </c>
      <c r="L500" t="str">
        <f>IF(OR(Broadcast_BASE[[#This Row],[Broadcast Continent]]="Digital",Broadcast_BASE[[#This Row],[Programme Type]]="Digital"),"Y","N")</f>
        <v>Y</v>
      </c>
      <c r="M500" s="4" t="str">
        <f>IF(ISNUMBER(SEARCH("Pan ",Broadcast_BASE[[#This Row],[Broadcast Market]]))=TRUE,"Y","N")</f>
        <v>N</v>
      </c>
      <c r="N500" t="str">
        <f>VLOOKUP(CONCATENATE(Broadcast_BASE[[#This Row],[Broadcast Market]],Broadcast_BASE[[#This Row],[Broadcaster]]),Table1[[CC]:[Pay TV vs. Free-to-Air]],3,FALSE)</f>
        <v>Digital</v>
      </c>
      <c r="O500" s="1" t="str">
        <f>VLOOKUP(CONCATENATE(Broadcast_BASE[[#This Row],[Broadcast Market]],Broadcast_BASE[[#This Row],[Broadcaster]]),Table1[[CC]:[Pay TV vs. Free-to-Air]],2,FALSE)</f>
        <v>-</v>
      </c>
      <c r="P500" s="234">
        <f>Broadcast_BASE[[#This Row],[Rolex EXP]]*86400</f>
        <v>1177.7213415961073</v>
      </c>
      <c r="Q500" s="235" t="str">
        <f>IF(Broadcast_BASE[[#This Row],[Dashboard Rated?]]="No","N","Y")</f>
        <v>Y</v>
      </c>
      <c r="R500" s="236"/>
      <c r="S500" s="236"/>
    </row>
    <row r="501" spans="1:19" x14ac:dyDescent="0.25">
      <c r="A501" s="72" t="e">
        <f>#REF!</f>
        <v>#REF!</v>
      </c>
      <c r="B501" t="s">
        <v>45</v>
      </c>
      <c r="C501" t="s">
        <v>45</v>
      </c>
      <c r="D501" t="s">
        <v>1642</v>
      </c>
      <c r="E501" s="102">
        <v>2.4898958333333332</v>
      </c>
      <c r="F501" s="101">
        <v>4066.0125838323188</v>
      </c>
      <c r="G501" s="102">
        <v>0.15251829608875897</v>
      </c>
      <c r="H501" s="101">
        <v>189.85705723201912</v>
      </c>
      <c r="I501" s="101">
        <v>52.71082064735284</v>
      </c>
      <c r="J501" s="101"/>
      <c r="K501" s="233" t="str">
        <f>VLOOKUP(Broadcast_BASE[[#This Row],[Broadcast Market]],Continent_Look_Up[],2,FALSE)</f>
        <v>Digital</v>
      </c>
      <c r="L501" t="str">
        <f>IF(OR(Broadcast_BASE[[#This Row],[Broadcast Continent]]="Digital",Broadcast_BASE[[#This Row],[Programme Type]]="Digital"),"Y","N")</f>
        <v>Y</v>
      </c>
      <c r="M501" s="4" t="str">
        <f>IF(ISNUMBER(SEARCH("Pan ",Broadcast_BASE[[#This Row],[Broadcast Market]]))=TRUE,"Y","N")</f>
        <v>N</v>
      </c>
      <c r="N501" t="str">
        <f>VLOOKUP(CONCATENATE(Broadcast_BASE[[#This Row],[Broadcast Market]],Broadcast_BASE[[#This Row],[Broadcaster]]),Table1[[CC]:[Pay TV vs. Free-to-Air]],3,FALSE)</f>
        <v>Digital</v>
      </c>
      <c r="O501" s="1" t="str">
        <f>VLOOKUP(CONCATENATE(Broadcast_BASE[[#This Row],[Broadcast Market]],Broadcast_BASE[[#This Row],[Broadcaster]]),Table1[[CC]:[Pay TV vs. Free-to-Air]],2,FALSE)</f>
        <v>-</v>
      </c>
      <c r="P501" s="234">
        <f>Broadcast_BASE[[#This Row],[Rolex EXP]]*86400</f>
        <v>13177.580782068775</v>
      </c>
      <c r="Q501" s="235" t="str">
        <f>IF(Broadcast_BASE[[#This Row],[Dashboard Rated?]]="No","N","Y")</f>
        <v>Y</v>
      </c>
      <c r="R501" s="236"/>
      <c r="S501" s="236"/>
    </row>
    <row r="502" spans="1:19" x14ac:dyDescent="0.25">
      <c r="A502" s="72" t="e">
        <f>#REF!</f>
        <v>#REF!</v>
      </c>
      <c r="B502" t="s">
        <v>45</v>
      </c>
      <c r="C502" t="s">
        <v>45</v>
      </c>
      <c r="D502" t="s">
        <v>1643</v>
      </c>
      <c r="E502" s="102">
        <v>6.4253240740740738</v>
      </c>
      <c r="F502" s="101">
        <v>6308.8404812936487</v>
      </c>
      <c r="G502" s="102">
        <v>0.40501877430794919</v>
      </c>
      <c r="H502" s="101">
        <v>2733.9507703907502</v>
      </c>
      <c r="I502" s="101">
        <v>778.2460763814787</v>
      </c>
      <c r="J502" s="101"/>
      <c r="K502" s="233" t="str">
        <f>VLOOKUP(Broadcast_BASE[[#This Row],[Broadcast Market]],Continent_Look_Up[],2,FALSE)</f>
        <v>Digital</v>
      </c>
      <c r="L502" t="str">
        <f>IF(OR(Broadcast_BASE[[#This Row],[Broadcast Continent]]="Digital",Broadcast_BASE[[#This Row],[Programme Type]]="Digital"),"Y","N")</f>
        <v>Y</v>
      </c>
      <c r="M502" s="4" t="str">
        <f>IF(ISNUMBER(SEARCH("Pan ",Broadcast_BASE[[#This Row],[Broadcast Market]]))=TRUE,"Y","N")</f>
        <v>N</v>
      </c>
      <c r="N502" t="str">
        <f>VLOOKUP(CONCATENATE(Broadcast_BASE[[#This Row],[Broadcast Market]],Broadcast_BASE[[#This Row],[Broadcaster]]),Table1[[CC]:[Pay TV vs. Free-to-Air]],3,FALSE)</f>
        <v>Digital</v>
      </c>
      <c r="O502" s="1" t="str">
        <f>VLOOKUP(CONCATENATE(Broadcast_BASE[[#This Row],[Broadcast Market]],Broadcast_BASE[[#This Row],[Broadcaster]]),Table1[[CC]:[Pay TV vs. Free-to-Air]],2,FALSE)</f>
        <v>-</v>
      </c>
      <c r="P502" s="234">
        <f>Broadcast_BASE[[#This Row],[Rolex EXP]]*86400</f>
        <v>34993.622100206812</v>
      </c>
      <c r="Q502" s="235" t="str">
        <f>IF(Broadcast_BASE[[#This Row],[Dashboard Rated?]]="No","N","Y")</f>
        <v>Y</v>
      </c>
      <c r="R502" s="236"/>
      <c r="S502" s="236"/>
    </row>
    <row r="503" spans="1:19" x14ac:dyDescent="0.25">
      <c r="A503" s="72" t="e">
        <f>#REF!</f>
        <v>#REF!</v>
      </c>
      <c r="B503" t="s">
        <v>45</v>
      </c>
      <c r="C503" t="s">
        <v>45</v>
      </c>
      <c r="D503" t="s">
        <v>1642</v>
      </c>
      <c r="E503" s="102">
        <v>2.4945601851851849</v>
      </c>
      <c r="F503" s="101">
        <v>38334.876094394203</v>
      </c>
      <c r="G503" s="102">
        <v>0.15280401044968889</v>
      </c>
      <c r="H503" s="101">
        <v>1777.2228231589161</v>
      </c>
      <c r="I503" s="101">
        <v>493.41791581352334</v>
      </c>
      <c r="J503" s="101"/>
      <c r="K503" s="233" t="str">
        <f>VLOOKUP(Broadcast_BASE[[#This Row],[Broadcast Market]],Continent_Look_Up[],2,FALSE)</f>
        <v>Digital</v>
      </c>
      <c r="L503" t="str">
        <f>IF(OR(Broadcast_BASE[[#This Row],[Broadcast Continent]]="Digital",Broadcast_BASE[[#This Row],[Programme Type]]="Digital"),"Y","N")</f>
        <v>Y</v>
      </c>
      <c r="M503" s="4" t="str">
        <f>IF(ISNUMBER(SEARCH("Pan ",Broadcast_BASE[[#This Row],[Broadcast Market]]))=TRUE,"Y","N")</f>
        <v>N</v>
      </c>
      <c r="N503" t="str">
        <f>VLOOKUP(CONCATENATE(Broadcast_BASE[[#This Row],[Broadcast Market]],Broadcast_BASE[[#This Row],[Broadcaster]]),Table1[[CC]:[Pay TV vs. Free-to-Air]],3,FALSE)</f>
        <v>Digital</v>
      </c>
      <c r="O503" s="1" t="str">
        <f>VLOOKUP(CONCATENATE(Broadcast_BASE[[#This Row],[Broadcast Market]],Broadcast_BASE[[#This Row],[Broadcaster]]),Table1[[CC]:[Pay TV vs. Free-to-Air]],2,FALSE)</f>
        <v>-</v>
      </c>
      <c r="P503" s="234">
        <f>Broadcast_BASE[[#This Row],[Rolex EXP]]*86400</f>
        <v>13202.266502853119</v>
      </c>
      <c r="Q503" s="235" t="str">
        <f>IF(Broadcast_BASE[[#This Row],[Dashboard Rated?]]="No","N","Y")</f>
        <v>Y</v>
      </c>
      <c r="R503" s="236"/>
      <c r="S503" s="236"/>
    </row>
    <row r="504" spans="1:19" x14ac:dyDescent="0.25">
      <c r="A504" s="72" t="e">
        <f>#REF!</f>
        <v>#REF!</v>
      </c>
      <c r="B504" t="s">
        <v>45</v>
      </c>
      <c r="C504" t="s">
        <v>45</v>
      </c>
      <c r="D504" t="s">
        <v>1643</v>
      </c>
      <c r="E504" s="102">
        <v>6.4204629629629641</v>
      </c>
      <c r="F504" s="101">
        <v>26695.990404329867</v>
      </c>
      <c r="G504" s="102">
        <v>0.40484266118142598</v>
      </c>
      <c r="H504" s="101">
        <v>15266.229567601717</v>
      </c>
      <c r="I504" s="101">
        <v>4305.5701766196171</v>
      </c>
      <c r="J504" s="101"/>
      <c r="K504" s="233" t="str">
        <f>VLOOKUP(Broadcast_BASE[[#This Row],[Broadcast Market]],Continent_Look_Up[],2,FALSE)</f>
        <v>Digital</v>
      </c>
      <c r="L504" t="str">
        <f>IF(OR(Broadcast_BASE[[#This Row],[Broadcast Continent]]="Digital",Broadcast_BASE[[#This Row],[Programme Type]]="Digital"),"Y","N")</f>
        <v>Y</v>
      </c>
      <c r="M504" s="4" t="str">
        <f>IF(ISNUMBER(SEARCH("Pan ",Broadcast_BASE[[#This Row],[Broadcast Market]]))=TRUE,"Y","N")</f>
        <v>N</v>
      </c>
      <c r="N504" t="str">
        <f>VLOOKUP(CONCATENATE(Broadcast_BASE[[#This Row],[Broadcast Market]],Broadcast_BASE[[#This Row],[Broadcaster]]),Table1[[CC]:[Pay TV vs. Free-to-Air]],3,FALSE)</f>
        <v>Digital</v>
      </c>
      <c r="O504" s="1" t="str">
        <f>VLOOKUP(CONCATENATE(Broadcast_BASE[[#This Row],[Broadcast Market]],Broadcast_BASE[[#This Row],[Broadcaster]]),Table1[[CC]:[Pay TV vs. Free-to-Air]],2,FALSE)</f>
        <v>-</v>
      </c>
      <c r="P504" s="234">
        <f>Broadcast_BASE[[#This Row],[Rolex EXP]]*86400</f>
        <v>34978.405926075204</v>
      </c>
      <c r="Q504" s="235" t="str">
        <f>IF(Broadcast_BASE[[#This Row],[Dashboard Rated?]]="No","N","Y")</f>
        <v>Y</v>
      </c>
      <c r="R504" s="236"/>
      <c r="S504" s="236"/>
    </row>
    <row r="505" spans="1:19" x14ac:dyDescent="0.25">
      <c r="A505" s="72" t="e">
        <f>#REF!</f>
        <v>#REF!</v>
      </c>
      <c r="B505" t="s">
        <v>45</v>
      </c>
      <c r="C505" t="s">
        <v>45</v>
      </c>
      <c r="D505" t="s">
        <v>1642</v>
      </c>
      <c r="E505" s="102">
        <v>3.2355555555555555</v>
      </c>
      <c r="F505" s="101">
        <v>7317.0526444738744</v>
      </c>
      <c r="G505" s="102">
        <v>0.19819360056248059</v>
      </c>
      <c r="H505" s="101">
        <v>341.94767228714647</v>
      </c>
      <c r="I505" s="101">
        <v>94.936383653521503</v>
      </c>
      <c r="J505" s="101"/>
      <c r="K505" s="233" t="str">
        <f>VLOOKUP(Broadcast_BASE[[#This Row],[Broadcast Market]],Continent_Look_Up[],2,FALSE)</f>
        <v>Digital</v>
      </c>
      <c r="L505" t="str">
        <f>IF(OR(Broadcast_BASE[[#This Row],[Broadcast Continent]]="Digital",Broadcast_BASE[[#This Row],[Programme Type]]="Digital"),"Y","N")</f>
        <v>Y</v>
      </c>
      <c r="M505" s="4" t="str">
        <f>IF(ISNUMBER(SEARCH("Pan ",Broadcast_BASE[[#This Row],[Broadcast Market]]))=TRUE,"Y","N")</f>
        <v>N</v>
      </c>
      <c r="N505" t="str">
        <f>VLOOKUP(CONCATENATE(Broadcast_BASE[[#This Row],[Broadcast Market]],Broadcast_BASE[[#This Row],[Broadcaster]]),Table1[[CC]:[Pay TV vs. Free-to-Air]],3,FALSE)</f>
        <v>Digital</v>
      </c>
      <c r="O505" s="1" t="str">
        <f>VLOOKUP(CONCATENATE(Broadcast_BASE[[#This Row],[Broadcast Market]],Broadcast_BASE[[#This Row],[Broadcaster]]),Table1[[CC]:[Pay TV vs. Free-to-Air]],2,FALSE)</f>
        <v>-</v>
      </c>
      <c r="P505" s="234">
        <f>Broadcast_BASE[[#This Row],[Rolex EXP]]*86400</f>
        <v>17123.927088598324</v>
      </c>
      <c r="Q505" s="235" t="str">
        <f>IF(Broadcast_BASE[[#This Row],[Dashboard Rated?]]="No","N","Y")</f>
        <v>Y</v>
      </c>
      <c r="R505" s="236"/>
      <c r="S505" s="236"/>
    </row>
    <row r="506" spans="1:19" x14ac:dyDescent="0.25">
      <c r="A506" s="72" t="e">
        <f>#REF!</f>
        <v>#REF!</v>
      </c>
      <c r="B506" t="s">
        <v>45</v>
      </c>
      <c r="C506" t="s">
        <v>45</v>
      </c>
      <c r="D506" t="s">
        <v>1643</v>
      </c>
      <c r="E506" s="102">
        <v>5.2676273148148143</v>
      </c>
      <c r="F506" s="101">
        <v>2526.5669707812112</v>
      </c>
      <c r="G506" s="102">
        <v>0.29084470662006007</v>
      </c>
      <c r="H506" s="101">
        <v>1766.3655794179042</v>
      </c>
      <c r="I506" s="101">
        <v>493.41008879197682</v>
      </c>
      <c r="J506" s="101"/>
      <c r="K506" s="233" t="str">
        <f>VLOOKUP(Broadcast_BASE[[#This Row],[Broadcast Market]],Continent_Look_Up[],2,FALSE)</f>
        <v>Digital</v>
      </c>
      <c r="L506" t="str">
        <f>IF(OR(Broadcast_BASE[[#This Row],[Broadcast Continent]]="Digital",Broadcast_BASE[[#This Row],[Programme Type]]="Digital"),"Y","N")</f>
        <v>Y</v>
      </c>
      <c r="M506" s="4" t="str">
        <f>IF(ISNUMBER(SEARCH("Pan ",Broadcast_BASE[[#This Row],[Broadcast Market]]))=TRUE,"Y","N")</f>
        <v>N</v>
      </c>
      <c r="N506" t="str">
        <f>VLOOKUP(CONCATENATE(Broadcast_BASE[[#This Row],[Broadcast Market]],Broadcast_BASE[[#This Row],[Broadcaster]]),Table1[[CC]:[Pay TV vs. Free-to-Air]],3,FALSE)</f>
        <v>Digital</v>
      </c>
      <c r="O506" s="1" t="str">
        <f>VLOOKUP(CONCATENATE(Broadcast_BASE[[#This Row],[Broadcast Market]],Broadcast_BASE[[#This Row],[Broadcaster]]),Table1[[CC]:[Pay TV vs. Free-to-Air]],2,FALSE)</f>
        <v>-</v>
      </c>
      <c r="P506" s="234">
        <f>Broadcast_BASE[[#This Row],[Rolex EXP]]*86400</f>
        <v>25128.982651973191</v>
      </c>
      <c r="Q506" s="235" t="str">
        <f>IF(Broadcast_BASE[[#This Row],[Dashboard Rated?]]="No","N","Y")</f>
        <v>Y</v>
      </c>
      <c r="R506" s="236"/>
      <c r="S506" s="236"/>
    </row>
    <row r="507" spans="1:19" x14ac:dyDescent="0.25">
      <c r="A507" s="72" t="e">
        <f>#REF!</f>
        <v>#REF!</v>
      </c>
      <c r="B507" t="s">
        <v>45</v>
      </c>
      <c r="C507" t="s">
        <v>45</v>
      </c>
      <c r="D507" t="s">
        <v>1642</v>
      </c>
      <c r="E507" s="102">
        <v>3.2478703703703702</v>
      </c>
      <c r="F507" s="101">
        <v>76904.085648005974</v>
      </c>
      <c r="G507" s="102">
        <v>0.1989479431928266</v>
      </c>
      <c r="H507" s="101">
        <v>3586.3400683945765</v>
      </c>
      <c r="I507" s="101">
        <v>995.69081540404488</v>
      </c>
      <c r="J507" s="101"/>
      <c r="K507" s="233" t="str">
        <f>VLOOKUP(Broadcast_BASE[[#This Row],[Broadcast Market]],Continent_Look_Up[],2,FALSE)</f>
        <v>Digital</v>
      </c>
      <c r="L507" t="str">
        <f>IF(OR(Broadcast_BASE[[#This Row],[Broadcast Continent]]="Digital",Broadcast_BASE[[#This Row],[Programme Type]]="Digital"),"Y","N")</f>
        <v>Y</v>
      </c>
      <c r="M507" s="4" t="str">
        <f>IF(ISNUMBER(SEARCH("Pan ",Broadcast_BASE[[#This Row],[Broadcast Market]]))=TRUE,"Y","N")</f>
        <v>N</v>
      </c>
      <c r="N507" t="str">
        <f>VLOOKUP(CONCATENATE(Broadcast_BASE[[#This Row],[Broadcast Market]],Broadcast_BASE[[#This Row],[Broadcaster]]),Table1[[CC]:[Pay TV vs. Free-to-Air]],3,FALSE)</f>
        <v>Digital</v>
      </c>
      <c r="O507" s="1" t="str">
        <f>VLOOKUP(CONCATENATE(Broadcast_BASE[[#This Row],[Broadcast Market]],Broadcast_BASE[[#This Row],[Broadcaster]]),Table1[[CC]:[Pay TV vs. Free-to-Air]],2,FALSE)</f>
        <v>-</v>
      </c>
      <c r="P507" s="234">
        <f>Broadcast_BASE[[#This Row],[Rolex EXP]]*86400</f>
        <v>17189.102291860218</v>
      </c>
      <c r="Q507" s="235" t="str">
        <f>IF(Broadcast_BASE[[#This Row],[Dashboard Rated?]]="No","N","Y")</f>
        <v>Y</v>
      </c>
      <c r="R507" s="236"/>
      <c r="S507" s="236"/>
    </row>
    <row r="508" spans="1:19" x14ac:dyDescent="0.25">
      <c r="A508" s="72" t="e">
        <f>#REF!</f>
        <v>#REF!</v>
      </c>
      <c r="B508" t="s">
        <v>45</v>
      </c>
      <c r="C508" t="s">
        <v>45</v>
      </c>
      <c r="D508" t="s">
        <v>1643</v>
      </c>
      <c r="E508" s="102">
        <v>5.2676967592592598</v>
      </c>
      <c r="F508" s="101">
        <v>6547.8586761848956</v>
      </c>
      <c r="G508" s="102">
        <v>0.290837371310737</v>
      </c>
      <c r="H508" s="101">
        <v>3339.71759958652</v>
      </c>
      <c r="I508" s="101">
        <v>938.13613087385761</v>
      </c>
      <c r="J508" s="101"/>
      <c r="K508" s="233" t="str">
        <f>VLOOKUP(Broadcast_BASE[[#This Row],[Broadcast Market]],Continent_Look_Up[],2,FALSE)</f>
        <v>Digital</v>
      </c>
      <c r="L508" t="str">
        <f>IF(OR(Broadcast_BASE[[#This Row],[Broadcast Continent]]="Digital",Broadcast_BASE[[#This Row],[Programme Type]]="Digital"),"Y","N")</f>
        <v>Y</v>
      </c>
      <c r="M508" s="4" t="str">
        <f>IF(ISNUMBER(SEARCH("Pan ",Broadcast_BASE[[#This Row],[Broadcast Market]]))=TRUE,"Y","N")</f>
        <v>N</v>
      </c>
      <c r="N508" t="str">
        <f>VLOOKUP(CONCATENATE(Broadcast_BASE[[#This Row],[Broadcast Market]],Broadcast_BASE[[#This Row],[Broadcaster]]),Table1[[CC]:[Pay TV vs. Free-to-Air]],3,FALSE)</f>
        <v>Digital</v>
      </c>
      <c r="O508" s="1" t="str">
        <f>VLOOKUP(CONCATENATE(Broadcast_BASE[[#This Row],[Broadcast Market]],Broadcast_BASE[[#This Row],[Broadcaster]]),Table1[[CC]:[Pay TV vs. Free-to-Air]],2,FALSE)</f>
        <v>-</v>
      </c>
      <c r="P508" s="234">
        <f>Broadcast_BASE[[#This Row],[Rolex EXP]]*86400</f>
        <v>25128.348881247675</v>
      </c>
      <c r="Q508" s="235" t="str">
        <f>IF(Broadcast_BASE[[#This Row],[Dashboard Rated?]]="No","N","Y")</f>
        <v>Y</v>
      </c>
      <c r="R508" s="236"/>
      <c r="S508" s="236"/>
    </row>
    <row r="509" spans="1:19" x14ac:dyDescent="0.25">
      <c r="A509" s="72" t="e">
        <f>#REF!</f>
        <v>#REF!</v>
      </c>
      <c r="B509" t="s">
        <v>45</v>
      </c>
      <c r="C509" t="s">
        <v>45</v>
      </c>
      <c r="D509" t="s">
        <v>1644</v>
      </c>
      <c r="E509" s="102">
        <v>0.16666666666666666</v>
      </c>
      <c r="F509" s="101">
        <v>277.84902580743795</v>
      </c>
      <c r="G509" s="102">
        <v>9.664094506645059E-3</v>
      </c>
      <c r="H509" s="101">
        <v>53.438479733247576</v>
      </c>
      <c r="I509" s="101">
        <v>15.770867981085008</v>
      </c>
      <c r="J509" s="101"/>
      <c r="K509" s="233" t="str">
        <f>VLOOKUP(Broadcast_BASE[[#This Row],[Broadcast Market]],Continent_Look_Up[],2,FALSE)</f>
        <v>Digital</v>
      </c>
      <c r="L509" t="str">
        <f>IF(OR(Broadcast_BASE[[#This Row],[Broadcast Continent]]="Digital",Broadcast_BASE[[#This Row],[Programme Type]]="Digital"),"Y","N")</f>
        <v>Y</v>
      </c>
      <c r="M509" s="4" t="str">
        <f>IF(ISNUMBER(SEARCH("Pan ",Broadcast_BASE[[#This Row],[Broadcast Market]]))=TRUE,"Y","N")</f>
        <v>N</v>
      </c>
      <c r="N509" t="str">
        <f>VLOOKUP(CONCATENATE(Broadcast_BASE[[#This Row],[Broadcast Market]],Broadcast_BASE[[#This Row],[Broadcaster]]),Table1[[CC]:[Pay TV vs. Free-to-Air]],3,FALSE)</f>
        <v>Digital</v>
      </c>
      <c r="O509" s="1" t="str">
        <f>VLOOKUP(CONCATENATE(Broadcast_BASE[[#This Row],[Broadcast Market]],Broadcast_BASE[[#This Row],[Broadcaster]]),Table1[[CC]:[Pay TV vs. Free-to-Air]],2,FALSE)</f>
        <v>-</v>
      </c>
      <c r="P509" s="234">
        <f>Broadcast_BASE[[#This Row],[Rolex EXP]]*86400</f>
        <v>834.97776537413313</v>
      </c>
      <c r="Q509" s="235" t="str">
        <f>IF(Broadcast_BASE[[#This Row],[Dashboard Rated?]]="No","N","Y")</f>
        <v>Y</v>
      </c>
      <c r="R509" s="236"/>
      <c r="S509" s="236"/>
    </row>
    <row r="510" spans="1:19" x14ac:dyDescent="0.25">
      <c r="A510" s="72" t="e">
        <f>#REF!</f>
        <v>#REF!</v>
      </c>
      <c r="B510" t="s">
        <v>45</v>
      </c>
      <c r="C510" t="s">
        <v>45</v>
      </c>
      <c r="D510" t="s">
        <v>1643</v>
      </c>
      <c r="E510" s="102">
        <v>5.25</v>
      </c>
      <c r="F510" s="101">
        <v>51675.71937528401</v>
      </c>
      <c r="G510" s="102">
        <v>0.34008304542546636</v>
      </c>
      <c r="H510" s="101">
        <v>21840.159037947837</v>
      </c>
      <c r="I510" s="101">
        <v>6143.0020414568298</v>
      </c>
      <c r="J510" s="101"/>
      <c r="K510" s="233" t="str">
        <f>VLOOKUP(Broadcast_BASE[[#This Row],[Broadcast Market]],Continent_Look_Up[],2,FALSE)</f>
        <v>Digital</v>
      </c>
      <c r="L510" t="str">
        <f>IF(OR(Broadcast_BASE[[#This Row],[Broadcast Continent]]="Digital",Broadcast_BASE[[#This Row],[Programme Type]]="Digital"),"Y","N")</f>
        <v>Y</v>
      </c>
      <c r="M510" s="4" t="str">
        <f>IF(ISNUMBER(SEARCH("Pan ",Broadcast_BASE[[#This Row],[Broadcast Market]]))=TRUE,"Y","N")</f>
        <v>N</v>
      </c>
      <c r="N510" t="str">
        <f>VLOOKUP(CONCATENATE(Broadcast_BASE[[#This Row],[Broadcast Market]],Broadcast_BASE[[#This Row],[Broadcaster]]),Table1[[CC]:[Pay TV vs. Free-to-Air]],3,FALSE)</f>
        <v>Digital</v>
      </c>
      <c r="O510" s="1" t="str">
        <f>VLOOKUP(CONCATENATE(Broadcast_BASE[[#This Row],[Broadcast Market]],Broadcast_BASE[[#This Row],[Broadcaster]]),Table1[[CC]:[Pay TV vs. Free-to-Air]],2,FALSE)</f>
        <v>-</v>
      </c>
      <c r="P510" s="234">
        <f>Broadcast_BASE[[#This Row],[Rolex EXP]]*86400</f>
        <v>29383.175124760292</v>
      </c>
      <c r="Q510" s="235" t="str">
        <f>IF(Broadcast_BASE[[#This Row],[Dashboard Rated?]]="No","N","Y")</f>
        <v>Y</v>
      </c>
      <c r="R510" s="236"/>
      <c r="S510" s="236"/>
    </row>
    <row r="511" spans="1:19" x14ac:dyDescent="0.25">
      <c r="A511" s="72" t="e">
        <f>#REF!</f>
        <v>#REF!</v>
      </c>
      <c r="B511" t="s">
        <v>45</v>
      </c>
      <c r="C511" t="s">
        <v>45</v>
      </c>
      <c r="D511" t="s">
        <v>1644</v>
      </c>
      <c r="E511" s="102">
        <v>0.20833333333333334</v>
      </c>
      <c r="F511" s="101">
        <v>441.786323717904</v>
      </c>
      <c r="G511" s="102">
        <v>1.2761435475777851E-2</v>
      </c>
      <c r="H511" s="101">
        <v>112.20077172274276</v>
      </c>
      <c r="I511" s="101">
        <v>31.150776489411676</v>
      </c>
      <c r="J511" s="101"/>
      <c r="K511" s="233" t="str">
        <f>VLOOKUP(Broadcast_BASE[[#This Row],[Broadcast Market]],Continent_Look_Up[],2,FALSE)</f>
        <v>Digital</v>
      </c>
      <c r="L511" t="str">
        <f>IF(OR(Broadcast_BASE[[#This Row],[Broadcast Continent]]="Digital",Broadcast_BASE[[#This Row],[Programme Type]]="Digital"),"Y","N")</f>
        <v>Y</v>
      </c>
      <c r="M511" s="4" t="str">
        <f>IF(ISNUMBER(SEARCH("Pan ",Broadcast_BASE[[#This Row],[Broadcast Market]]))=TRUE,"Y","N")</f>
        <v>N</v>
      </c>
      <c r="N511" t="str">
        <f>VLOOKUP(CONCATENATE(Broadcast_BASE[[#This Row],[Broadcast Market]],Broadcast_BASE[[#This Row],[Broadcaster]]),Table1[[CC]:[Pay TV vs. Free-to-Air]],3,FALSE)</f>
        <v>Digital</v>
      </c>
      <c r="O511" s="1" t="str">
        <f>VLOOKUP(CONCATENATE(Broadcast_BASE[[#This Row],[Broadcast Market]],Broadcast_BASE[[#This Row],[Broadcaster]]),Table1[[CC]:[Pay TV vs. Free-to-Air]],2,FALSE)</f>
        <v>-</v>
      </c>
      <c r="P511" s="234">
        <f>Broadcast_BASE[[#This Row],[Rolex EXP]]*86400</f>
        <v>1102.5880251072062</v>
      </c>
      <c r="Q511" s="235" t="str">
        <f>IF(Broadcast_BASE[[#This Row],[Dashboard Rated?]]="No","N","Y")</f>
        <v>Y</v>
      </c>
      <c r="R511" s="236"/>
      <c r="S511" s="236"/>
    </row>
    <row r="512" spans="1:19" x14ac:dyDescent="0.25">
      <c r="A512" s="72" t="e">
        <f>#REF!</f>
        <v>#REF!</v>
      </c>
      <c r="B512" t="s">
        <v>45</v>
      </c>
      <c r="C512" t="s">
        <v>45</v>
      </c>
      <c r="D512" t="s">
        <v>1643</v>
      </c>
      <c r="E512" s="102">
        <v>4.020833333333333</v>
      </c>
      <c r="F512" s="101">
        <v>398984.85078633169</v>
      </c>
      <c r="G512" s="102">
        <v>0.2521375577150346</v>
      </c>
      <c r="H512" s="101">
        <v>213561.26311343204</v>
      </c>
      <c r="I512" s="101">
        <v>59528.661800457623</v>
      </c>
      <c r="J512" s="101"/>
      <c r="K512" s="233" t="str">
        <f>VLOOKUP(Broadcast_BASE[[#This Row],[Broadcast Market]],Continent_Look_Up[],2,FALSE)</f>
        <v>Digital</v>
      </c>
      <c r="L512" t="str">
        <f>IF(OR(Broadcast_BASE[[#This Row],[Broadcast Continent]]="Digital",Broadcast_BASE[[#This Row],[Programme Type]]="Digital"),"Y","N")</f>
        <v>Y</v>
      </c>
      <c r="M512" s="4" t="str">
        <f>IF(ISNUMBER(SEARCH("Pan ",Broadcast_BASE[[#This Row],[Broadcast Market]]))=TRUE,"Y","N")</f>
        <v>N</v>
      </c>
      <c r="N512" t="str">
        <f>VLOOKUP(CONCATENATE(Broadcast_BASE[[#This Row],[Broadcast Market]],Broadcast_BASE[[#This Row],[Broadcaster]]),Table1[[CC]:[Pay TV vs. Free-to-Air]],3,FALSE)</f>
        <v>Digital</v>
      </c>
      <c r="O512" s="1" t="str">
        <f>VLOOKUP(CONCATENATE(Broadcast_BASE[[#This Row],[Broadcast Market]],Broadcast_BASE[[#This Row],[Broadcaster]]),Table1[[CC]:[Pay TV vs. Free-to-Air]],2,FALSE)</f>
        <v>-</v>
      </c>
      <c r="P512" s="234">
        <f>Broadcast_BASE[[#This Row],[Rolex EXP]]*86400</f>
        <v>21784.684986578988</v>
      </c>
      <c r="Q512" s="235" t="str">
        <f>IF(Broadcast_BASE[[#This Row],[Dashboard Rated?]]="No","N","Y")</f>
        <v>Y</v>
      </c>
      <c r="R512" s="236"/>
      <c r="S512" s="236"/>
    </row>
    <row r="513" spans="1:19" x14ac:dyDescent="0.25">
      <c r="A513" s="72" t="e">
        <f>#REF!</f>
        <v>#REF!</v>
      </c>
      <c r="B513" t="s">
        <v>45</v>
      </c>
      <c r="C513" t="s">
        <v>45</v>
      </c>
      <c r="D513" t="s">
        <v>1644</v>
      </c>
      <c r="E513" s="102">
        <v>0.5</v>
      </c>
      <c r="F513" s="101">
        <v>8136.643030984761</v>
      </c>
      <c r="G513" s="102">
        <v>2.8351594999103055E-2</v>
      </c>
      <c r="H513" s="101">
        <v>2295.4974336330706</v>
      </c>
      <c r="I513" s="101">
        <v>667.95870346579829</v>
      </c>
      <c r="J513" s="101"/>
      <c r="K513" s="233" t="str">
        <f>VLOOKUP(Broadcast_BASE[[#This Row],[Broadcast Market]],Continent_Look_Up[],2,FALSE)</f>
        <v>Digital</v>
      </c>
      <c r="L513" t="str">
        <f>IF(OR(Broadcast_BASE[[#This Row],[Broadcast Continent]]="Digital",Broadcast_BASE[[#This Row],[Programme Type]]="Digital"),"Y","N")</f>
        <v>Y</v>
      </c>
      <c r="M513" s="4" t="str">
        <f>IF(ISNUMBER(SEARCH("Pan ",Broadcast_BASE[[#This Row],[Broadcast Market]]))=TRUE,"Y","N")</f>
        <v>N</v>
      </c>
      <c r="N513" t="str">
        <f>VLOOKUP(CONCATENATE(Broadcast_BASE[[#This Row],[Broadcast Market]],Broadcast_BASE[[#This Row],[Broadcaster]]),Table1[[CC]:[Pay TV vs. Free-to-Air]],3,FALSE)</f>
        <v>Digital</v>
      </c>
      <c r="O513" s="1" t="str">
        <f>VLOOKUP(CONCATENATE(Broadcast_BASE[[#This Row],[Broadcast Market]],Broadcast_BASE[[#This Row],[Broadcaster]]),Table1[[CC]:[Pay TV vs. Free-to-Air]],2,FALSE)</f>
        <v>-</v>
      </c>
      <c r="P513" s="234">
        <f>Broadcast_BASE[[#This Row],[Rolex EXP]]*86400</f>
        <v>2449.5778079225038</v>
      </c>
      <c r="Q513" s="235" t="str">
        <f>IF(Broadcast_BASE[[#This Row],[Dashboard Rated?]]="No","N","Y")</f>
        <v>Y</v>
      </c>
      <c r="R513" s="236"/>
      <c r="S513" s="236"/>
    </row>
    <row r="514" spans="1:19" x14ac:dyDescent="0.25">
      <c r="A514" s="72" t="e">
        <f>#REF!</f>
        <v>#REF!</v>
      </c>
      <c r="B514" t="s">
        <v>45</v>
      </c>
      <c r="C514" t="s">
        <v>45</v>
      </c>
      <c r="D514" t="s">
        <v>1643</v>
      </c>
      <c r="E514" s="102">
        <v>0.83333333333333337</v>
      </c>
      <c r="F514" s="101">
        <v>73221.322340922794</v>
      </c>
      <c r="G514" s="102">
        <v>5.1045741903111418E-2</v>
      </c>
      <c r="H514" s="101">
        <v>37192.137611109749</v>
      </c>
      <c r="I514" s="101">
        <v>10325.811026951107</v>
      </c>
      <c r="J514" s="101"/>
      <c r="K514" s="233" t="str">
        <f>VLOOKUP(Broadcast_BASE[[#This Row],[Broadcast Market]],Continent_Look_Up[],2,FALSE)</f>
        <v>Digital</v>
      </c>
      <c r="L514" t="str">
        <f>IF(OR(Broadcast_BASE[[#This Row],[Broadcast Continent]]="Digital",Broadcast_BASE[[#This Row],[Programme Type]]="Digital"),"Y","N")</f>
        <v>Y</v>
      </c>
      <c r="M514" s="4" t="str">
        <f>IF(ISNUMBER(SEARCH("Pan ",Broadcast_BASE[[#This Row],[Broadcast Market]]))=TRUE,"Y","N")</f>
        <v>N</v>
      </c>
      <c r="N514" t="str">
        <f>VLOOKUP(CONCATENATE(Broadcast_BASE[[#This Row],[Broadcast Market]],Broadcast_BASE[[#This Row],[Broadcaster]]),Table1[[CC]:[Pay TV vs. Free-to-Air]],3,FALSE)</f>
        <v>Digital</v>
      </c>
      <c r="O514" s="1" t="str">
        <f>VLOOKUP(CONCATENATE(Broadcast_BASE[[#This Row],[Broadcast Market]],Broadcast_BASE[[#This Row],[Broadcaster]]),Table1[[CC]:[Pay TV vs. Free-to-Air]],2,FALSE)</f>
        <v>-</v>
      </c>
      <c r="P514" s="234">
        <f>Broadcast_BASE[[#This Row],[Rolex EXP]]*86400</f>
        <v>4410.3521004288268</v>
      </c>
      <c r="Q514" s="235" t="str">
        <f>IF(Broadcast_BASE[[#This Row],[Dashboard Rated?]]="No","N","Y")</f>
        <v>Y</v>
      </c>
      <c r="R514" s="236"/>
      <c r="S514" s="236"/>
    </row>
    <row r="515" spans="1:19" x14ac:dyDescent="0.25">
      <c r="A515" s="72" t="e">
        <f>#REF!</f>
        <v>#REF!</v>
      </c>
      <c r="B515" t="s">
        <v>45</v>
      </c>
      <c r="C515" t="s">
        <v>45</v>
      </c>
      <c r="D515" t="s">
        <v>1644</v>
      </c>
      <c r="E515" s="102">
        <v>0.89583333333333337</v>
      </c>
      <c r="F515" s="101">
        <v>18674.672739719244</v>
      </c>
      <c r="G515" s="102">
        <v>5.506338056906674E-2</v>
      </c>
      <c r="H515" s="101">
        <v>5025.7021784619883</v>
      </c>
      <c r="I515" s="101">
        <v>1437.1467364388157</v>
      </c>
      <c r="J515" s="101"/>
      <c r="K515" s="233" t="str">
        <f>VLOOKUP(Broadcast_BASE[[#This Row],[Broadcast Market]],Continent_Look_Up[],2,FALSE)</f>
        <v>Digital</v>
      </c>
      <c r="L515" t="str">
        <f>IF(OR(Broadcast_BASE[[#This Row],[Broadcast Continent]]="Digital",Broadcast_BASE[[#This Row],[Programme Type]]="Digital"),"Y","N")</f>
        <v>Y</v>
      </c>
      <c r="M515" s="4" t="str">
        <f>IF(ISNUMBER(SEARCH("Pan ",Broadcast_BASE[[#This Row],[Broadcast Market]]))=TRUE,"Y","N")</f>
        <v>N</v>
      </c>
      <c r="N515" t="str">
        <f>VLOOKUP(CONCATENATE(Broadcast_BASE[[#This Row],[Broadcast Market]],Broadcast_BASE[[#This Row],[Broadcaster]]),Table1[[CC]:[Pay TV vs. Free-to-Air]],3,FALSE)</f>
        <v>Digital</v>
      </c>
      <c r="O515" s="1" t="str">
        <f>VLOOKUP(CONCATENATE(Broadcast_BASE[[#This Row],[Broadcast Market]],Broadcast_BASE[[#This Row],[Broadcaster]]),Table1[[CC]:[Pay TV vs. Free-to-Air]],2,FALSE)</f>
        <v>-</v>
      </c>
      <c r="P515" s="234">
        <f>Broadcast_BASE[[#This Row],[Rolex EXP]]*86400</f>
        <v>4757.4760811673659</v>
      </c>
      <c r="Q515" s="235" t="str">
        <f>IF(Broadcast_BASE[[#This Row],[Dashboard Rated?]]="No","N","Y")</f>
        <v>Y</v>
      </c>
      <c r="R515" s="236"/>
      <c r="S515" s="236"/>
    </row>
    <row r="516" spans="1:19" x14ac:dyDescent="0.25">
      <c r="A516" s="72" t="e">
        <f>#REF!</f>
        <v>#REF!</v>
      </c>
      <c r="B516" t="s">
        <v>45</v>
      </c>
      <c r="C516" t="s">
        <v>45</v>
      </c>
      <c r="D516" t="s">
        <v>1642</v>
      </c>
      <c r="E516" s="102">
        <v>2.0833333333333332E-2</v>
      </c>
      <c r="F516" s="101">
        <v>1542.6674982187001</v>
      </c>
      <c r="G516" s="102">
        <v>1.1050021561017675E-3</v>
      </c>
      <c r="H516" s="101">
        <v>67.849944766003077</v>
      </c>
      <c r="I516" s="101">
        <v>20.356754147871651</v>
      </c>
      <c r="J516" s="101"/>
      <c r="K516" s="233" t="str">
        <f>VLOOKUP(Broadcast_BASE[[#This Row],[Broadcast Market]],Continent_Look_Up[],2,FALSE)</f>
        <v>Digital</v>
      </c>
      <c r="L516" t="str">
        <f>IF(OR(Broadcast_BASE[[#This Row],[Broadcast Continent]]="Digital",Broadcast_BASE[[#This Row],[Programme Type]]="Digital"),"Y","N")</f>
        <v>Y</v>
      </c>
      <c r="M516" s="4" t="str">
        <f>IF(ISNUMBER(SEARCH("Pan ",Broadcast_BASE[[#This Row],[Broadcast Market]]))=TRUE,"Y","N")</f>
        <v>N</v>
      </c>
      <c r="N516" t="str">
        <f>VLOOKUP(CONCATENATE(Broadcast_BASE[[#This Row],[Broadcast Market]],Broadcast_BASE[[#This Row],[Broadcaster]]),Table1[[CC]:[Pay TV vs. Free-to-Air]],3,FALSE)</f>
        <v>Digital</v>
      </c>
      <c r="O516" s="1" t="str">
        <f>VLOOKUP(CONCATENATE(Broadcast_BASE[[#This Row],[Broadcast Market]],Broadcast_BASE[[#This Row],[Broadcaster]]),Table1[[CC]:[Pay TV vs. Free-to-Air]],2,FALSE)</f>
        <v>-</v>
      </c>
      <c r="P516" s="234">
        <f>Broadcast_BASE[[#This Row],[Rolex EXP]]*86400</f>
        <v>95.472186287192713</v>
      </c>
      <c r="Q516" s="235" t="str">
        <f>IF(Broadcast_BASE[[#This Row],[Dashboard Rated?]]="No","N","Y")</f>
        <v>Y</v>
      </c>
      <c r="R516" s="236"/>
      <c r="S516" s="236"/>
    </row>
    <row r="517" spans="1:19" x14ac:dyDescent="0.25">
      <c r="A517" s="72" t="e">
        <f>#REF!</f>
        <v>#REF!</v>
      </c>
      <c r="B517" t="s">
        <v>45</v>
      </c>
      <c r="C517" t="s">
        <v>45</v>
      </c>
      <c r="D517" t="s">
        <v>1643</v>
      </c>
      <c r="E517" s="102">
        <v>2.3229166666666665</v>
      </c>
      <c r="F517" s="101">
        <v>240510.63709842207</v>
      </c>
      <c r="G517" s="102">
        <v>0.1523704187332455</v>
      </c>
      <c r="H517" s="101">
        <v>118706.66888181427</v>
      </c>
      <c r="I517" s="101">
        <v>33645.137734877826</v>
      </c>
      <c r="J517" s="101"/>
      <c r="K517" s="233" t="str">
        <f>VLOOKUP(Broadcast_BASE[[#This Row],[Broadcast Market]],Continent_Look_Up[],2,FALSE)</f>
        <v>Digital</v>
      </c>
      <c r="L517" t="str">
        <f>IF(OR(Broadcast_BASE[[#This Row],[Broadcast Continent]]="Digital",Broadcast_BASE[[#This Row],[Programme Type]]="Digital"),"Y","N")</f>
        <v>Y</v>
      </c>
      <c r="M517" s="4" t="str">
        <f>IF(ISNUMBER(SEARCH("Pan ",Broadcast_BASE[[#This Row],[Broadcast Market]]))=TRUE,"Y","N")</f>
        <v>N</v>
      </c>
      <c r="N517" t="str">
        <f>VLOOKUP(CONCATENATE(Broadcast_BASE[[#This Row],[Broadcast Market]],Broadcast_BASE[[#This Row],[Broadcaster]]),Table1[[CC]:[Pay TV vs. Free-to-Air]],3,FALSE)</f>
        <v>Digital</v>
      </c>
      <c r="O517" s="1" t="str">
        <f>VLOOKUP(CONCATENATE(Broadcast_BASE[[#This Row],[Broadcast Market]],Broadcast_BASE[[#This Row],[Broadcaster]]),Table1[[CC]:[Pay TV vs. Free-to-Air]],2,FALSE)</f>
        <v>-</v>
      </c>
      <c r="P517" s="234">
        <f>Broadcast_BASE[[#This Row],[Rolex EXP]]*86400</f>
        <v>13164.804178552411</v>
      </c>
      <c r="Q517" s="235" t="str">
        <f>IF(Broadcast_BASE[[#This Row],[Dashboard Rated?]]="No","N","Y")</f>
        <v>Y</v>
      </c>
      <c r="R517" s="236"/>
      <c r="S517" s="236"/>
    </row>
    <row r="518" spans="1:19" x14ac:dyDescent="0.25">
      <c r="A518" s="72" t="e">
        <f>#REF!</f>
        <v>#REF!</v>
      </c>
      <c r="B518" t="s">
        <v>45</v>
      </c>
      <c r="C518" t="s">
        <v>45</v>
      </c>
      <c r="D518" t="s">
        <v>1644</v>
      </c>
      <c r="E518" s="102">
        <v>0.84722222222222221</v>
      </c>
      <c r="F518" s="101">
        <v>14239.125304223333</v>
      </c>
      <c r="G518" s="102">
        <v>5.8988041800371739E-2</v>
      </c>
      <c r="H518" s="101">
        <v>4775.9887432110054</v>
      </c>
      <c r="I518" s="101">
        <v>1373.7102902184113</v>
      </c>
      <c r="J518" s="101"/>
      <c r="K518" s="233" t="str">
        <f>VLOOKUP(Broadcast_BASE[[#This Row],[Broadcast Market]],Continent_Look_Up[],2,FALSE)</f>
        <v>Digital</v>
      </c>
      <c r="L518" t="str">
        <f>IF(OR(Broadcast_BASE[[#This Row],[Broadcast Continent]]="Digital",Broadcast_BASE[[#This Row],[Programme Type]]="Digital"),"Y","N")</f>
        <v>Y</v>
      </c>
      <c r="M518" s="4" t="str">
        <f>IF(ISNUMBER(SEARCH("Pan ",Broadcast_BASE[[#This Row],[Broadcast Market]]))=TRUE,"Y","N")</f>
        <v>N</v>
      </c>
      <c r="N518" t="str">
        <f>VLOOKUP(CONCATENATE(Broadcast_BASE[[#This Row],[Broadcast Market]],Broadcast_BASE[[#This Row],[Broadcaster]]),Table1[[CC]:[Pay TV vs. Free-to-Air]],3,FALSE)</f>
        <v>Digital</v>
      </c>
      <c r="O518" s="1" t="str">
        <f>VLOOKUP(CONCATENATE(Broadcast_BASE[[#This Row],[Broadcast Market]],Broadcast_BASE[[#This Row],[Broadcaster]]),Table1[[CC]:[Pay TV vs. Free-to-Air]],2,FALSE)</f>
        <v>-</v>
      </c>
      <c r="P518" s="234">
        <f>Broadcast_BASE[[#This Row],[Rolex EXP]]*86400</f>
        <v>5096.5668115521185</v>
      </c>
      <c r="Q518" s="235" t="str">
        <f>IF(Broadcast_BASE[[#This Row],[Dashboard Rated?]]="No","N","Y")</f>
        <v>Y</v>
      </c>
      <c r="R518" s="236"/>
      <c r="S518" s="236"/>
    </row>
    <row r="519" spans="1:19" x14ac:dyDescent="0.25">
      <c r="A519" s="72" t="e">
        <f>#REF!</f>
        <v>#REF!</v>
      </c>
      <c r="B519" t="s">
        <v>45</v>
      </c>
      <c r="C519" t="s">
        <v>45</v>
      </c>
      <c r="D519" t="s">
        <v>1643</v>
      </c>
      <c r="E519" s="102">
        <v>1.8125</v>
      </c>
      <c r="F519" s="101">
        <v>203899.97592796068</v>
      </c>
      <c r="G519" s="102">
        <v>0.116254862647638</v>
      </c>
      <c r="H519" s="101">
        <v>93174.879989998866</v>
      </c>
      <c r="I519" s="101">
        <v>26168.527406897436</v>
      </c>
      <c r="J519" s="101"/>
      <c r="K519" s="233" t="str">
        <f>VLOOKUP(Broadcast_BASE[[#This Row],[Broadcast Market]],Continent_Look_Up[],2,FALSE)</f>
        <v>Digital</v>
      </c>
      <c r="L519" t="str">
        <f>IF(OR(Broadcast_BASE[[#This Row],[Broadcast Continent]]="Digital",Broadcast_BASE[[#This Row],[Programme Type]]="Digital"),"Y","N")</f>
        <v>Y</v>
      </c>
      <c r="M519" s="4" t="str">
        <f>IF(ISNUMBER(SEARCH("Pan ",Broadcast_BASE[[#This Row],[Broadcast Market]]))=TRUE,"Y","N")</f>
        <v>N</v>
      </c>
      <c r="N519" t="str">
        <f>VLOOKUP(CONCATENATE(Broadcast_BASE[[#This Row],[Broadcast Market]],Broadcast_BASE[[#This Row],[Broadcaster]]),Table1[[CC]:[Pay TV vs. Free-to-Air]],3,FALSE)</f>
        <v>Digital</v>
      </c>
      <c r="O519" s="1" t="str">
        <f>VLOOKUP(CONCATENATE(Broadcast_BASE[[#This Row],[Broadcast Market]],Broadcast_BASE[[#This Row],[Broadcaster]]),Table1[[CC]:[Pay TV vs. Free-to-Air]],2,FALSE)</f>
        <v>-</v>
      </c>
      <c r="P519" s="234">
        <f>Broadcast_BASE[[#This Row],[Rolex EXP]]*86400</f>
        <v>10044.420132755924</v>
      </c>
      <c r="Q519" s="235" t="str">
        <f>IF(Broadcast_BASE[[#This Row],[Dashboard Rated?]]="No","N","Y")</f>
        <v>Y</v>
      </c>
      <c r="R519" s="236"/>
      <c r="S519" s="236"/>
    </row>
    <row r="520" spans="1:19" x14ac:dyDescent="0.25">
      <c r="A520" s="72" t="e">
        <f>#REF!</f>
        <v>#REF!</v>
      </c>
      <c r="B520" t="s">
        <v>45</v>
      </c>
      <c r="C520" t="s">
        <v>45</v>
      </c>
      <c r="D520" t="s">
        <v>1644</v>
      </c>
      <c r="E520" s="102">
        <v>0.35416666666666669</v>
      </c>
      <c r="F520" s="101">
        <v>8136.643030984761</v>
      </c>
      <c r="G520" s="102">
        <v>2.3085538803348991E-2</v>
      </c>
      <c r="H520" s="101">
        <v>1869.129235191205</v>
      </c>
      <c r="I520" s="101">
        <v>531.63035413970579</v>
      </c>
      <c r="J520" s="101"/>
      <c r="K520" s="233" t="str">
        <f>VLOOKUP(Broadcast_BASE[[#This Row],[Broadcast Market]],Continent_Look_Up[],2,FALSE)</f>
        <v>Digital</v>
      </c>
      <c r="L520" t="str">
        <f>IF(OR(Broadcast_BASE[[#This Row],[Broadcast Continent]]="Digital",Broadcast_BASE[[#This Row],[Programme Type]]="Digital"),"Y","N")</f>
        <v>Y</v>
      </c>
      <c r="M520" s="4" t="str">
        <f>IF(ISNUMBER(SEARCH("Pan ",Broadcast_BASE[[#This Row],[Broadcast Market]]))=TRUE,"Y","N")</f>
        <v>N</v>
      </c>
      <c r="N520" t="str">
        <f>VLOOKUP(CONCATENATE(Broadcast_BASE[[#This Row],[Broadcast Market]],Broadcast_BASE[[#This Row],[Broadcaster]]),Table1[[CC]:[Pay TV vs. Free-to-Air]],3,FALSE)</f>
        <v>Digital</v>
      </c>
      <c r="O520" s="1" t="str">
        <f>VLOOKUP(CONCATENATE(Broadcast_BASE[[#This Row],[Broadcast Market]],Broadcast_BASE[[#This Row],[Broadcaster]]),Table1[[CC]:[Pay TV vs. Free-to-Air]],2,FALSE)</f>
        <v>-</v>
      </c>
      <c r="P520" s="234">
        <f>Broadcast_BASE[[#This Row],[Rolex EXP]]*86400</f>
        <v>1994.5905526093527</v>
      </c>
      <c r="Q520" s="235" t="str">
        <f>IF(Broadcast_BASE[[#This Row],[Dashboard Rated?]]="No","N","Y")</f>
        <v>Y</v>
      </c>
      <c r="R520" s="236"/>
      <c r="S520" s="236"/>
    </row>
    <row r="521" spans="1:19" x14ac:dyDescent="0.25">
      <c r="A521" s="72" t="e">
        <f>#REF!</f>
        <v>#REF!</v>
      </c>
      <c r="B521" t="s">
        <v>45</v>
      </c>
      <c r="C521" t="s">
        <v>45</v>
      </c>
      <c r="D521" t="s">
        <v>1642</v>
      </c>
      <c r="E521" s="102">
        <v>0.95768518518518508</v>
      </c>
      <c r="F521" s="101">
        <v>367537.99163674371</v>
      </c>
      <c r="G521" s="102">
        <v>7.3111209118827652E-2</v>
      </c>
      <c r="H521" s="101">
        <v>29871.905357706597</v>
      </c>
      <c r="I521" s="101">
        <v>8511.0278303232844</v>
      </c>
      <c r="J521" s="101"/>
      <c r="K521" s="233" t="str">
        <f>VLOOKUP(Broadcast_BASE[[#This Row],[Broadcast Market]],Continent_Look_Up[],2,FALSE)</f>
        <v>Digital</v>
      </c>
      <c r="L521" t="str">
        <f>IF(OR(Broadcast_BASE[[#This Row],[Broadcast Continent]]="Digital",Broadcast_BASE[[#This Row],[Programme Type]]="Digital"),"Y","N")</f>
        <v>Y</v>
      </c>
      <c r="M521" s="4" t="str">
        <f>IF(ISNUMBER(SEARCH("Pan ",Broadcast_BASE[[#This Row],[Broadcast Market]]))=TRUE,"Y","N")</f>
        <v>N</v>
      </c>
      <c r="N521" t="str">
        <f>VLOOKUP(CONCATENATE(Broadcast_BASE[[#This Row],[Broadcast Market]],Broadcast_BASE[[#This Row],[Broadcaster]]),Table1[[CC]:[Pay TV vs. Free-to-Air]],3,FALSE)</f>
        <v>Digital</v>
      </c>
      <c r="O521" s="1" t="str">
        <f>VLOOKUP(CONCATENATE(Broadcast_BASE[[#This Row],[Broadcast Market]],Broadcast_BASE[[#This Row],[Broadcaster]]),Table1[[CC]:[Pay TV vs. Free-to-Air]],2,FALSE)</f>
        <v>-</v>
      </c>
      <c r="P521" s="234">
        <f>Broadcast_BASE[[#This Row],[Rolex EXP]]*86400</f>
        <v>6316.8084678667092</v>
      </c>
      <c r="Q521" s="235" t="str">
        <f>IF(Broadcast_BASE[[#This Row],[Dashboard Rated?]]="No","N","Y")</f>
        <v>Y</v>
      </c>
      <c r="R521" s="236"/>
      <c r="S521" s="236"/>
    </row>
    <row r="522" spans="1:19" x14ac:dyDescent="0.25">
      <c r="A522" s="72" t="e">
        <f>#REF!</f>
        <v>#REF!</v>
      </c>
      <c r="B522" t="s">
        <v>45</v>
      </c>
      <c r="C522" t="s">
        <v>45</v>
      </c>
      <c r="D522" t="s">
        <v>1643</v>
      </c>
      <c r="E522" s="102">
        <v>6.1838194444444454</v>
      </c>
      <c r="F522" s="101">
        <v>2888963.388704509</v>
      </c>
      <c r="G522" s="102">
        <v>0.50730299578459859</v>
      </c>
      <c r="H522" s="101">
        <v>808888.05772777903</v>
      </c>
      <c r="I522" s="101">
        <v>229230.07529525194</v>
      </c>
      <c r="J522" s="101"/>
      <c r="K522" s="233" t="str">
        <f>VLOOKUP(Broadcast_BASE[[#This Row],[Broadcast Market]],Continent_Look_Up[],2,FALSE)</f>
        <v>Digital</v>
      </c>
      <c r="L522" t="str">
        <f>IF(OR(Broadcast_BASE[[#This Row],[Broadcast Continent]]="Digital",Broadcast_BASE[[#This Row],[Programme Type]]="Digital"),"Y","N")</f>
        <v>Y</v>
      </c>
      <c r="M522" s="4" t="str">
        <f>IF(ISNUMBER(SEARCH("Pan ",Broadcast_BASE[[#This Row],[Broadcast Market]]))=TRUE,"Y","N")</f>
        <v>N</v>
      </c>
      <c r="N522" t="str">
        <f>VLOOKUP(CONCATENATE(Broadcast_BASE[[#This Row],[Broadcast Market]],Broadcast_BASE[[#This Row],[Broadcaster]]),Table1[[CC]:[Pay TV vs. Free-to-Air]],3,FALSE)</f>
        <v>Digital</v>
      </c>
      <c r="O522" s="1" t="str">
        <f>VLOOKUP(CONCATENATE(Broadcast_BASE[[#This Row],[Broadcast Market]],Broadcast_BASE[[#This Row],[Broadcaster]]),Table1[[CC]:[Pay TV vs. Free-to-Air]],2,FALSE)</f>
        <v>-</v>
      </c>
      <c r="P522" s="234">
        <f>Broadcast_BASE[[#This Row],[Rolex EXP]]*86400</f>
        <v>43830.978835789319</v>
      </c>
      <c r="Q522" s="235" t="str">
        <f>IF(Broadcast_BASE[[#This Row],[Dashboard Rated?]]="No","N","Y")</f>
        <v>Y</v>
      </c>
      <c r="R522" s="236"/>
      <c r="S522" s="236"/>
    </row>
    <row r="523" spans="1:19" x14ac:dyDescent="0.25">
      <c r="A523" s="72" t="e">
        <f>#REF!</f>
        <v>#REF!</v>
      </c>
      <c r="B523" t="s">
        <v>45</v>
      </c>
      <c r="C523" t="s">
        <v>45</v>
      </c>
      <c r="D523" t="s">
        <v>1644</v>
      </c>
      <c r="E523" s="102">
        <v>1.6181365740740743</v>
      </c>
      <c r="F523" s="101">
        <v>258886.63249767094</v>
      </c>
      <c r="G523" s="102">
        <v>0.12189648582648727</v>
      </c>
      <c r="H523" s="101">
        <v>45961.369092027162</v>
      </c>
      <c r="I523" s="101">
        <v>13316.85887353713</v>
      </c>
      <c r="J523" s="101"/>
      <c r="K523" s="233" t="str">
        <f>VLOOKUP(Broadcast_BASE[[#This Row],[Broadcast Market]],Continent_Look_Up[],2,FALSE)</f>
        <v>Digital</v>
      </c>
      <c r="L523" t="str">
        <f>IF(OR(Broadcast_BASE[[#This Row],[Broadcast Continent]]="Digital",Broadcast_BASE[[#This Row],[Programme Type]]="Digital"),"Y","N")</f>
        <v>Y</v>
      </c>
      <c r="M523" s="4" t="str">
        <f>IF(ISNUMBER(SEARCH("Pan ",Broadcast_BASE[[#This Row],[Broadcast Market]]))=TRUE,"Y","N")</f>
        <v>N</v>
      </c>
      <c r="N523" t="str">
        <f>VLOOKUP(CONCATENATE(Broadcast_BASE[[#This Row],[Broadcast Market]],Broadcast_BASE[[#This Row],[Broadcaster]]),Table1[[CC]:[Pay TV vs. Free-to-Air]],3,FALSE)</f>
        <v>Digital</v>
      </c>
      <c r="O523" s="1" t="str">
        <f>VLOOKUP(CONCATENATE(Broadcast_BASE[[#This Row],[Broadcast Market]],Broadcast_BASE[[#This Row],[Broadcaster]]),Table1[[CC]:[Pay TV vs. Free-to-Air]],2,FALSE)</f>
        <v>-</v>
      </c>
      <c r="P523" s="234">
        <f>Broadcast_BASE[[#This Row],[Rolex EXP]]*86400</f>
        <v>10531.856375408499</v>
      </c>
      <c r="Q523" s="235" t="str">
        <f>IF(Broadcast_BASE[[#This Row],[Dashboard Rated?]]="No","N","Y")</f>
        <v>Y</v>
      </c>
      <c r="R523" s="236"/>
      <c r="S523" s="236"/>
    </row>
    <row r="524" spans="1:19" x14ac:dyDescent="0.25">
      <c r="A524" s="72" t="e">
        <f>#REF!</f>
        <v>#REF!</v>
      </c>
      <c r="B524" t="s">
        <v>45</v>
      </c>
      <c r="C524" t="s">
        <v>45</v>
      </c>
      <c r="D524" t="s">
        <v>1642</v>
      </c>
      <c r="E524" s="102">
        <v>0.83843749999999995</v>
      </c>
      <c r="F524" s="101">
        <v>235471.40684868852</v>
      </c>
      <c r="G524" s="102">
        <v>6.5951216212620456E-2</v>
      </c>
      <c r="H524" s="101">
        <v>20606.948737925075</v>
      </c>
      <c r="I524" s="101">
        <v>5895.3182245241796</v>
      </c>
      <c r="J524" s="101"/>
      <c r="K524" s="233" t="str">
        <f>VLOOKUP(Broadcast_BASE[[#This Row],[Broadcast Market]],Continent_Look_Up[],2,FALSE)</f>
        <v>Digital</v>
      </c>
      <c r="L524" t="str">
        <f>IF(OR(Broadcast_BASE[[#This Row],[Broadcast Continent]]="Digital",Broadcast_BASE[[#This Row],[Programme Type]]="Digital"),"Y","N")</f>
        <v>Y</v>
      </c>
      <c r="M524" s="4" t="str">
        <f>IF(ISNUMBER(SEARCH("Pan ",Broadcast_BASE[[#This Row],[Broadcast Market]]))=TRUE,"Y","N")</f>
        <v>N</v>
      </c>
      <c r="N524" t="str">
        <f>VLOOKUP(CONCATENATE(Broadcast_BASE[[#This Row],[Broadcast Market]],Broadcast_BASE[[#This Row],[Broadcaster]]),Table1[[CC]:[Pay TV vs. Free-to-Air]],3,FALSE)</f>
        <v>Digital</v>
      </c>
      <c r="O524" s="1" t="str">
        <f>VLOOKUP(CONCATENATE(Broadcast_BASE[[#This Row],[Broadcast Market]],Broadcast_BASE[[#This Row],[Broadcaster]]),Table1[[CC]:[Pay TV vs. Free-to-Air]],2,FALSE)</f>
        <v>-</v>
      </c>
      <c r="P524" s="234">
        <f>Broadcast_BASE[[#This Row],[Rolex EXP]]*86400</f>
        <v>5698.1850807704077</v>
      </c>
      <c r="Q524" s="235" t="str">
        <f>IF(Broadcast_BASE[[#This Row],[Dashboard Rated?]]="No","N","Y")</f>
        <v>Y</v>
      </c>
      <c r="R524" s="236"/>
      <c r="S524" s="236"/>
    </row>
    <row r="525" spans="1:19" x14ac:dyDescent="0.25">
      <c r="A525" s="72" t="e">
        <f>#REF!</f>
        <v>#REF!</v>
      </c>
      <c r="B525" t="s">
        <v>45</v>
      </c>
      <c r="C525" t="s">
        <v>45</v>
      </c>
      <c r="D525" t="s">
        <v>1643</v>
      </c>
      <c r="E525" s="102">
        <v>3.0458796296296295</v>
      </c>
      <c r="F525" s="101">
        <v>1332446.0026258279</v>
      </c>
      <c r="G525" s="102">
        <v>0.25179070981041834</v>
      </c>
      <c r="H525" s="101">
        <v>342867.95619895647</v>
      </c>
      <c r="I525" s="101">
        <v>102878.17304051705</v>
      </c>
      <c r="J525" s="101"/>
      <c r="K525" s="233" t="str">
        <f>VLOOKUP(Broadcast_BASE[[#This Row],[Broadcast Market]],Continent_Look_Up[],2,FALSE)</f>
        <v>Digital</v>
      </c>
      <c r="L525" t="str">
        <f>IF(OR(Broadcast_BASE[[#This Row],[Broadcast Continent]]="Digital",Broadcast_BASE[[#This Row],[Programme Type]]="Digital"),"Y","N")</f>
        <v>Y</v>
      </c>
      <c r="M525" s="4" t="str">
        <f>IF(ISNUMBER(SEARCH("Pan ",Broadcast_BASE[[#This Row],[Broadcast Market]]))=TRUE,"Y","N")</f>
        <v>N</v>
      </c>
      <c r="N525" t="str">
        <f>VLOOKUP(CONCATENATE(Broadcast_BASE[[#This Row],[Broadcast Market]],Broadcast_BASE[[#This Row],[Broadcaster]]),Table1[[CC]:[Pay TV vs. Free-to-Air]],3,FALSE)</f>
        <v>Digital</v>
      </c>
      <c r="O525" s="1" t="str">
        <f>VLOOKUP(CONCATENATE(Broadcast_BASE[[#This Row],[Broadcast Market]],Broadcast_BASE[[#This Row],[Broadcaster]]),Table1[[CC]:[Pay TV vs. Free-to-Air]],2,FALSE)</f>
        <v>-</v>
      </c>
      <c r="P525" s="234">
        <f>Broadcast_BASE[[#This Row],[Rolex EXP]]*86400</f>
        <v>21754.717327620147</v>
      </c>
      <c r="Q525" s="235" t="str">
        <f>IF(Broadcast_BASE[[#This Row],[Dashboard Rated?]]="No","N","Y")</f>
        <v>Y</v>
      </c>
      <c r="R525" s="236"/>
      <c r="S525" s="236"/>
    </row>
    <row r="526" spans="1:19" x14ac:dyDescent="0.25">
      <c r="A526" s="72" t="e">
        <f>#REF!</f>
        <v>#REF!</v>
      </c>
      <c r="B526" t="s">
        <v>45</v>
      </c>
      <c r="C526" t="s">
        <v>45</v>
      </c>
      <c r="D526" t="s">
        <v>1644</v>
      </c>
      <c r="E526" s="102">
        <v>2.4179629629629633</v>
      </c>
      <c r="F526" s="101">
        <v>291353.3157066998</v>
      </c>
      <c r="G526" s="102">
        <v>0.18174330250067061</v>
      </c>
      <c r="H526" s="101">
        <v>51353.974694172481</v>
      </c>
      <c r="I526" s="101">
        <v>14563.683334712434</v>
      </c>
      <c r="J526" s="101"/>
      <c r="K526" s="233" t="str">
        <f>VLOOKUP(Broadcast_BASE[[#This Row],[Broadcast Market]],Continent_Look_Up[],2,FALSE)</f>
        <v>Digital</v>
      </c>
      <c r="L526" t="str">
        <f>IF(OR(Broadcast_BASE[[#This Row],[Broadcast Continent]]="Digital",Broadcast_BASE[[#This Row],[Programme Type]]="Digital"),"Y","N")</f>
        <v>Y</v>
      </c>
      <c r="M526" s="4" t="str">
        <f>IF(ISNUMBER(SEARCH("Pan ",Broadcast_BASE[[#This Row],[Broadcast Market]]))=TRUE,"Y","N")</f>
        <v>N</v>
      </c>
      <c r="N526" t="str">
        <f>VLOOKUP(CONCATENATE(Broadcast_BASE[[#This Row],[Broadcast Market]],Broadcast_BASE[[#This Row],[Broadcaster]]),Table1[[CC]:[Pay TV vs. Free-to-Air]],3,FALSE)</f>
        <v>Digital</v>
      </c>
      <c r="O526" s="1" t="str">
        <f>VLOOKUP(CONCATENATE(Broadcast_BASE[[#This Row],[Broadcast Market]],Broadcast_BASE[[#This Row],[Broadcaster]]),Table1[[CC]:[Pay TV vs. Free-to-Air]],2,FALSE)</f>
        <v>-</v>
      </c>
      <c r="P526" s="234">
        <f>Broadcast_BASE[[#This Row],[Rolex EXP]]*86400</f>
        <v>15702.62133605794</v>
      </c>
      <c r="Q526" s="235" t="str">
        <f>IF(Broadcast_BASE[[#This Row],[Dashboard Rated?]]="No","N","Y")</f>
        <v>Y</v>
      </c>
      <c r="R526" s="236"/>
      <c r="S526" s="236"/>
    </row>
    <row r="527" spans="1:19" x14ac:dyDescent="0.25">
      <c r="A527" s="72" t="e">
        <f>#REF!</f>
        <v>#REF!</v>
      </c>
      <c r="B527" t="s">
        <v>45</v>
      </c>
      <c r="C527" t="s">
        <v>45</v>
      </c>
      <c r="D527" t="s">
        <v>1642</v>
      </c>
      <c r="E527" s="102">
        <v>2.0833333333333332E-2</v>
      </c>
      <c r="F527" s="101">
        <v>985.91101895153599</v>
      </c>
      <c r="G527" s="102">
        <v>8.1594380089935234E-4</v>
      </c>
      <c r="H527" s="101">
        <v>32.019313114402536</v>
      </c>
      <c r="I527" s="101">
        <v>9.8253183450331036</v>
      </c>
      <c r="J527" s="101"/>
      <c r="K527" s="233" t="str">
        <f>VLOOKUP(Broadcast_BASE[[#This Row],[Broadcast Market]],Continent_Look_Up[],2,FALSE)</f>
        <v>Digital</v>
      </c>
      <c r="L527" t="str">
        <f>IF(OR(Broadcast_BASE[[#This Row],[Broadcast Continent]]="Digital",Broadcast_BASE[[#This Row],[Programme Type]]="Digital"),"Y","N")</f>
        <v>Y</v>
      </c>
      <c r="M527" s="4" t="str">
        <f>IF(ISNUMBER(SEARCH("Pan ",Broadcast_BASE[[#This Row],[Broadcast Market]]))=TRUE,"Y","N")</f>
        <v>N</v>
      </c>
      <c r="N527" t="str">
        <f>VLOOKUP(CONCATENATE(Broadcast_BASE[[#This Row],[Broadcast Market]],Broadcast_BASE[[#This Row],[Broadcaster]]),Table1[[CC]:[Pay TV vs. Free-to-Air]],3,FALSE)</f>
        <v>Digital</v>
      </c>
      <c r="O527" s="1" t="str">
        <f>VLOOKUP(CONCATENATE(Broadcast_BASE[[#This Row],[Broadcast Market]],Broadcast_BASE[[#This Row],[Broadcaster]]),Table1[[CC]:[Pay TV vs. Free-to-Air]],2,FALSE)</f>
        <v>-</v>
      </c>
      <c r="P527" s="234">
        <f>Broadcast_BASE[[#This Row],[Rolex EXP]]*86400</f>
        <v>70.497544397704047</v>
      </c>
      <c r="Q527" s="235" t="str">
        <f>IF(Broadcast_BASE[[#This Row],[Dashboard Rated?]]="No","N","Y")</f>
        <v>Y</v>
      </c>
      <c r="R527" s="236"/>
      <c r="S527" s="236"/>
    </row>
    <row r="528" spans="1:19" x14ac:dyDescent="0.25">
      <c r="A528" s="72" t="e">
        <f>#REF!</f>
        <v>#REF!</v>
      </c>
      <c r="B528" t="s">
        <v>45</v>
      </c>
      <c r="C528" t="s">
        <v>45</v>
      </c>
      <c r="D528" t="s">
        <v>1643</v>
      </c>
      <c r="E528" s="102">
        <v>0.18402777777777779</v>
      </c>
      <c r="F528" s="101">
        <v>14011.464069467871</v>
      </c>
      <c r="G528" s="102">
        <v>6.6351459496039183E-3</v>
      </c>
      <c r="H528" s="101">
        <v>1794.4898044526283</v>
      </c>
      <c r="I528" s="101">
        <v>448.10661749115269</v>
      </c>
      <c r="J528" s="101"/>
      <c r="K528" s="233" t="str">
        <f>VLOOKUP(Broadcast_BASE[[#This Row],[Broadcast Market]],Continent_Look_Up[],2,FALSE)</f>
        <v>Digital</v>
      </c>
      <c r="L528" t="str">
        <f>IF(OR(Broadcast_BASE[[#This Row],[Broadcast Continent]]="Digital",Broadcast_BASE[[#This Row],[Programme Type]]="Digital"),"Y","N")</f>
        <v>Y</v>
      </c>
      <c r="M528" s="4" t="str">
        <f>IF(ISNUMBER(SEARCH("Pan ",Broadcast_BASE[[#This Row],[Broadcast Market]]))=TRUE,"Y","N")</f>
        <v>N</v>
      </c>
      <c r="N528" t="str">
        <f>VLOOKUP(CONCATENATE(Broadcast_BASE[[#This Row],[Broadcast Market]],Broadcast_BASE[[#This Row],[Broadcaster]]),Table1[[CC]:[Pay TV vs. Free-to-Air]],3,FALSE)</f>
        <v>Digital</v>
      </c>
      <c r="O528" s="1" t="str">
        <f>VLOOKUP(CONCATENATE(Broadcast_BASE[[#This Row],[Broadcast Market]],Broadcast_BASE[[#This Row],[Broadcaster]]),Table1[[CC]:[Pay TV vs. Free-to-Air]],2,FALSE)</f>
        <v>-</v>
      </c>
      <c r="P528" s="234">
        <f>Broadcast_BASE[[#This Row],[Rolex EXP]]*86400</f>
        <v>573.27661004577851</v>
      </c>
      <c r="Q528" s="235" t="str">
        <f>IF(Broadcast_BASE[[#This Row],[Dashboard Rated?]]="No","N","Y")</f>
        <v>Y</v>
      </c>
      <c r="R528" s="236"/>
      <c r="S528" s="236"/>
    </row>
    <row r="529" spans="1:19" x14ac:dyDescent="0.25">
      <c r="A529" s="72" t="e">
        <f>#REF!</f>
        <v>#REF!</v>
      </c>
      <c r="B529" t="s">
        <v>45</v>
      </c>
      <c r="C529" t="s">
        <v>45</v>
      </c>
      <c r="D529" t="s">
        <v>1644</v>
      </c>
      <c r="E529" s="102">
        <v>0.16666666666666666</v>
      </c>
      <c r="F529" s="101">
        <v>2600.1066361302201</v>
      </c>
      <c r="G529" s="102">
        <v>5.9313445478124992E-3</v>
      </c>
      <c r="H529" s="101">
        <v>306.9222406513598</v>
      </c>
      <c r="I529" s="101">
        <v>77.086169392883235</v>
      </c>
      <c r="J529" s="101"/>
      <c r="K529" s="233" t="str">
        <f>VLOOKUP(Broadcast_BASE[[#This Row],[Broadcast Market]],Continent_Look_Up[],2,FALSE)</f>
        <v>Digital</v>
      </c>
      <c r="L529" t="str">
        <f>IF(OR(Broadcast_BASE[[#This Row],[Broadcast Continent]]="Digital",Broadcast_BASE[[#This Row],[Programme Type]]="Digital"),"Y","N")</f>
        <v>Y</v>
      </c>
      <c r="M529" s="4" t="str">
        <f>IF(ISNUMBER(SEARCH("Pan ",Broadcast_BASE[[#This Row],[Broadcast Market]]))=TRUE,"Y","N")</f>
        <v>N</v>
      </c>
      <c r="N529" t="str">
        <f>VLOOKUP(CONCATENATE(Broadcast_BASE[[#This Row],[Broadcast Market]],Broadcast_BASE[[#This Row],[Broadcaster]]),Table1[[CC]:[Pay TV vs. Free-to-Air]],3,FALSE)</f>
        <v>Digital</v>
      </c>
      <c r="O529" s="1" t="str">
        <f>VLOOKUP(CONCATENATE(Broadcast_BASE[[#This Row],[Broadcast Market]],Broadcast_BASE[[#This Row],[Broadcaster]]),Table1[[CC]:[Pay TV vs. Free-to-Air]],2,FALSE)</f>
        <v>-</v>
      </c>
      <c r="P529" s="234">
        <f>Broadcast_BASE[[#This Row],[Rolex EXP]]*86400</f>
        <v>512.46816893099992</v>
      </c>
      <c r="Q529" s="235" t="str">
        <f>IF(Broadcast_BASE[[#This Row],[Dashboard Rated?]]="No","N","Y")</f>
        <v>Y</v>
      </c>
      <c r="R529" s="236"/>
      <c r="S529" s="236"/>
    </row>
    <row r="530" spans="1:19" x14ac:dyDescent="0.25">
      <c r="A530" s="72" t="e">
        <f>#REF!</f>
        <v>#REF!</v>
      </c>
      <c r="B530" t="s">
        <v>45</v>
      </c>
      <c r="C530" t="s">
        <v>45</v>
      </c>
      <c r="D530" t="s">
        <v>1642</v>
      </c>
      <c r="E530" s="102">
        <v>3.0236111111111108</v>
      </c>
      <c r="F530" s="101">
        <v>163566.13302953503</v>
      </c>
      <c r="G530" s="102">
        <v>0.24570783853900691</v>
      </c>
      <c r="H530" s="101">
        <v>11350.313349335569</v>
      </c>
      <c r="I530" s="101">
        <v>3193.9442243859203</v>
      </c>
      <c r="J530" s="101"/>
      <c r="K530" s="233" t="str">
        <f>VLOOKUP(Broadcast_BASE[[#This Row],[Broadcast Market]],Continent_Look_Up[],2,FALSE)</f>
        <v>Digital</v>
      </c>
      <c r="L530" t="str">
        <f>IF(OR(Broadcast_BASE[[#This Row],[Broadcast Continent]]="Digital",Broadcast_BASE[[#This Row],[Programme Type]]="Digital"),"Y","N")</f>
        <v>Y</v>
      </c>
      <c r="M530" s="4" t="str">
        <f>IF(ISNUMBER(SEARCH("Pan ",Broadcast_BASE[[#This Row],[Broadcast Market]]))=TRUE,"Y","N")</f>
        <v>N</v>
      </c>
      <c r="N530" t="str">
        <f>VLOOKUP(CONCATENATE(Broadcast_BASE[[#This Row],[Broadcast Market]],Broadcast_BASE[[#This Row],[Broadcaster]]),Table1[[CC]:[Pay TV vs. Free-to-Air]],3,FALSE)</f>
        <v>Digital</v>
      </c>
      <c r="O530" s="1" t="str">
        <f>VLOOKUP(CONCATENATE(Broadcast_BASE[[#This Row],[Broadcast Market]],Broadcast_BASE[[#This Row],[Broadcaster]]),Table1[[CC]:[Pay TV vs. Free-to-Air]],2,FALSE)</f>
        <v>-</v>
      </c>
      <c r="P530" s="234">
        <f>Broadcast_BASE[[#This Row],[Rolex EXP]]*86400</f>
        <v>21229.157249770196</v>
      </c>
      <c r="Q530" s="235" t="str">
        <f>IF(Broadcast_BASE[[#This Row],[Dashboard Rated?]]="No","N","Y")</f>
        <v>Y</v>
      </c>
      <c r="R530" s="236"/>
      <c r="S530" s="236"/>
    </row>
    <row r="531" spans="1:19" x14ac:dyDescent="0.25">
      <c r="A531" s="72" t="e">
        <f>#REF!</f>
        <v>#REF!</v>
      </c>
      <c r="B531" t="s">
        <v>45</v>
      </c>
      <c r="C531" t="s">
        <v>45</v>
      </c>
      <c r="D531" t="s">
        <v>1643</v>
      </c>
      <c r="E531" s="102">
        <v>4.5368055555555555</v>
      </c>
      <c r="F531" s="101">
        <v>410416.21981563035</v>
      </c>
      <c r="G531" s="102">
        <v>0.37192485825731558</v>
      </c>
      <c r="H531" s="101">
        <v>115050.43776026162</v>
      </c>
      <c r="I531" s="101">
        <v>32169.459998414608</v>
      </c>
      <c r="J531" s="101"/>
      <c r="K531" s="233" t="str">
        <f>VLOOKUP(Broadcast_BASE[[#This Row],[Broadcast Market]],Continent_Look_Up[],2,FALSE)</f>
        <v>Digital</v>
      </c>
      <c r="L531" t="str">
        <f>IF(OR(Broadcast_BASE[[#This Row],[Broadcast Continent]]="Digital",Broadcast_BASE[[#This Row],[Programme Type]]="Digital"),"Y","N")</f>
        <v>Y</v>
      </c>
      <c r="M531" s="4" t="str">
        <f>IF(ISNUMBER(SEARCH("Pan ",Broadcast_BASE[[#This Row],[Broadcast Market]]))=TRUE,"Y","N")</f>
        <v>N</v>
      </c>
      <c r="N531" t="str">
        <f>VLOOKUP(CONCATENATE(Broadcast_BASE[[#This Row],[Broadcast Market]],Broadcast_BASE[[#This Row],[Broadcaster]]),Table1[[CC]:[Pay TV vs. Free-to-Air]],3,FALSE)</f>
        <v>Digital</v>
      </c>
      <c r="O531" s="1" t="str">
        <f>VLOOKUP(CONCATENATE(Broadcast_BASE[[#This Row],[Broadcast Market]],Broadcast_BASE[[#This Row],[Broadcaster]]),Table1[[CC]:[Pay TV vs. Free-to-Air]],2,FALSE)</f>
        <v>-</v>
      </c>
      <c r="P531" s="234">
        <f>Broadcast_BASE[[#This Row],[Rolex EXP]]*86400</f>
        <v>32134.307753432066</v>
      </c>
      <c r="Q531" s="235" t="str">
        <f>IF(Broadcast_BASE[[#This Row],[Dashboard Rated?]]="No","N","Y")</f>
        <v>Y</v>
      </c>
      <c r="R531" s="236"/>
      <c r="S531" s="236"/>
    </row>
    <row r="532" spans="1:19" x14ac:dyDescent="0.25">
      <c r="A532" s="72" t="e">
        <f>#REF!</f>
        <v>#REF!</v>
      </c>
      <c r="B532" t="s">
        <v>45</v>
      </c>
      <c r="C532" t="s">
        <v>45</v>
      </c>
      <c r="D532" t="s">
        <v>1644</v>
      </c>
      <c r="E532" s="102">
        <v>6.1923611111111114</v>
      </c>
      <c r="F532" s="101">
        <v>90211.874218215205</v>
      </c>
      <c r="G532" s="102">
        <v>0.51105963648822705</v>
      </c>
      <c r="H532" s="101">
        <v>26893.490622179514</v>
      </c>
      <c r="I532" s="101">
        <v>7571.7329977194167</v>
      </c>
      <c r="J532" s="101"/>
      <c r="K532" s="233" t="str">
        <f>VLOOKUP(Broadcast_BASE[[#This Row],[Broadcast Market]],Continent_Look_Up[],2,FALSE)</f>
        <v>Digital</v>
      </c>
      <c r="L532" t="str">
        <f>IF(OR(Broadcast_BASE[[#This Row],[Broadcast Continent]]="Digital",Broadcast_BASE[[#This Row],[Programme Type]]="Digital"),"Y","N")</f>
        <v>Y</v>
      </c>
      <c r="M532" s="4" t="str">
        <f>IF(ISNUMBER(SEARCH("Pan ",Broadcast_BASE[[#This Row],[Broadcast Market]]))=TRUE,"Y","N")</f>
        <v>N</v>
      </c>
      <c r="N532" t="str">
        <f>VLOOKUP(CONCATENATE(Broadcast_BASE[[#This Row],[Broadcast Market]],Broadcast_BASE[[#This Row],[Broadcaster]]),Table1[[CC]:[Pay TV vs. Free-to-Air]],3,FALSE)</f>
        <v>Digital</v>
      </c>
      <c r="O532" s="1" t="str">
        <f>VLOOKUP(CONCATENATE(Broadcast_BASE[[#This Row],[Broadcast Market]],Broadcast_BASE[[#This Row],[Broadcaster]]),Table1[[CC]:[Pay TV vs. Free-to-Air]],2,FALSE)</f>
        <v>-</v>
      </c>
      <c r="P532" s="234">
        <f>Broadcast_BASE[[#This Row],[Rolex EXP]]*86400</f>
        <v>44155.552592582819</v>
      </c>
      <c r="Q532" s="235" t="str">
        <f>IF(Broadcast_BASE[[#This Row],[Dashboard Rated?]]="No","N","Y")</f>
        <v>Y</v>
      </c>
      <c r="R532" s="236"/>
      <c r="S532" s="236"/>
    </row>
    <row r="533" spans="1:19" x14ac:dyDescent="0.25">
      <c r="A533" s="72" t="e">
        <f>#REF!</f>
        <v>#REF!</v>
      </c>
      <c r="B533" t="s">
        <v>45</v>
      </c>
      <c r="C533" t="s">
        <v>45</v>
      </c>
      <c r="D533" t="s">
        <v>1642</v>
      </c>
      <c r="E533" s="102">
        <v>0.95833333333333337</v>
      </c>
      <c r="F533" s="101">
        <v>46249.630466520852</v>
      </c>
      <c r="G533" s="102">
        <v>8.9012442273201833E-2</v>
      </c>
      <c r="H533" s="101">
        <v>3536.9904626748607</v>
      </c>
      <c r="I533" s="101">
        <v>1036.5799483478138</v>
      </c>
      <c r="J533" s="101"/>
      <c r="K533" s="233" t="str">
        <f>VLOOKUP(Broadcast_BASE[[#This Row],[Broadcast Market]],Continent_Look_Up[],2,FALSE)</f>
        <v>Digital</v>
      </c>
      <c r="L533" t="str">
        <f>IF(OR(Broadcast_BASE[[#This Row],[Broadcast Continent]]="Digital",Broadcast_BASE[[#This Row],[Programme Type]]="Digital"),"Y","N")</f>
        <v>Y</v>
      </c>
      <c r="M533" s="4" t="str">
        <f>IF(ISNUMBER(SEARCH("Pan ",Broadcast_BASE[[#This Row],[Broadcast Market]]))=TRUE,"Y","N")</f>
        <v>N</v>
      </c>
      <c r="N533" t="str">
        <f>VLOOKUP(CONCATENATE(Broadcast_BASE[[#This Row],[Broadcast Market]],Broadcast_BASE[[#This Row],[Broadcaster]]),Table1[[CC]:[Pay TV vs. Free-to-Air]],3,FALSE)</f>
        <v>Digital</v>
      </c>
      <c r="O533" s="1" t="str">
        <f>VLOOKUP(CONCATENATE(Broadcast_BASE[[#This Row],[Broadcast Market]],Broadcast_BASE[[#This Row],[Broadcaster]]),Table1[[CC]:[Pay TV vs. Free-to-Air]],2,FALSE)</f>
        <v>-</v>
      </c>
      <c r="P533" s="234">
        <f>Broadcast_BASE[[#This Row],[Rolex EXP]]*86400</f>
        <v>7690.6750124046384</v>
      </c>
      <c r="Q533" s="235" t="str">
        <f>IF(Broadcast_BASE[[#This Row],[Dashboard Rated?]]="No","N","Y")</f>
        <v>Y</v>
      </c>
      <c r="R533" s="236"/>
      <c r="S533" s="236"/>
    </row>
    <row r="534" spans="1:19" x14ac:dyDescent="0.25">
      <c r="A534" s="72" t="e">
        <f>#REF!</f>
        <v>#REF!</v>
      </c>
      <c r="B534" t="s">
        <v>45</v>
      </c>
      <c r="C534" t="s">
        <v>45</v>
      </c>
      <c r="D534" t="s">
        <v>1643</v>
      </c>
      <c r="E534" s="102">
        <v>3.28125</v>
      </c>
      <c r="F534" s="101">
        <v>312861.07902352221</v>
      </c>
      <c r="G534" s="102">
        <v>0.30808446918820026</v>
      </c>
      <c r="H534" s="101">
        <v>94174.659089347086</v>
      </c>
      <c r="I534" s="101">
        <v>29138.032208763543</v>
      </c>
      <c r="J534" s="101"/>
      <c r="K534" s="233" t="str">
        <f>VLOOKUP(Broadcast_BASE[[#This Row],[Broadcast Market]],Continent_Look_Up[],2,FALSE)</f>
        <v>Digital</v>
      </c>
      <c r="L534" t="str">
        <f>IF(OR(Broadcast_BASE[[#This Row],[Broadcast Continent]]="Digital",Broadcast_BASE[[#This Row],[Programme Type]]="Digital"),"Y","N")</f>
        <v>Y</v>
      </c>
      <c r="M534" s="4" t="str">
        <f>IF(ISNUMBER(SEARCH("Pan ",Broadcast_BASE[[#This Row],[Broadcast Market]]))=TRUE,"Y","N")</f>
        <v>N</v>
      </c>
      <c r="N534" t="str">
        <f>VLOOKUP(CONCATENATE(Broadcast_BASE[[#This Row],[Broadcast Market]],Broadcast_BASE[[#This Row],[Broadcaster]]),Table1[[CC]:[Pay TV vs. Free-to-Air]],3,FALSE)</f>
        <v>Digital</v>
      </c>
      <c r="O534" s="1" t="str">
        <f>VLOOKUP(CONCATENATE(Broadcast_BASE[[#This Row],[Broadcast Market]],Broadcast_BASE[[#This Row],[Broadcaster]]),Table1[[CC]:[Pay TV vs. Free-to-Air]],2,FALSE)</f>
        <v>-</v>
      </c>
      <c r="P534" s="234">
        <f>Broadcast_BASE[[#This Row],[Rolex EXP]]*86400</f>
        <v>26618.498137860501</v>
      </c>
      <c r="Q534" s="235" t="str">
        <f>IF(Broadcast_BASE[[#This Row],[Dashboard Rated?]]="No","N","Y")</f>
        <v>Y</v>
      </c>
      <c r="R534" s="236"/>
      <c r="S534" s="236"/>
    </row>
    <row r="535" spans="1:19" x14ac:dyDescent="0.25">
      <c r="A535" s="72" t="e">
        <f>#REF!</f>
        <v>#REF!</v>
      </c>
      <c r="B535" t="s">
        <v>45</v>
      </c>
      <c r="C535" t="s">
        <v>45</v>
      </c>
      <c r="D535" t="s">
        <v>1644</v>
      </c>
      <c r="E535" s="102">
        <v>3.8826388888888892</v>
      </c>
      <c r="F535" s="101">
        <v>54602.239358734652</v>
      </c>
      <c r="G535" s="102">
        <v>0.34602021181897746</v>
      </c>
      <c r="H535" s="101">
        <v>17905.096874081624</v>
      </c>
      <c r="I535" s="101">
        <v>5495.4690827215882</v>
      </c>
      <c r="J535" s="101"/>
      <c r="K535" s="233" t="str">
        <f>VLOOKUP(Broadcast_BASE[[#This Row],[Broadcast Market]],Continent_Look_Up[],2,FALSE)</f>
        <v>Digital</v>
      </c>
      <c r="L535" t="str">
        <f>IF(OR(Broadcast_BASE[[#This Row],[Broadcast Continent]]="Digital",Broadcast_BASE[[#This Row],[Programme Type]]="Digital"),"Y","N")</f>
        <v>Y</v>
      </c>
      <c r="M535" s="4" t="str">
        <f>IF(ISNUMBER(SEARCH("Pan ",Broadcast_BASE[[#This Row],[Broadcast Market]]))=TRUE,"Y","N")</f>
        <v>N</v>
      </c>
      <c r="N535" t="str">
        <f>VLOOKUP(CONCATENATE(Broadcast_BASE[[#This Row],[Broadcast Market]],Broadcast_BASE[[#This Row],[Broadcaster]]),Table1[[CC]:[Pay TV vs. Free-to-Air]],3,FALSE)</f>
        <v>Digital</v>
      </c>
      <c r="O535" s="1" t="str">
        <f>VLOOKUP(CONCATENATE(Broadcast_BASE[[#This Row],[Broadcast Market]],Broadcast_BASE[[#This Row],[Broadcaster]]),Table1[[CC]:[Pay TV vs. Free-to-Air]],2,FALSE)</f>
        <v>-</v>
      </c>
      <c r="P535" s="234">
        <f>Broadcast_BASE[[#This Row],[Rolex EXP]]*86400</f>
        <v>29896.146301159653</v>
      </c>
      <c r="Q535" s="235" t="str">
        <f>IF(Broadcast_BASE[[#This Row],[Dashboard Rated?]]="No","N","Y")</f>
        <v>Y</v>
      </c>
      <c r="R535" s="236"/>
      <c r="S535" s="236"/>
    </row>
    <row r="536" spans="1:19" x14ac:dyDescent="0.25">
      <c r="A536" s="72" t="e">
        <f>#REF!</f>
        <v>#REF!</v>
      </c>
      <c r="B536" t="s">
        <v>45</v>
      </c>
      <c r="C536" t="s">
        <v>45</v>
      </c>
      <c r="D536" t="s">
        <v>1642</v>
      </c>
      <c r="E536" s="102">
        <v>4.1666666666666664E-2</v>
      </c>
      <c r="F536" s="101">
        <v>985.91101895153599</v>
      </c>
      <c r="G536" s="102">
        <v>4.6139359698681793E-3</v>
      </c>
      <c r="H536" s="101">
        <v>181.06033815831037</v>
      </c>
      <c r="I536" s="101">
        <v>55.999760307435963</v>
      </c>
      <c r="J536" s="101"/>
      <c r="K536" s="233" t="str">
        <f>VLOOKUP(Broadcast_BASE[[#This Row],[Broadcast Market]],Continent_Look_Up[],2,FALSE)</f>
        <v>Digital</v>
      </c>
      <c r="L536" t="str">
        <f>IF(OR(Broadcast_BASE[[#This Row],[Broadcast Continent]]="Digital",Broadcast_BASE[[#This Row],[Programme Type]]="Digital"),"Y","N")</f>
        <v>Y</v>
      </c>
      <c r="M536" s="4" t="str">
        <f>IF(ISNUMBER(SEARCH("Pan ",Broadcast_BASE[[#This Row],[Broadcast Market]]))=TRUE,"Y","N")</f>
        <v>N</v>
      </c>
      <c r="N536" t="str">
        <f>VLOOKUP(CONCATENATE(Broadcast_BASE[[#This Row],[Broadcast Market]],Broadcast_BASE[[#This Row],[Broadcaster]]),Table1[[CC]:[Pay TV vs. Free-to-Air]],3,FALSE)</f>
        <v>Digital</v>
      </c>
      <c r="O536" s="1" t="str">
        <f>VLOOKUP(CONCATENATE(Broadcast_BASE[[#This Row],[Broadcast Market]],Broadcast_BASE[[#This Row],[Broadcaster]]),Table1[[CC]:[Pay TV vs. Free-to-Air]],2,FALSE)</f>
        <v>-</v>
      </c>
      <c r="P536" s="234">
        <f>Broadcast_BASE[[#This Row],[Rolex EXP]]*86400</f>
        <v>398.64406779661067</v>
      </c>
      <c r="Q536" s="235" t="str">
        <f>IF(Broadcast_BASE[[#This Row],[Dashboard Rated?]]="No","N","Y")</f>
        <v>Y</v>
      </c>
      <c r="R536" s="236"/>
      <c r="S536" s="236"/>
    </row>
    <row r="537" spans="1:19" x14ac:dyDescent="0.25">
      <c r="A537" s="72" t="e">
        <f>#REF!</f>
        <v>#REF!</v>
      </c>
      <c r="B537" t="s">
        <v>45</v>
      </c>
      <c r="C537" t="s">
        <v>45</v>
      </c>
      <c r="D537" t="s">
        <v>1643</v>
      </c>
      <c r="E537" s="102">
        <v>2.6354166666666665</v>
      </c>
      <c r="F537" s="101">
        <v>235763.41224926666</v>
      </c>
      <c r="G537" s="102">
        <v>0.15910608003842594</v>
      </c>
      <c r="H537" s="101">
        <v>49987.267877609418</v>
      </c>
      <c r="I537" s="101">
        <v>14766.003431645197</v>
      </c>
      <c r="J537" s="101"/>
      <c r="K537" s="233" t="str">
        <f>VLOOKUP(Broadcast_BASE[[#This Row],[Broadcast Market]],Continent_Look_Up[],2,FALSE)</f>
        <v>Digital</v>
      </c>
      <c r="L537" t="str">
        <f>IF(OR(Broadcast_BASE[[#This Row],[Broadcast Continent]]="Digital",Broadcast_BASE[[#This Row],[Programme Type]]="Digital"),"Y","N")</f>
        <v>Y</v>
      </c>
      <c r="M537" s="4" t="str">
        <f>IF(ISNUMBER(SEARCH("Pan ",Broadcast_BASE[[#This Row],[Broadcast Market]]))=TRUE,"Y","N")</f>
        <v>N</v>
      </c>
      <c r="N537" t="str">
        <f>VLOOKUP(CONCATENATE(Broadcast_BASE[[#This Row],[Broadcast Market]],Broadcast_BASE[[#This Row],[Broadcaster]]),Table1[[CC]:[Pay TV vs. Free-to-Air]],3,FALSE)</f>
        <v>Digital</v>
      </c>
      <c r="O537" s="1" t="str">
        <f>VLOOKUP(CONCATENATE(Broadcast_BASE[[#This Row],[Broadcast Market]],Broadcast_BASE[[#This Row],[Broadcaster]]),Table1[[CC]:[Pay TV vs. Free-to-Air]],2,FALSE)</f>
        <v>-</v>
      </c>
      <c r="P537" s="234">
        <f>Broadcast_BASE[[#This Row],[Rolex EXP]]*86400</f>
        <v>13746.765315320001</v>
      </c>
      <c r="Q537" s="235" t="str">
        <f>IF(Broadcast_BASE[[#This Row],[Dashboard Rated?]]="No","N","Y")</f>
        <v>Y</v>
      </c>
      <c r="R537" s="236"/>
      <c r="S537" s="236"/>
    </row>
    <row r="538" spans="1:19" x14ac:dyDescent="0.25">
      <c r="A538" s="72" t="e">
        <f>#REF!</f>
        <v>#REF!</v>
      </c>
      <c r="B538" t="s">
        <v>45</v>
      </c>
      <c r="C538" t="s">
        <v>45</v>
      </c>
      <c r="D538" t="s">
        <v>1644</v>
      </c>
      <c r="E538" s="102">
        <v>2.4027777777777777</v>
      </c>
      <c r="F538" s="101">
        <v>35101.439587757988</v>
      </c>
      <c r="G538" s="102">
        <v>0.16932578525601394</v>
      </c>
      <c r="H538" s="101">
        <v>8761.9002726782128</v>
      </c>
      <c r="I538" s="101">
        <v>2554.8542288111266</v>
      </c>
      <c r="J538" s="101"/>
      <c r="K538" s="233" t="str">
        <f>VLOOKUP(Broadcast_BASE[[#This Row],[Broadcast Market]],Continent_Look_Up[],2,FALSE)</f>
        <v>Digital</v>
      </c>
      <c r="L538" t="str">
        <f>IF(OR(Broadcast_BASE[[#This Row],[Broadcast Continent]]="Digital",Broadcast_BASE[[#This Row],[Programme Type]]="Digital"),"Y","N")</f>
        <v>Y</v>
      </c>
      <c r="M538" s="4" t="str">
        <f>IF(ISNUMBER(SEARCH("Pan ",Broadcast_BASE[[#This Row],[Broadcast Market]]))=TRUE,"Y","N")</f>
        <v>N</v>
      </c>
      <c r="N538" t="str">
        <f>VLOOKUP(CONCATENATE(Broadcast_BASE[[#This Row],[Broadcast Market]],Broadcast_BASE[[#This Row],[Broadcaster]]),Table1[[CC]:[Pay TV vs. Free-to-Air]],3,FALSE)</f>
        <v>Digital</v>
      </c>
      <c r="O538" s="1" t="str">
        <f>VLOOKUP(CONCATENATE(Broadcast_BASE[[#This Row],[Broadcast Market]],Broadcast_BASE[[#This Row],[Broadcaster]]),Table1[[CC]:[Pay TV vs. Free-to-Air]],2,FALSE)</f>
        <v>-</v>
      </c>
      <c r="P538" s="234">
        <f>Broadcast_BASE[[#This Row],[Rolex EXP]]*86400</f>
        <v>14629.747846119604</v>
      </c>
      <c r="Q538" s="235" t="str">
        <f>IF(Broadcast_BASE[[#This Row],[Dashboard Rated?]]="No","N","Y")</f>
        <v>Y</v>
      </c>
      <c r="R538" s="236"/>
      <c r="S538" s="236"/>
    </row>
    <row r="539" spans="1:19" x14ac:dyDescent="0.25">
      <c r="A539" s="72" t="e">
        <f>#REF!</f>
        <v>#REF!</v>
      </c>
      <c r="B539" t="s">
        <v>45</v>
      </c>
      <c r="C539" t="s">
        <v>45</v>
      </c>
      <c r="D539" t="s">
        <v>1642</v>
      </c>
      <c r="E539" s="102">
        <v>0.10413194444444444</v>
      </c>
      <c r="F539" s="101">
        <v>860.25361854523908</v>
      </c>
      <c r="G539" s="102">
        <v>7.8966015824072679E-3</v>
      </c>
      <c r="H539" s="101">
        <v>92.561878451266182</v>
      </c>
      <c r="I539" s="101">
        <v>26.836247062509418</v>
      </c>
      <c r="J539" s="101"/>
      <c r="K539" s="233" t="str">
        <f>VLOOKUP(Broadcast_BASE[[#This Row],[Broadcast Market]],Continent_Look_Up[],2,FALSE)</f>
        <v>Digital</v>
      </c>
      <c r="L539" t="str">
        <f>IF(OR(Broadcast_BASE[[#This Row],[Broadcast Continent]]="Digital",Broadcast_BASE[[#This Row],[Programme Type]]="Digital"),"Y","N")</f>
        <v>Y</v>
      </c>
      <c r="M539" s="4" t="str">
        <f>IF(ISNUMBER(SEARCH("Pan ",Broadcast_BASE[[#This Row],[Broadcast Market]]))=TRUE,"Y","N")</f>
        <v>N</v>
      </c>
      <c r="N539" t="str">
        <f>VLOOKUP(CONCATENATE(Broadcast_BASE[[#This Row],[Broadcast Market]],Broadcast_BASE[[#This Row],[Broadcaster]]),Table1[[CC]:[Pay TV vs. Free-to-Air]],3,FALSE)</f>
        <v>Digital</v>
      </c>
      <c r="O539" s="1" t="str">
        <f>VLOOKUP(CONCATENATE(Broadcast_BASE[[#This Row],[Broadcast Market]],Broadcast_BASE[[#This Row],[Broadcaster]]),Table1[[CC]:[Pay TV vs. Free-to-Air]],2,FALSE)</f>
        <v>-</v>
      </c>
      <c r="P539" s="234">
        <f>Broadcast_BASE[[#This Row],[Rolex EXP]]*86400</f>
        <v>682.26637671998799</v>
      </c>
      <c r="Q539" s="235" t="str">
        <f>IF(Broadcast_BASE[[#This Row],[Dashboard Rated?]]="No","N","Y")</f>
        <v>Y</v>
      </c>
      <c r="R539" s="236"/>
      <c r="S539" s="236"/>
    </row>
    <row r="540" spans="1:19" x14ac:dyDescent="0.25">
      <c r="A540" s="72" t="e">
        <f>#REF!</f>
        <v>#REF!</v>
      </c>
      <c r="B540" t="s">
        <v>45</v>
      </c>
      <c r="C540" t="s">
        <v>45</v>
      </c>
      <c r="D540" t="s">
        <v>1643</v>
      </c>
      <c r="E540" s="102">
        <v>3.9679513888888889</v>
      </c>
      <c r="F540" s="101">
        <v>24319.940470402544</v>
      </c>
      <c r="G540" s="102">
        <v>0.25498135885443379</v>
      </c>
      <c r="H540" s="101">
        <v>10284.276405582023</v>
      </c>
      <c r="I540" s="101">
        <v>2863.6582691022327</v>
      </c>
      <c r="J540" s="101"/>
      <c r="K540" s="233" t="str">
        <f>VLOOKUP(Broadcast_BASE[[#This Row],[Broadcast Market]],Continent_Look_Up[],2,FALSE)</f>
        <v>Digital</v>
      </c>
      <c r="L540" t="str">
        <f>IF(OR(Broadcast_BASE[[#This Row],[Broadcast Continent]]="Digital",Broadcast_BASE[[#This Row],[Programme Type]]="Digital"),"Y","N")</f>
        <v>Y</v>
      </c>
      <c r="M540" s="4" t="str">
        <f>IF(ISNUMBER(SEARCH("Pan ",Broadcast_BASE[[#This Row],[Broadcast Market]]))=TRUE,"Y","N")</f>
        <v>N</v>
      </c>
      <c r="N540" t="str">
        <f>VLOOKUP(CONCATENATE(Broadcast_BASE[[#This Row],[Broadcast Market]],Broadcast_BASE[[#This Row],[Broadcaster]]),Table1[[CC]:[Pay TV vs. Free-to-Air]],3,FALSE)</f>
        <v>Digital</v>
      </c>
      <c r="O540" s="1" t="str">
        <f>VLOOKUP(CONCATENATE(Broadcast_BASE[[#This Row],[Broadcast Market]],Broadcast_BASE[[#This Row],[Broadcaster]]),Table1[[CC]:[Pay TV vs. Free-to-Air]],2,FALSE)</f>
        <v>-</v>
      </c>
      <c r="P540" s="234">
        <f>Broadcast_BASE[[#This Row],[Rolex EXP]]*86400</f>
        <v>22030.389405023081</v>
      </c>
      <c r="Q540" s="235" t="str">
        <f>IF(Broadcast_BASE[[#This Row],[Dashboard Rated?]]="No","N","Y")</f>
        <v>Y</v>
      </c>
      <c r="R540" s="236"/>
      <c r="S540" s="236"/>
    </row>
    <row r="541" spans="1:19" x14ac:dyDescent="0.25">
      <c r="A541" s="72" t="e">
        <f>#REF!</f>
        <v>#REF!</v>
      </c>
      <c r="B541" t="s">
        <v>45</v>
      </c>
      <c r="C541" t="s">
        <v>45</v>
      </c>
      <c r="D541" t="s">
        <v>1644</v>
      </c>
      <c r="E541" s="102">
        <v>3.788148148148148</v>
      </c>
      <c r="F541" s="101">
        <v>9629.4170413724751</v>
      </c>
      <c r="G541" s="102">
        <v>0.25710537979214287</v>
      </c>
      <c r="H541" s="101">
        <v>3221.5254455613444</v>
      </c>
      <c r="I541" s="101">
        <v>906.28643153620112</v>
      </c>
      <c r="J541" s="101"/>
      <c r="K541" s="233" t="str">
        <f>VLOOKUP(Broadcast_BASE[[#This Row],[Broadcast Market]],Continent_Look_Up[],2,FALSE)</f>
        <v>Digital</v>
      </c>
      <c r="L541" t="str">
        <f>IF(OR(Broadcast_BASE[[#This Row],[Broadcast Continent]]="Digital",Broadcast_BASE[[#This Row],[Programme Type]]="Digital"),"Y","N")</f>
        <v>Y</v>
      </c>
      <c r="M541" s="4" t="str">
        <f>IF(ISNUMBER(SEARCH("Pan ",Broadcast_BASE[[#This Row],[Broadcast Market]]))=TRUE,"Y","N")</f>
        <v>N</v>
      </c>
      <c r="N541" t="str">
        <f>VLOOKUP(CONCATENATE(Broadcast_BASE[[#This Row],[Broadcast Market]],Broadcast_BASE[[#This Row],[Broadcaster]]),Table1[[CC]:[Pay TV vs. Free-to-Air]],3,FALSE)</f>
        <v>Digital</v>
      </c>
      <c r="O541" s="1" t="str">
        <f>VLOOKUP(CONCATENATE(Broadcast_BASE[[#This Row],[Broadcast Market]],Broadcast_BASE[[#This Row],[Broadcaster]]),Table1[[CC]:[Pay TV vs. Free-to-Air]],2,FALSE)</f>
        <v>-</v>
      </c>
      <c r="P541" s="234">
        <f>Broadcast_BASE[[#This Row],[Rolex EXP]]*86400</f>
        <v>22213.904814041143</v>
      </c>
      <c r="Q541" s="235" t="str">
        <f>IF(Broadcast_BASE[[#This Row],[Dashboard Rated?]]="No","N","Y")</f>
        <v>Y</v>
      </c>
      <c r="R541" s="236"/>
      <c r="S541" s="236"/>
    </row>
    <row r="542" spans="1:19" x14ac:dyDescent="0.25">
      <c r="A542" s="72" t="e">
        <f>#REF!</f>
        <v>#REF!</v>
      </c>
      <c r="B542" t="s">
        <v>45</v>
      </c>
      <c r="C542" t="s">
        <v>45</v>
      </c>
      <c r="D542" t="s">
        <v>1644</v>
      </c>
      <c r="E542" s="102">
        <v>0.41666666666666669</v>
      </c>
      <c r="F542" s="101">
        <v>1003.5155217129641</v>
      </c>
      <c r="G542" s="102">
        <v>2.276359673466527E-2</v>
      </c>
      <c r="H542" s="101">
        <v>227.31025523448398</v>
      </c>
      <c r="I542" s="101">
        <v>63.718749678944562</v>
      </c>
      <c r="J542" s="101"/>
      <c r="K542" s="233" t="str">
        <f>VLOOKUP(Broadcast_BASE[[#This Row],[Broadcast Market]],Continent_Look_Up[],2,FALSE)</f>
        <v>Digital</v>
      </c>
      <c r="L542" t="str">
        <f>IF(OR(Broadcast_BASE[[#This Row],[Broadcast Continent]]="Digital",Broadcast_BASE[[#This Row],[Programme Type]]="Digital"),"Y","N")</f>
        <v>Y</v>
      </c>
      <c r="M542" s="4" t="str">
        <f>IF(ISNUMBER(SEARCH("Pan ",Broadcast_BASE[[#This Row],[Broadcast Market]]))=TRUE,"Y","N")</f>
        <v>N</v>
      </c>
      <c r="N542" t="str">
        <f>VLOOKUP(CONCATENATE(Broadcast_BASE[[#This Row],[Broadcast Market]],Broadcast_BASE[[#This Row],[Broadcaster]]),Table1[[CC]:[Pay TV vs. Free-to-Air]],3,FALSE)</f>
        <v>Digital</v>
      </c>
      <c r="O542" s="1" t="str">
        <f>VLOOKUP(CONCATENATE(Broadcast_BASE[[#This Row],[Broadcast Market]],Broadcast_BASE[[#This Row],[Broadcaster]]),Table1[[CC]:[Pay TV vs. Free-to-Air]],2,FALSE)</f>
        <v>-</v>
      </c>
      <c r="P542" s="234">
        <f>Broadcast_BASE[[#This Row],[Rolex EXP]]*86400</f>
        <v>1966.7747578750793</v>
      </c>
      <c r="Q542" s="235" t="str">
        <f>IF(Broadcast_BASE[[#This Row],[Dashboard Rated?]]="No","N","Y")</f>
        <v>Y</v>
      </c>
      <c r="R542" s="236"/>
      <c r="S542" s="236"/>
    </row>
    <row r="543" spans="1:19" x14ac:dyDescent="0.25">
      <c r="A543" s="72" t="e">
        <f>#REF!</f>
        <v>#REF!</v>
      </c>
      <c r="B543" t="s">
        <v>45</v>
      </c>
      <c r="C543" t="s">
        <v>45</v>
      </c>
      <c r="D543" t="s">
        <v>1642</v>
      </c>
      <c r="E543" s="102">
        <v>2.4018171296296296</v>
      </c>
      <c r="F543" s="101">
        <v>34125.686193633039</v>
      </c>
      <c r="G543" s="102">
        <v>0.15472339835733287</v>
      </c>
      <c r="H543" s="101">
        <v>2957.4963439116327</v>
      </c>
      <c r="I543" s="101">
        <v>838.83688288229484</v>
      </c>
      <c r="J543" s="101"/>
      <c r="K543" s="233" t="str">
        <f>VLOOKUP(Broadcast_BASE[[#This Row],[Broadcast Market]],Continent_Look_Up[],2,FALSE)</f>
        <v>Digital</v>
      </c>
      <c r="L543" t="str">
        <f>IF(OR(Broadcast_BASE[[#This Row],[Broadcast Continent]]="Digital",Broadcast_BASE[[#This Row],[Programme Type]]="Digital"),"Y","N")</f>
        <v>Y</v>
      </c>
      <c r="M543" s="4" t="str">
        <f>IF(ISNUMBER(SEARCH("Pan ",Broadcast_BASE[[#This Row],[Broadcast Market]]))=TRUE,"Y","N")</f>
        <v>N</v>
      </c>
      <c r="N543" t="str">
        <f>VLOOKUP(CONCATENATE(Broadcast_BASE[[#This Row],[Broadcast Market]],Broadcast_BASE[[#This Row],[Broadcaster]]),Table1[[CC]:[Pay TV vs. Free-to-Air]],3,FALSE)</f>
        <v>Digital</v>
      </c>
      <c r="O543" s="1" t="str">
        <f>VLOOKUP(CONCATENATE(Broadcast_BASE[[#This Row],[Broadcast Market]],Broadcast_BASE[[#This Row],[Broadcaster]]),Table1[[CC]:[Pay TV vs. Free-to-Air]],2,FALSE)</f>
        <v>-</v>
      </c>
      <c r="P543" s="234">
        <f>Broadcast_BASE[[#This Row],[Rolex EXP]]*86400</f>
        <v>13368.101618073561</v>
      </c>
      <c r="Q543" s="235" t="str">
        <f>IF(Broadcast_BASE[[#This Row],[Dashboard Rated?]]="No","N","Y")</f>
        <v>Y</v>
      </c>
      <c r="R543" s="236"/>
      <c r="S543" s="236"/>
    </row>
    <row r="544" spans="1:19" x14ac:dyDescent="0.25">
      <c r="A544" s="72" t="e">
        <f>#REF!</f>
        <v>#REF!</v>
      </c>
      <c r="B544" t="s">
        <v>45</v>
      </c>
      <c r="C544" t="s">
        <v>45</v>
      </c>
      <c r="D544" t="s">
        <v>1643</v>
      </c>
      <c r="E544" s="102">
        <v>2.686076388888889</v>
      </c>
      <c r="F544" s="101">
        <v>20083.872654105136</v>
      </c>
      <c r="G544" s="102">
        <v>0.16453531449511646</v>
      </c>
      <c r="H544" s="101">
        <v>12664.268964723478</v>
      </c>
      <c r="I544" s="101">
        <v>3516.0347461489855</v>
      </c>
      <c r="J544" s="101"/>
      <c r="K544" s="233" t="str">
        <f>VLOOKUP(Broadcast_BASE[[#This Row],[Broadcast Market]],Continent_Look_Up[],2,FALSE)</f>
        <v>Digital</v>
      </c>
      <c r="L544" t="str">
        <f>IF(OR(Broadcast_BASE[[#This Row],[Broadcast Continent]]="Digital",Broadcast_BASE[[#This Row],[Programme Type]]="Digital"),"Y","N")</f>
        <v>Y</v>
      </c>
      <c r="M544" s="4" t="str">
        <f>IF(ISNUMBER(SEARCH("Pan ",Broadcast_BASE[[#This Row],[Broadcast Market]]))=TRUE,"Y","N")</f>
        <v>N</v>
      </c>
      <c r="N544" t="str">
        <f>VLOOKUP(CONCATENATE(Broadcast_BASE[[#This Row],[Broadcast Market]],Broadcast_BASE[[#This Row],[Broadcaster]]),Table1[[CC]:[Pay TV vs. Free-to-Air]],3,FALSE)</f>
        <v>Digital</v>
      </c>
      <c r="O544" s="1" t="str">
        <f>VLOOKUP(CONCATENATE(Broadcast_BASE[[#This Row],[Broadcast Market]],Broadcast_BASE[[#This Row],[Broadcaster]]),Table1[[CC]:[Pay TV vs. Free-to-Air]],2,FALSE)</f>
        <v>-</v>
      </c>
      <c r="P544" s="234">
        <f>Broadcast_BASE[[#This Row],[Rolex EXP]]*86400</f>
        <v>14215.851172378063</v>
      </c>
      <c r="Q544" s="235" t="str">
        <f>IF(Broadcast_BASE[[#This Row],[Dashboard Rated?]]="No","N","Y")</f>
        <v>Y</v>
      </c>
      <c r="R544" s="236"/>
      <c r="S544" s="236"/>
    </row>
    <row r="545" spans="1:19" x14ac:dyDescent="0.25">
      <c r="A545" s="72" t="e">
        <f>#REF!</f>
        <v>#REF!</v>
      </c>
      <c r="B545" t="s">
        <v>45</v>
      </c>
      <c r="C545" t="s">
        <v>45</v>
      </c>
      <c r="D545" t="s">
        <v>1642</v>
      </c>
      <c r="E545" s="102">
        <v>1.0798611111111112</v>
      </c>
      <c r="F545" s="101">
        <v>4598.2840023935796</v>
      </c>
      <c r="G545" s="102">
        <v>6.3992154153874742E-2</v>
      </c>
      <c r="H545" s="101">
        <v>411.37118188246899</v>
      </c>
      <c r="I545" s="101">
        <v>116.5276749561019</v>
      </c>
      <c r="J545" s="101"/>
      <c r="K545" s="233" t="str">
        <f>VLOOKUP(Broadcast_BASE[[#This Row],[Broadcast Market]],Continent_Look_Up[],2,FALSE)</f>
        <v>Digital</v>
      </c>
      <c r="L545" t="str">
        <f>IF(OR(Broadcast_BASE[[#This Row],[Broadcast Continent]]="Digital",Broadcast_BASE[[#This Row],[Programme Type]]="Digital"),"Y","N")</f>
        <v>Y</v>
      </c>
      <c r="M545" s="4" t="str">
        <f>IF(ISNUMBER(SEARCH("Pan ",Broadcast_BASE[[#This Row],[Broadcast Market]]))=TRUE,"Y","N")</f>
        <v>N</v>
      </c>
      <c r="N545" t="str">
        <f>VLOOKUP(CONCATENATE(Broadcast_BASE[[#This Row],[Broadcast Market]],Broadcast_BASE[[#This Row],[Broadcaster]]),Table1[[CC]:[Pay TV vs. Free-to-Air]],3,FALSE)</f>
        <v>Digital</v>
      </c>
      <c r="O545" s="1" t="str">
        <f>VLOOKUP(CONCATENATE(Broadcast_BASE[[#This Row],[Broadcast Market]],Broadcast_BASE[[#This Row],[Broadcaster]]),Table1[[CC]:[Pay TV vs. Free-to-Air]],2,FALSE)</f>
        <v>-</v>
      </c>
      <c r="P545" s="234">
        <f>Broadcast_BASE[[#This Row],[Rolex EXP]]*86400</f>
        <v>5528.9221188947777</v>
      </c>
      <c r="Q545" s="235" t="str">
        <f>IF(Broadcast_BASE[[#This Row],[Dashboard Rated?]]="No","N","Y")</f>
        <v>Y</v>
      </c>
      <c r="R545" s="236"/>
      <c r="S545" s="236"/>
    </row>
    <row r="546" spans="1:19" x14ac:dyDescent="0.25">
      <c r="A546" s="72" t="e">
        <f>#REF!</f>
        <v>#REF!</v>
      </c>
      <c r="B546" t="s">
        <v>45</v>
      </c>
      <c r="C546" t="s">
        <v>45</v>
      </c>
      <c r="D546" t="s">
        <v>1643</v>
      </c>
      <c r="E546" s="102">
        <v>2.0486111111111112</v>
      </c>
      <c r="F546" s="101">
        <v>4562.3714810400907</v>
      </c>
      <c r="G546" s="102">
        <v>0.12548744884514887</v>
      </c>
      <c r="H546" s="101">
        <v>3576.4518651935859</v>
      </c>
      <c r="I546" s="101">
        <v>992.94551157888861</v>
      </c>
      <c r="J546" s="101"/>
      <c r="K546" s="233" t="str">
        <f>VLOOKUP(Broadcast_BASE[[#This Row],[Broadcast Market]],Continent_Look_Up[],2,FALSE)</f>
        <v>Digital</v>
      </c>
      <c r="L546" t="str">
        <f>IF(OR(Broadcast_BASE[[#This Row],[Broadcast Continent]]="Digital",Broadcast_BASE[[#This Row],[Programme Type]]="Digital"),"Y","N")</f>
        <v>Y</v>
      </c>
      <c r="M546" s="4" t="str">
        <f>IF(ISNUMBER(SEARCH("Pan ",Broadcast_BASE[[#This Row],[Broadcast Market]]))=TRUE,"Y","N")</f>
        <v>N</v>
      </c>
      <c r="N546" t="str">
        <f>VLOOKUP(CONCATENATE(Broadcast_BASE[[#This Row],[Broadcast Market]],Broadcast_BASE[[#This Row],[Broadcaster]]),Table1[[CC]:[Pay TV vs. Free-to-Air]],3,FALSE)</f>
        <v>Digital</v>
      </c>
      <c r="O546" s="1" t="str">
        <f>VLOOKUP(CONCATENATE(Broadcast_BASE[[#This Row],[Broadcast Market]],Broadcast_BASE[[#This Row],[Broadcaster]]),Table1[[CC]:[Pay TV vs. Free-to-Air]],2,FALSE)</f>
        <v>-</v>
      </c>
      <c r="P546" s="234">
        <f>Broadcast_BASE[[#This Row],[Rolex EXP]]*86400</f>
        <v>10842.115580220861</v>
      </c>
      <c r="Q546" s="235" t="str">
        <f>IF(Broadcast_BASE[[#This Row],[Dashboard Rated?]]="No","N","Y")</f>
        <v>Y</v>
      </c>
      <c r="R546" s="236"/>
      <c r="S546" s="236"/>
    </row>
    <row r="547" spans="1:19" x14ac:dyDescent="0.25">
      <c r="A547" s="72" t="e">
        <f>#REF!</f>
        <v>#REF!</v>
      </c>
      <c r="B547" t="s">
        <v>45</v>
      </c>
      <c r="C547" t="s">
        <v>45</v>
      </c>
      <c r="D547" t="s">
        <v>1643</v>
      </c>
      <c r="E547" s="102">
        <v>2.5416666666666665</v>
      </c>
      <c r="F547" s="101">
        <v>4836.1379702551349</v>
      </c>
      <c r="G547" s="102">
        <v>0.15568951280448978</v>
      </c>
      <c r="H547" s="101">
        <v>4702.580563431623</v>
      </c>
      <c r="I547" s="101">
        <v>1305.5974019224793</v>
      </c>
      <c r="J547" s="101"/>
      <c r="K547" s="233" t="str">
        <f>VLOOKUP(Broadcast_BASE[[#This Row],[Broadcast Market]],Continent_Look_Up[],2,FALSE)</f>
        <v>Digital</v>
      </c>
      <c r="L547" t="str">
        <f>IF(OR(Broadcast_BASE[[#This Row],[Broadcast Continent]]="Digital",Broadcast_BASE[[#This Row],[Programme Type]]="Digital"),"Y","N")</f>
        <v>Y</v>
      </c>
      <c r="M547" s="4" t="str">
        <f>IF(ISNUMBER(SEARCH("Pan ",Broadcast_BASE[[#This Row],[Broadcast Market]]))=TRUE,"Y","N")</f>
        <v>N</v>
      </c>
      <c r="N547" t="str">
        <f>VLOOKUP(CONCATENATE(Broadcast_BASE[[#This Row],[Broadcast Market]],Broadcast_BASE[[#This Row],[Broadcaster]]),Table1[[CC]:[Pay TV vs. Free-to-Air]],3,FALSE)</f>
        <v>Digital</v>
      </c>
      <c r="O547" s="1" t="str">
        <f>VLOOKUP(CONCATENATE(Broadcast_BASE[[#This Row],[Broadcast Market]],Broadcast_BASE[[#This Row],[Broadcaster]]),Table1[[CC]:[Pay TV vs. Free-to-Air]],2,FALSE)</f>
        <v>-</v>
      </c>
      <c r="P547" s="234">
        <f>Broadcast_BASE[[#This Row],[Rolex EXP]]*86400</f>
        <v>13451.573906307916</v>
      </c>
      <c r="Q547" s="235" t="str">
        <f>IF(Broadcast_BASE[[#This Row],[Dashboard Rated?]]="No","N","Y")</f>
        <v>Y</v>
      </c>
      <c r="R547" s="236"/>
      <c r="S547" s="236"/>
    </row>
    <row r="548" spans="1:19" x14ac:dyDescent="0.25">
      <c r="A548" s="72" t="e">
        <f>#REF!</f>
        <v>#REF!</v>
      </c>
      <c r="B548" t="s">
        <v>45</v>
      </c>
      <c r="C548" t="s">
        <v>45</v>
      </c>
      <c r="D548" t="s">
        <v>1642</v>
      </c>
      <c r="E548" s="102">
        <v>0.880925925925926</v>
      </c>
      <c r="F548" s="101">
        <v>59487.799791550264</v>
      </c>
      <c r="G548" s="102">
        <v>6.3694426807027651E-2</v>
      </c>
      <c r="H548" s="101">
        <v>5657.299272812038</v>
      </c>
      <c r="I548" s="101">
        <v>1609.4882968974114</v>
      </c>
      <c r="J548" s="101"/>
      <c r="K548" s="233" t="str">
        <f>VLOOKUP(Broadcast_BASE[[#This Row],[Broadcast Market]],Continent_Look_Up[],2,FALSE)</f>
        <v>Digital</v>
      </c>
      <c r="L548" t="str">
        <f>IF(OR(Broadcast_BASE[[#This Row],[Broadcast Continent]]="Digital",Broadcast_BASE[[#This Row],[Programme Type]]="Digital"),"Y","N")</f>
        <v>Y</v>
      </c>
      <c r="M548" s="4" t="str">
        <f>IF(ISNUMBER(SEARCH("Pan ",Broadcast_BASE[[#This Row],[Broadcast Market]]))=TRUE,"Y","N")</f>
        <v>N</v>
      </c>
      <c r="N548" t="str">
        <f>VLOOKUP(CONCATENATE(Broadcast_BASE[[#This Row],[Broadcast Market]],Broadcast_BASE[[#This Row],[Broadcaster]]),Table1[[CC]:[Pay TV vs. Free-to-Air]],3,FALSE)</f>
        <v>Digital</v>
      </c>
      <c r="O548" s="1" t="str">
        <f>VLOOKUP(CONCATENATE(Broadcast_BASE[[#This Row],[Broadcast Market]],Broadcast_BASE[[#This Row],[Broadcaster]]),Table1[[CC]:[Pay TV vs. Free-to-Air]],2,FALSE)</f>
        <v>-</v>
      </c>
      <c r="P548" s="234">
        <f>Broadcast_BASE[[#This Row],[Rolex EXP]]*86400</f>
        <v>5503.1984761271888</v>
      </c>
      <c r="Q548" s="235" t="str">
        <f>IF(Broadcast_BASE[[#This Row],[Dashboard Rated?]]="No","N","Y")</f>
        <v>Y</v>
      </c>
      <c r="R548" s="236"/>
      <c r="S548" s="236"/>
    </row>
    <row r="549" spans="1:19" x14ac:dyDescent="0.25">
      <c r="A549" s="72" t="e">
        <f>#REF!</f>
        <v>#REF!</v>
      </c>
      <c r="B549" t="s">
        <v>45</v>
      </c>
      <c r="C549" t="s">
        <v>45</v>
      </c>
      <c r="D549" t="s">
        <v>1643</v>
      </c>
      <c r="E549" s="102">
        <v>6.4103935185185188</v>
      </c>
      <c r="F549" s="101">
        <v>670995.29067432531</v>
      </c>
      <c r="G549" s="102">
        <v>0.51012424130757927</v>
      </c>
      <c r="H549" s="101">
        <v>186914.0062278322</v>
      </c>
      <c r="I549" s="101">
        <v>53389.431850791814</v>
      </c>
      <c r="J549" s="101"/>
      <c r="K549" s="233" t="str">
        <f>VLOOKUP(Broadcast_BASE[[#This Row],[Broadcast Market]],Continent_Look_Up[],2,FALSE)</f>
        <v>Digital</v>
      </c>
      <c r="L549" t="str">
        <f>IF(OR(Broadcast_BASE[[#This Row],[Broadcast Continent]]="Digital",Broadcast_BASE[[#This Row],[Programme Type]]="Digital"),"Y","N")</f>
        <v>Y</v>
      </c>
      <c r="M549" s="4" t="str">
        <f>IF(ISNUMBER(SEARCH("Pan ",Broadcast_BASE[[#This Row],[Broadcast Market]]))=TRUE,"Y","N")</f>
        <v>N</v>
      </c>
      <c r="N549" t="str">
        <f>VLOOKUP(CONCATENATE(Broadcast_BASE[[#This Row],[Broadcast Market]],Broadcast_BASE[[#This Row],[Broadcaster]]),Table1[[CC]:[Pay TV vs. Free-to-Air]],3,FALSE)</f>
        <v>Digital</v>
      </c>
      <c r="O549" s="1" t="str">
        <f>VLOOKUP(CONCATENATE(Broadcast_BASE[[#This Row],[Broadcast Market]],Broadcast_BASE[[#This Row],[Broadcaster]]),Table1[[CC]:[Pay TV vs. Free-to-Air]],2,FALSE)</f>
        <v>-</v>
      </c>
      <c r="P549" s="234">
        <f>Broadcast_BASE[[#This Row],[Rolex EXP]]*86400</f>
        <v>44074.73444897485</v>
      </c>
      <c r="Q549" s="235" t="str">
        <f>IF(Broadcast_BASE[[#This Row],[Dashboard Rated?]]="No","N","Y")</f>
        <v>Y</v>
      </c>
      <c r="R549" s="236"/>
      <c r="S549" s="236"/>
    </row>
    <row r="550" spans="1:19" x14ac:dyDescent="0.25">
      <c r="A550" s="72" t="e">
        <f>#REF!</f>
        <v>#REF!</v>
      </c>
      <c r="B550" t="s">
        <v>45</v>
      </c>
      <c r="C550" t="s">
        <v>45</v>
      </c>
      <c r="D550" t="s">
        <v>1644</v>
      </c>
      <c r="E550" s="102">
        <v>1.6970023148148148</v>
      </c>
      <c r="F550" s="101">
        <v>52616.686035810664</v>
      </c>
      <c r="G550" s="102">
        <v>0.12797942333417198</v>
      </c>
      <c r="H550" s="101">
        <v>9625.1489031470483</v>
      </c>
      <c r="I550" s="101">
        <v>2783.3646491656327</v>
      </c>
      <c r="J550" s="101"/>
      <c r="K550" s="233" t="str">
        <f>VLOOKUP(Broadcast_BASE[[#This Row],[Broadcast Market]],Continent_Look_Up[],2,FALSE)</f>
        <v>Digital</v>
      </c>
      <c r="L550" t="str">
        <f>IF(OR(Broadcast_BASE[[#This Row],[Broadcast Continent]]="Digital",Broadcast_BASE[[#This Row],[Programme Type]]="Digital"),"Y","N")</f>
        <v>Y</v>
      </c>
      <c r="M550" s="4" t="str">
        <f>IF(ISNUMBER(SEARCH("Pan ",Broadcast_BASE[[#This Row],[Broadcast Market]]))=TRUE,"Y","N")</f>
        <v>N</v>
      </c>
      <c r="N550" t="str">
        <f>VLOOKUP(CONCATENATE(Broadcast_BASE[[#This Row],[Broadcast Market]],Broadcast_BASE[[#This Row],[Broadcaster]]),Table1[[CC]:[Pay TV vs. Free-to-Air]],3,FALSE)</f>
        <v>Digital</v>
      </c>
      <c r="O550" s="1" t="str">
        <f>VLOOKUP(CONCATENATE(Broadcast_BASE[[#This Row],[Broadcast Market]],Broadcast_BASE[[#This Row],[Broadcaster]]),Table1[[CC]:[Pay TV vs. Free-to-Air]],2,FALSE)</f>
        <v>-</v>
      </c>
      <c r="P550" s="234">
        <f>Broadcast_BASE[[#This Row],[Rolex EXP]]*86400</f>
        <v>11057.422176072459</v>
      </c>
      <c r="Q550" s="235" t="str">
        <f>IF(Broadcast_BASE[[#This Row],[Dashboard Rated?]]="No","N","Y")</f>
        <v>Y</v>
      </c>
      <c r="R550" s="236"/>
      <c r="S550" s="236"/>
    </row>
    <row r="551" spans="1:19" x14ac:dyDescent="0.25">
      <c r="A551" s="72" t="e">
        <f>#REF!</f>
        <v>#REF!</v>
      </c>
      <c r="B551" t="s">
        <v>45</v>
      </c>
      <c r="C551" t="s">
        <v>45</v>
      </c>
      <c r="D551" t="s">
        <v>1642</v>
      </c>
      <c r="E551" s="102">
        <v>0.76940972222222215</v>
      </c>
      <c r="F551" s="101">
        <v>30246.851505824685</v>
      </c>
      <c r="G551" s="102">
        <v>5.895988796148479E-2</v>
      </c>
      <c r="H551" s="101">
        <v>3350.0464658672668</v>
      </c>
      <c r="I551" s="101">
        <v>962.20077394423492</v>
      </c>
      <c r="J551" s="101"/>
      <c r="K551" s="233" t="str">
        <f>VLOOKUP(Broadcast_BASE[[#This Row],[Broadcast Market]],Continent_Look_Up[],2,FALSE)</f>
        <v>Digital</v>
      </c>
      <c r="L551" t="str">
        <f>IF(OR(Broadcast_BASE[[#This Row],[Broadcast Continent]]="Digital",Broadcast_BASE[[#This Row],[Programme Type]]="Digital"),"Y","N")</f>
        <v>Y</v>
      </c>
      <c r="M551" s="4" t="str">
        <f>IF(ISNUMBER(SEARCH("Pan ",Broadcast_BASE[[#This Row],[Broadcast Market]]))=TRUE,"Y","N")</f>
        <v>N</v>
      </c>
      <c r="N551" t="str">
        <f>VLOOKUP(CONCATENATE(Broadcast_BASE[[#This Row],[Broadcast Market]],Broadcast_BASE[[#This Row],[Broadcaster]]),Table1[[CC]:[Pay TV vs. Free-to-Air]],3,FALSE)</f>
        <v>Digital</v>
      </c>
      <c r="O551" s="1" t="str">
        <f>VLOOKUP(CONCATENATE(Broadcast_BASE[[#This Row],[Broadcast Market]],Broadcast_BASE[[#This Row],[Broadcaster]]),Table1[[CC]:[Pay TV vs. Free-to-Air]],2,FALSE)</f>
        <v>-</v>
      </c>
      <c r="P551" s="234">
        <f>Broadcast_BASE[[#This Row],[Rolex EXP]]*86400</f>
        <v>5094.1343198722861</v>
      </c>
      <c r="Q551" s="235" t="str">
        <f>IF(Broadcast_BASE[[#This Row],[Dashboard Rated?]]="No","N","Y")</f>
        <v>Y</v>
      </c>
      <c r="R551" s="236"/>
      <c r="S551" s="236"/>
    </row>
    <row r="552" spans="1:19" x14ac:dyDescent="0.25">
      <c r="A552" s="72" t="e">
        <f>#REF!</f>
        <v>#REF!</v>
      </c>
      <c r="B552" t="s">
        <v>45</v>
      </c>
      <c r="C552" t="s">
        <v>45</v>
      </c>
      <c r="D552" t="s">
        <v>1643</v>
      </c>
      <c r="E552" s="102">
        <v>3.4084722222222221</v>
      </c>
      <c r="F552" s="101">
        <v>313723.70552253991</v>
      </c>
      <c r="G552" s="102">
        <v>0.28887319087687863</v>
      </c>
      <c r="H552" s="101">
        <v>123538.66014746478</v>
      </c>
      <c r="I552" s="101">
        <v>36630.681500289342</v>
      </c>
      <c r="J552" s="101"/>
      <c r="K552" s="233" t="str">
        <f>VLOOKUP(Broadcast_BASE[[#This Row],[Broadcast Market]],Continent_Look_Up[],2,FALSE)</f>
        <v>Digital</v>
      </c>
      <c r="L552" t="str">
        <f>IF(OR(Broadcast_BASE[[#This Row],[Broadcast Continent]]="Digital",Broadcast_BASE[[#This Row],[Programme Type]]="Digital"),"Y","N")</f>
        <v>Y</v>
      </c>
      <c r="M552" s="4" t="str">
        <f>IF(ISNUMBER(SEARCH("Pan ",Broadcast_BASE[[#This Row],[Broadcast Market]]))=TRUE,"Y","N")</f>
        <v>N</v>
      </c>
      <c r="N552" t="str">
        <f>VLOOKUP(CONCATENATE(Broadcast_BASE[[#This Row],[Broadcast Market]],Broadcast_BASE[[#This Row],[Broadcaster]]),Table1[[CC]:[Pay TV vs. Free-to-Air]],3,FALSE)</f>
        <v>Digital</v>
      </c>
      <c r="O552" s="1" t="str">
        <f>VLOOKUP(CONCATENATE(Broadcast_BASE[[#This Row],[Broadcast Market]],Broadcast_BASE[[#This Row],[Broadcaster]]),Table1[[CC]:[Pay TV vs. Free-to-Air]],2,FALSE)</f>
        <v>-</v>
      </c>
      <c r="P552" s="234">
        <f>Broadcast_BASE[[#This Row],[Rolex EXP]]*86400</f>
        <v>24958.643691762314</v>
      </c>
      <c r="Q552" s="235" t="str">
        <f>IF(Broadcast_BASE[[#This Row],[Dashboard Rated?]]="No","N","Y")</f>
        <v>Y</v>
      </c>
      <c r="R552" s="236"/>
      <c r="S552" s="236"/>
    </row>
    <row r="553" spans="1:19" x14ac:dyDescent="0.25">
      <c r="A553" s="72" t="e">
        <f>#REF!</f>
        <v>#REF!</v>
      </c>
      <c r="B553" t="s">
        <v>45</v>
      </c>
      <c r="C553" t="s">
        <v>45</v>
      </c>
      <c r="D553" t="s">
        <v>1644</v>
      </c>
      <c r="E553" s="102">
        <v>2.469583333333333</v>
      </c>
      <c r="F553" s="101">
        <v>77228.398800486844</v>
      </c>
      <c r="G553" s="102">
        <v>0.1809633386977906</v>
      </c>
      <c r="H553" s="101">
        <v>13095.727149764292</v>
      </c>
      <c r="I553" s="101">
        <v>3677.3579388477024</v>
      </c>
      <c r="J553" s="101"/>
      <c r="K553" s="233" t="str">
        <f>VLOOKUP(Broadcast_BASE[[#This Row],[Broadcast Market]],Continent_Look_Up[],2,FALSE)</f>
        <v>Digital</v>
      </c>
      <c r="L553" t="str">
        <f>IF(OR(Broadcast_BASE[[#This Row],[Broadcast Continent]]="Digital",Broadcast_BASE[[#This Row],[Programme Type]]="Digital"),"Y","N")</f>
        <v>Y</v>
      </c>
      <c r="M553" s="4" t="str">
        <f>IF(ISNUMBER(SEARCH("Pan ",Broadcast_BASE[[#This Row],[Broadcast Market]]))=TRUE,"Y","N")</f>
        <v>N</v>
      </c>
      <c r="N553" t="str">
        <f>VLOOKUP(CONCATENATE(Broadcast_BASE[[#This Row],[Broadcast Market]],Broadcast_BASE[[#This Row],[Broadcaster]]),Table1[[CC]:[Pay TV vs. Free-to-Air]],3,FALSE)</f>
        <v>Digital</v>
      </c>
      <c r="O553" s="1" t="str">
        <f>VLOOKUP(CONCATENATE(Broadcast_BASE[[#This Row],[Broadcast Market]],Broadcast_BASE[[#This Row],[Broadcaster]]),Table1[[CC]:[Pay TV vs. Free-to-Air]],2,FALSE)</f>
        <v>-</v>
      </c>
      <c r="P553" s="234">
        <f>Broadcast_BASE[[#This Row],[Rolex EXP]]*86400</f>
        <v>15635.232463489108</v>
      </c>
      <c r="Q553" s="235" t="str">
        <f>IF(Broadcast_BASE[[#This Row],[Dashboard Rated?]]="No","N","Y")</f>
        <v>Y</v>
      </c>
      <c r="R553" s="236"/>
      <c r="S553" s="236"/>
    </row>
    <row r="554" spans="1:19" x14ac:dyDescent="0.25">
      <c r="A554" s="72" t="e">
        <f>#REF!</f>
        <v>#REF!</v>
      </c>
      <c r="B554" t="s">
        <v>45</v>
      </c>
      <c r="C554" t="s">
        <v>45</v>
      </c>
      <c r="D554" t="s">
        <v>1642</v>
      </c>
      <c r="E554" s="102">
        <v>0.86262731481481492</v>
      </c>
      <c r="F554" s="101">
        <v>42841.44884299962</v>
      </c>
      <c r="G554" s="102">
        <v>6.5772293904178464E-2</v>
      </c>
      <c r="H554" s="101">
        <v>4090.010698610809</v>
      </c>
      <c r="I554" s="101">
        <v>1163.1602824082199</v>
      </c>
      <c r="J554" s="101"/>
      <c r="K554" s="233" t="str">
        <f>VLOOKUP(Broadcast_BASE[[#This Row],[Broadcast Market]],Continent_Look_Up[],2,FALSE)</f>
        <v>Digital</v>
      </c>
      <c r="L554" t="str">
        <f>IF(OR(Broadcast_BASE[[#This Row],[Broadcast Continent]]="Digital",Broadcast_BASE[[#This Row],[Programme Type]]="Digital"),"Y","N")</f>
        <v>Y</v>
      </c>
      <c r="M554" s="4" t="str">
        <f>IF(ISNUMBER(SEARCH("Pan ",Broadcast_BASE[[#This Row],[Broadcast Market]]))=TRUE,"Y","N")</f>
        <v>N</v>
      </c>
      <c r="N554" t="str">
        <f>VLOOKUP(CONCATENATE(Broadcast_BASE[[#This Row],[Broadcast Market]],Broadcast_BASE[[#This Row],[Broadcaster]]),Table1[[CC]:[Pay TV vs. Free-to-Air]],3,FALSE)</f>
        <v>Digital</v>
      </c>
      <c r="O554" s="1" t="str">
        <f>VLOOKUP(CONCATENATE(Broadcast_BASE[[#This Row],[Broadcast Market]],Broadcast_BASE[[#This Row],[Broadcaster]]),Table1[[CC]:[Pay TV vs. Free-to-Air]],2,FALSE)</f>
        <v>-</v>
      </c>
      <c r="P554" s="234">
        <f>Broadcast_BASE[[#This Row],[Rolex EXP]]*86400</f>
        <v>5682.7261933210193</v>
      </c>
      <c r="Q554" s="235" t="str">
        <f>IF(Broadcast_BASE[[#This Row],[Dashboard Rated?]]="No","N","Y")</f>
        <v>Y</v>
      </c>
      <c r="R554" s="236"/>
      <c r="S554" s="236"/>
    </row>
    <row r="555" spans="1:19" x14ac:dyDescent="0.25">
      <c r="A555" s="72" t="e">
        <f>#REF!</f>
        <v>#REF!</v>
      </c>
      <c r="B555" t="s">
        <v>45</v>
      </c>
      <c r="C555" t="s">
        <v>45</v>
      </c>
      <c r="D555" t="s">
        <v>1643</v>
      </c>
      <c r="E555" s="102">
        <v>6.2788773148148147</v>
      </c>
      <c r="F555" s="101">
        <v>384451.88476170821</v>
      </c>
      <c r="G555" s="102">
        <v>0.51417095835260329</v>
      </c>
      <c r="H555" s="101">
        <v>110914.88489974364</v>
      </c>
      <c r="I555" s="101">
        <v>31540.736519859245</v>
      </c>
      <c r="J555" s="101"/>
      <c r="K555" s="233" t="str">
        <f>VLOOKUP(Broadcast_BASE[[#This Row],[Broadcast Market]],Continent_Look_Up[],2,FALSE)</f>
        <v>Digital</v>
      </c>
      <c r="L555" t="str">
        <f>IF(OR(Broadcast_BASE[[#This Row],[Broadcast Continent]]="Digital",Broadcast_BASE[[#This Row],[Programme Type]]="Digital"),"Y","N")</f>
        <v>Y</v>
      </c>
      <c r="M555" s="4" t="str">
        <f>IF(ISNUMBER(SEARCH("Pan ",Broadcast_BASE[[#This Row],[Broadcast Market]]))=TRUE,"Y","N")</f>
        <v>N</v>
      </c>
      <c r="N555" t="str">
        <f>VLOOKUP(CONCATENATE(Broadcast_BASE[[#This Row],[Broadcast Market]],Broadcast_BASE[[#This Row],[Broadcaster]]),Table1[[CC]:[Pay TV vs. Free-to-Air]],3,FALSE)</f>
        <v>Digital</v>
      </c>
      <c r="O555" s="1" t="str">
        <f>VLOOKUP(CONCATENATE(Broadcast_BASE[[#This Row],[Broadcast Market]],Broadcast_BASE[[#This Row],[Broadcaster]]),Table1[[CC]:[Pay TV vs. Free-to-Air]],2,FALSE)</f>
        <v>-</v>
      </c>
      <c r="P555" s="234">
        <f>Broadcast_BASE[[#This Row],[Rolex EXP]]*86400</f>
        <v>44424.370801664925</v>
      </c>
      <c r="Q555" s="235" t="str">
        <f>IF(Broadcast_BASE[[#This Row],[Dashboard Rated?]]="No","N","Y")</f>
        <v>Y</v>
      </c>
      <c r="R555" s="236"/>
      <c r="S555" s="236"/>
    </row>
    <row r="556" spans="1:19" x14ac:dyDescent="0.25">
      <c r="A556" s="72" t="e">
        <f>#REF!</f>
        <v>#REF!</v>
      </c>
      <c r="B556" t="s">
        <v>45</v>
      </c>
      <c r="C556" t="s">
        <v>45</v>
      </c>
      <c r="D556" t="s">
        <v>1644</v>
      </c>
      <c r="E556" s="102">
        <v>1.6181365740740743</v>
      </c>
      <c r="F556" s="101">
        <v>37026.0388736983</v>
      </c>
      <c r="G556" s="102">
        <v>0.12189648582648725</v>
      </c>
      <c r="H556" s="101">
        <v>6368.4015170697276</v>
      </c>
      <c r="I556" s="101">
        <v>1810.8877595626977</v>
      </c>
      <c r="J556" s="101"/>
      <c r="K556" s="233" t="str">
        <f>VLOOKUP(Broadcast_BASE[[#This Row],[Broadcast Market]],Continent_Look_Up[],2,FALSE)</f>
        <v>Digital</v>
      </c>
      <c r="L556" t="str">
        <f>IF(OR(Broadcast_BASE[[#This Row],[Broadcast Continent]]="Digital",Broadcast_BASE[[#This Row],[Programme Type]]="Digital"),"Y","N")</f>
        <v>Y</v>
      </c>
      <c r="M556" s="4" t="str">
        <f>IF(ISNUMBER(SEARCH("Pan ",Broadcast_BASE[[#This Row],[Broadcast Market]]))=TRUE,"Y","N")</f>
        <v>N</v>
      </c>
      <c r="N556" t="str">
        <f>VLOOKUP(CONCATENATE(Broadcast_BASE[[#This Row],[Broadcast Market]],Broadcast_BASE[[#This Row],[Broadcaster]]),Table1[[CC]:[Pay TV vs. Free-to-Air]],3,FALSE)</f>
        <v>Digital</v>
      </c>
      <c r="O556" s="1" t="str">
        <f>VLOOKUP(CONCATENATE(Broadcast_BASE[[#This Row],[Broadcast Market]],Broadcast_BASE[[#This Row],[Broadcaster]]),Table1[[CC]:[Pay TV vs. Free-to-Air]],2,FALSE)</f>
        <v>-</v>
      </c>
      <c r="P556" s="234">
        <f>Broadcast_BASE[[#This Row],[Rolex EXP]]*86400</f>
        <v>10531.856375408499</v>
      </c>
      <c r="Q556" s="235" t="str">
        <f>IF(Broadcast_BASE[[#This Row],[Dashboard Rated?]]="No","N","Y")</f>
        <v>Y</v>
      </c>
      <c r="R556" s="236"/>
      <c r="S556" s="236"/>
    </row>
    <row r="557" spans="1:19" x14ac:dyDescent="0.25">
      <c r="A557" s="72" t="e">
        <f>#REF!</f>
        <v>#REF!</v>
      </c>
      <c r="B557" t="s">
        <v>45</v>
      </c>
      <c r="C557" t="s">
        <v>45</v>
      </c>
      <c r="D557" t="s">
        <v>1642</v>
      </c>
      <c r="E557" s="102">
        <v>0.78314814814814815</v>
      </c>
      <c r="F557" s="101">
        <v>42330.481388368062</v>
      </c>
      <c r="G557" s="102">
        <v>6.2095352544682993E-2</v>
      </c>
      <c r="H557" s="101">
        <v>4903.4032709741996</v>
      </c>
      <c r="I557" s="101">
        <v>1459.1034711260102</v>
      </c>
      <c r="J557" s="101"/>
      <c r="K557" s="233" t="str">
        <f>VLOOKUP(Broadcast_BASE[[#This Row],[Broadcast Market]],Continent_Look_Up[],2,FALSE)</f>
        <v>Digital</v>
      </c>
      <c r="L557" t="str">
        <f>IF(OR(Broadcast_BASE[[#This Row],[Broadcast Continent]]="Digital",Broadcast_BASE[[#This Row],[Programme Type]]="Digital"),"Y","N")</f>
        <v>Y</v>
      </c>
      <c r="M557" s="4" t="str">
        <f>IF(ISNUMBER(SEARCH("Pan ",Broadcast_BASE[[#This Row],[Broadcast Market]]))=TRUE,"Y","N")</f>
        <v>N</v>
      </c>
      <c r="N557" t="str">
        <f>VLOOKUP(CONCATENATE(Broadcast_BASE[[#This Row],[Broadcast Market]],Broadcast_BASE[[#This Row],[Broadcaster]]),Table1[[CC]:[Pay TV vs. Free-to-Air]],3,FALSE)</f>
        <v>Digital</v>
      </c>
      <c r="O557" s="1" t="str">
        <f>VLOOKUP(CONCATENATE(Broadcast_BASE[[#This Row],[Broadcast Market]],Broadcast_BASE[[#This Row],[Broadcaster]]),Table1[[CC]:[Pay TV vs. Free-to-Air]],2,FALSE)</f>
        <v>-</v>
      </c>
      <c r="P557" s="234">
        <f>Broadcast_BASE[[#This Row],[Rolex EXP]]*86400</f>
        <v>5365.0384598606106</v>
      </c>
      <c r="Q557" s="235" t="str">
        <f>IF(Broadcast_BASE[[#This Row],[Dashboard Rated?]]="No","N","Y")</f>
        <v>Y</v>
      </c>
      <c r="R557" s="236"/>
      <c r="S557" s="236"/>
    </row>
    <row r="558" spans="1:19" x14ac:dyDescent="0.25">
      <c r="A558" s="72" t="e">
        <f>#REF!</f>
        <v>#REF!</v>
      </c>
      <c r="B558" t="s">
        <v>45</v>
      </c>
      <c r="C558" t="s">
        <v>45</v>
      </c>
      <c r="D558" t="s">
        <v>1643</v>
      </c>
      <c r="E558" s="102">
        <v>3.1011689814814818</v>
      </c>
      <c r="F558" s="101">
        <v>293656.28319107858</v>
      </c>
      <c r="G558" s="102">
        <v>0.25564657347835584</v>
      </c>
      <c r="H558" s="101">
        <v>77670.505300823177</v>
      </c>
      <c r="I558" s="101">
        <v>22834.585153952768</v>
      </c>
      <c r="J558" s="101"/>
      <c r="K558" s="233" t="str">
        <f>VLOOKUP(Broadcast_BASE[[#This Row],[Broadcast Market]],Continent_Look_Up[],2,FALSE)</f>
        <v>Digital</v>
      </c>
      <c r="L558" t="str">
        <f>IF(OR(Broadcast_BASE[[#This Row],[Broadcast Continent]]="Digital",Broadcast_BASE[[#This Row],[Programme Type]]="Digital"),"Y","N")</f>
        <v>Y</v>
      </c>
      <c r="M558" s="4" t="str">
        <f>IF(ISNUMBER(SEARCH("Pan ",Broadcast_BASE[[#This Row],[Broadcast Market]]))=TRUE,"Y","N")</f>
        <v>N</v>
      </c>
      <c r="N558" t="str">
        <f>VLOOKUP(CONCATENATE(Broadcast_BASE[[#This Row],[Broadcast Market]],Broadcast_BASE[[#This Row],[Broadcaster]]),Table1[[CC]:[Pay TV vs. Free-to-Air]],3,FALSE)</f>
        <v>Digital</v>
      </c>
      <c r="O558" s="1" t="str">
        <f>VLOOKUP(CONCATENATE(Broadcast_BASE[[#This Row],[Broadcast Market]],Broadcast_BASE[[#This Row],[Broadcaster]]),Table1[[CC]:[Pay TV vs. Free-to-Air]],2,FALSE)</f>
        <v>-</v>
      </c>
      <c r="P558" s="234">
        <f>Broadcast_BASE[[#This Row],[Rolex EXP]]*86400</f>
        <v>22087.863948529946</v>
      </c>
      <c r="Q558" s="235" t="str">
        <f>IF(Broadcast_BASE[[#This Row],[Dashboard Rated?]]="No","N","Y")</f>
        <v>Y</v>
      </c>
      <c r="R558" s="236"/>
      <c r="S558" s="236"/>
    </row>
    <row r="559" spans="1:19" x14ac:dyDescent="0.25">
      <c r="A559" s="72" t="e">
        <f>#REF!</f>
        <v>#REF!</v>
      </c>
      <c r="B559" t="s">
        <v>45</v>
      </c>
      <c r="C559" t="s">
        <v>45</v>
      </c>
      <c r="D559" t="s">
        <v>1644</v>
      </c>
      <c r="E559" s="102">
        <v>2.4179629629629633</v>
      </c>
      <c r="F559" s="101">
        <v>71489.395179541636</v>
      </c>
      <c r="G559" s="102">
        <v>0.1817433025006705</v>
      </c>
      <c r="H559" s="101">
        <v>13489.924088736054</v>
      </c>
      <c r="I559" s="101">
        <v>3838.3161519326936</v>
      </c>
      <c r="J559" s="101"/>
      <c r="K559" s="233" t="str">
        <f>VLOOKUP(Broadcast_BASE[[#This Row],[Broadcast Market]],Continent_Look_Up[],2,FALSE)</f>
        <v>Digital</v>
      </c>
      <c r="L559" t="str">
        <f>IF(OR(Broadcast_BASE[[#This Row],[Broadcast Continent]]="Digital",Broadcast_BASE[[#This Row],[Programme Type]]="Digital"),"Y","N")</f>
        <v>Y</v>
      </c>
      <c r="M559" s="4" t="str">
        <f>IF(ISNUMBER(SEARCH("Pan ",Broadcast_BASE[[#This Row],[Broadcast Market]]))=TRUE,"Y","N")</f>
        <v>N</v>
      </c>
      <c r="N559" t="str">
        <f>VLOOKUP(CONCATENATE(Broadcast_BASE[[#This Row],[Broadcast Market]],Broadcast_BASE[[#This Row],[Broadcaster]]),Table1[[CC]:[Pay TV vs. Free-to-Air]],3,FALSE)</f>
        <v>Digital</v>
      </c>
      <c r="O559" s="1" t="str">
        <f>VLOOKUP(CONCATENATE(Broadcast_BASE[[#This Row],[Broadcast Market]],Broadcast_BASE[[#This Row],[Broadcaster]]),Table1[[CC]:[Pay TV vs. Free-to-Air]],2,FALSE)</f>
        <v>-</v>
      </c>
      <c r="P559" s="234">
        <f>Broadcast_BASE[[#This Row],[Rolex EXP]]*86400</f>
        <v>15702.621336057931</v>
      </c>
      <c r="Q559" s="235" t="str">
        <f>IF(Broadcast_BASE[[#This Row],[Dashboard Rated?]]="No","N","Y")</f>
        <v>Y</v>
      </c>
      <c r="R559" s="236"/>
      <c r="S559" s="236"/>
    </row>
    <row r="560" spans="1:19" x14ac:dyDescent="0.25">
      <c r="A560" s="72" t="e">
        <f>#REF!</f>
        <v>#REF!</v>
      </c>
      <c r="B560" t="s">
        <v>45</v>
      </c>
      <c r="C560" t="s">
        <v>45</v>
      </c>
      <c r="D560" t="s">
        <v>1643</v>
      </c>
      <c r="E560" s="102">
        <v>8.3333333333333329E-2</v>
      </c>
      <c r="F560" s="101">
        <v>70641.117643321093</v>
      </c>
      <c r="G560" s="102">
        <v>4.4200086244070699E-3</v>
      </c>
      <c r="H560" s="101">
        <v>12427.813344981972</v>
      </c>
      <c r="I560" s="101">
        <v>3728.668339111156</v>
      </c>
      <c r="J560" s="101"/>
      <c r="K560" s="233" t="str">
        <f>VLOOKUP(Broadcast_BASE[[#This Row],[Broadcast Market]],Continent_Look_Up[],2,FALSE)</f>
        <v>Digital</v>
      </c>
      <c r="L560" t="str">
        <f>IF(OR(Broadcast_BASE[[#This Row],[Broadcast Continent]]="Digital",Broadcast_BASE[[#This Row],[Programme Type]]="Digital"),"Y","N")</f>
        <v>Y</v>
      </c>
      <c r="M560" s="4" t="str">
        <f>IF(ISNUMBER(SEARCH("Pan ",Broadcast_BASE[[#This Row],[Broadcast Market]]))=TRUE,"Y","N")</f>
        <v>N</v>
      </c>
      <c r="N560" t="str">
        <f>VLOOKUP(CONCATENATE(Broadcast_BASE[[#This Row],[Broadcast Market]],Broadcast_BASE[[#This Row],[Broadcaster]]),Table1[[CC]:[Pay TV vs. Free-to-Air]],3,FALSE)</f>
        <v>Digital</v>
      </c>
      <c r="O560" s="1" t="str">
        <f>VLOOKUP(CONCATENATE(Broadcast_BASE[[#This Row],[Broadcast Market]],Broadcast_BASE[[#This Row],[Broadcaster]]),Table1[[CC]:[Pay TV vs. Free-to-Air]],2,FALSE)</f>
        <v>-</v>
      </c>
      <c r="P560" s="234">
        <f>Broadcast_BASE[[#This Row],[Rolex EXP]]*86400</f>
        <v>381.88874514877085</v>
      </c>
      <c r="Q560" s="235" t="str">
        <f>IF(Broadcast_BASE[[#This Row],[Dashboard Rated?]]="No","N","Y")</f>
        <v>Y</v>
      </c>
      <c r="R560" s="236"/>
      <c r="S560" s="236"/>
    </row>
    <row r="561" spans="1:19" x14ac:dyDescent="0.25">
      <c r="A561" s="72" t="e">
        <f>#REF!</f>
        <v>#REF!</v>
      </c>
      <c r="B561" t="s">
        <v>45</v>
      </c>
      <c r="C561" t="s">
        <v>45</v>
      </c>
      <c r="D561" t="s">
        <v>1642</v>
      </c>
      <c r="E561" s="102">
        <v>2.8194444444444446</v>
      </c>
      <c r="F561" s="101">
        <v>6981.2684082517235</v>
      </c>
      <c r="G561" s="102">
        <v>0.1829724042233086</v>
      </c>
      <c r="H561" s="101">
        <v>599.71761756327135</v>
      </c>
      <c r="I561" s="101">
        <v>168.63176228639961</v>
      </c>
      <c r="J561" s="101"/>
      <c r="K561" s="233" t="str">
        <f>VLOOKUP(Broadcast_BASE[[#This Row],[Broadcast Market]],Continent_Look_Up[],2,FALSE)</f>
        <v>Digital</v>
      </c>
      <c r="L561" t="str">
        <f>IF(OR(Broadcast_BASE[[#This Row],[Broadcast Continent]]="Digital",Broadcast_BASE[[#This Row],[Programme Type]]="Digital"),"Y","N")</f>
        <v>Y</v>
      </c>
      <c r="M561" s="4" t="str">
        <f>IF(ISNUMBER(SEARCH("Pan ",Broadcast_BASE[[#This Row],[Broadcast Market]]))=TRUE,"Y","N")</f>
        <v>N</v>
      </c>
      <c r="N561" t="str">
        <f>VLOOKUP(CONCATENATE(Broadcast_BASE[[#This Row],[Broadcast Market]],Broadcast_BASE[[#This Row],[Broadcaster]]),Table1[[CC]:[Pay TV vs. Free-to-Air]],3,FALSE)</f>
        <v>Digital</v>
      </c>
      <c r="O561" s="1" t="str">
        <f>VLOOKUP(CONCATENATE(Broadcast_BASE[[#This Row],[Broadcast Market]],Broadcast_BASE[[#This Row],[Broadcaster]]),Table1[[CC]:[Pay TV vs. Free-to-Air]],2,FALSE)</f>
        <v>-</v>
      </c>
      <c r="P561" s="234">
        <f>Broadcast_BASE[[#This Row],[Rolex EXP]]*86400</f>
        <v>15808.815724893862</v>
      </c>
      <c r="Q561" s="235" t="str">
        <f>IF(Broadcast_BASE[[#This Row],[Dashboard Rated?]]="No","N","Y")</f>
        <v>Y</v>
      </c>
      <c r="R561" s="236"/>
      <c r="S561" s="236"/>
    </row>
    <row r="562" spans="1:19" x14ac:dyDescent="0.25">
      <c r="A562" s="72" t="e">
        <f>#REF!</f>
        <v>#REF!</v>
      </c>
      <c r="B562" t="s">
        <v>45</v>
      </c>
      <c r="C562" t="s">
        <v>45</v>
      </c>
      <c r="D562" t="s">
        <v>1643</v>
      </c>
      <c r="E562" s="102">
        <v>4.645833333333333</v>
      </c>
      <c r="F562" s="101">
        <v>3916.6895328263877</v>
      </c>
      <c r="G562" s="102">
        <v>0.2845800111098461</v>
      </c>
      <c r="H562" s="101">
        <v>3697.0586194912162</v>
      </c>
      <c r="I562" s="101">
        <v>1026.4300766897479</v>
      </c>
      <c r="J562" s="101"/>
      <c r="K562" s="233" t="str">
        <f>VLOOKUP(Broadcast_BASE[[#This Row],[Broadcast Market]],Continent_Look_Up[],2,FALSE)</f>
        <v>Digital</v>
      </c>
      <c r="L562" t="str">
        <f>IF(OR(Broadcast_BASE[[#This Row],[Broadcast Continent]]="Digital",Broadcast_BASE[[#This Row],[Programme Type]]="Digital"),"Y","N")</f>
        <v>Y</v>
      </c>
      <c r="M562" s="4" t="str">
        <f>IF(ISNUMBER(SEARCH("Pan ",Broadcast_BASE[[#This Row],[Broadcast Market]]))=TRUE,"Y","N")</f>
        <v>N</v>
      </c>
      <c r="N562" t="str">
        <f>VLOOKUP(CONCATENATE(Broadcast_BASE[[#This Row],[Broadcast Market]],Broadcast_BASE[[#This Row],[Broadcaster]]),Table1[[CC]:[Pay TV vs. Free-to-Air]],3,FALSE)</f>
        <v>Digital</v>
      </c>
      <c r="O562" s="1" t="str">
        <f>VLOOKUP(CONCATENATE(Broadcast_BASE[[#This Row],[Broadcast Market]],Broadcast_BASE[[#This Row],[Broadcaster]]),Table1[[CC]:[Pay TV vs. Free-to-Air]],2,FALSE)</f>
        <v>-</v>
      </c>
      <c r="P562" s="234">
        <f>Broadcast_BASE[[#This Row],[Rolex EXP]]*86400</f>
        <v>24587.712959890701</v>
      </c>
      <c r="Q562" s="235" t="str">
        <f>IF(Broadcast_BASE[[#This Row],[Dashboard Rated?]]="No","N","Y")</f>
        <v>Y</v>
      </c>
      <c r="R562" s="236"/>
      <c r="S562" s="236"/>
    </row>
    <row r="563" spans="1:19" x14ac:dyDescent="0.25">
      <c r="A563" s="72" t="e">
        <f>#REF!</f>
        <v>#REF!</v>
      </c>
      <c r="B563" t="s">
        <v>45</v>
      </c>
      <c r="C563" t="s">
        <v>45</v>
      </c>
      <c r="D563" t="s">
        <v>1642</v>
      </c>
      <c r="E563" s="102">
        <v>0.78819444444444453</v>
      </c>
      <c r="F563" s="101">
        <v>1373.4603612875821</v>
      </c>
      <c r="G563" s="102">
        <v>4.6086534603504037E-2</v>
      </c>
      <c r="H563" s="101">
        <v>104.89097479167673</v>
      </c>
      <c r="I563" s="101">
        <v>29.837222449706136</v>
      </c>
      <c r="J563" s="101"/>
      <c r="K563" s="233" t="str">
        <f>VLOOKUP(Broadcast_BASE[[#This Row],[Broadcast Market]],Continent_Look_Up[],2,FALSE)</f>
        <v>Digital</v>
      </c>
      <c r="L563" t="str">
        <f>IF(OR(Broadcast_BASE[[#This Row],[Broadcast Continent]]="Digital",Broadcast_BASE[[#This Row],[Programme Type]]="Digital"),"Y","N")</f>
        <v>Y</v>
      </c>
      <c r="M563" s="4" t="str">
        <f>IF(ISNUMBER(SEARCH("Pan ",Broadcast_BASE[[#This Row],[Broadcast Market]]))=TRUE,"Y","N")</f>
        <v>N</v>
      </c>
      <c r="N563" t="str">
        <f>VLOOKUP(CONCATENATE(Broadcast_BASE[[#This Row],[Broadcast Market]],Broadcast_BASE[[#This Row],[Broadcaster]]),Table1[[CC]:[Pay TV vs. Free-to-Air]],3,FALSE)</f>
        <v>Digital</v>
      </c>
      <c r="O563" s="1" t="str">
        <f>VLOOKUP(CONCATENATE(Broadcast_BASE[[#This Row],[Broadcast Market]],Broadcast_BASE[[#This Row],[Broadcaster]]),Table1[[CC]:[Pay TV vs. Free-to-Air]],2,FALSE)</f>
        <v>-</v>
      </c>
      <c r="P563" s="234">
        <f>Broadcast_BASE[[#This Row],[Rolex EXP]]*86400</f>
        <v>3981.8765897427488</v>
      </c>
      <c r="Q563" s="235" t="str">
        <f>IF(Broadcast_BASE[[#This Row],[Dashboard Rated?]]="No","N","Y")</f>
        <v>Y</v>
      </c>
      <c r="R563" s="236"/>
      <c r="S563" s="236"/>
    </row>
    <row r="564" spans="1:19" x14ac:dyDescent="0.25">
      <c r="A564" s="72" t="e">
        <f>#REF!</f>
        <v>#REF!</v>
      </c>
      <c r="B564" t="s">
        <v>45</v>
      </c>
      <c r="C564" t="s">
        <v>45</v>
      </c>
      <c r="D564" t="s">
        <v>1643</v>
      </c>
      <c r="E564" s="102">
        <v>3.2291666666666665</v>
      </c>
      <c r="F564" s="101">
        <v>1582.1110428165682</v>
      </c>
      <c r="G564" s="102">
        <v>0.19780224987455666</v>
      </c>
      <c r="H564" s="101">
        <v>1557.0130239369132</v>
      </c>
      <c r="I564" s="101">
        <v>432.28013457531796</v>
      </c>
      <c r="J564" s="101"/>
      <c r="K564" s="233" t="str">
        <f>VLOOKUP(Broadcast_BASE[[#This Row],[Broadcast Market]],Continent_Look_Up[],2,FALSE)</f>
        <v>Digital</v>
      </c>
      <c r="L564" t="str">
        <f>IF(OR(Broadcast_BASE[[#This Row],[Broadcast Continent]]="Digital",Broadcast_BASE[[#This Row],[Programme Type]]="Digital"),"Y","N")</f>
        <v>Y</v>
      </c>
      <c r="M564" s="4" t="str">
        <f>IF(ISNUMBER(SEARCH("Pan ",Broadcast_BASE[[#This Row],[Broadcast Market]]))=TRUE,"Y","N")</f>
        <v>N</v>
      </c>
      <c r="N564" t="str">
        <f>VLOOKUP(CONCATENATE(Broadcast_BASE[[#This Row],[Broadcast Market]],Broadcast_BASE[[#This Row],[Broadcaster]]),Table1[[CC]:[Pay TV vs. Free-to-Air]],3,FALSE)</f>
        <v>Digital</v>
      </c>
      <c r="O564" s="1" t="str">
        <f>VLOOKUP(CONCATENATE(Broadcast_BASE[[#This Row],[Broadcast Market]],Broadcast_BASE[[#This Row],[Broadcaster]]),Table1[[CC]:[Pay TV vs. Free-to-Air]],2,FALSE)</f>
        <v>-</v>
      </c>
      <c r="P564" s="234">
        <f>Broadcast_BASE[[#This Row],[Rolex EXP]]*86400</f>
        <v>17090.114389161696</v>
      </c>
      <c r="Q564" s="235" t="str">
        <f>IF(Broadcast_BASE[[#This Row],[Dashboard Rated?]]="No","N","Y")</f>
        <v>Y</v>
      </c>
      <c r="R564" s="236"/>
      <c r="S564" s="236"/>
    </row>
    <row r="565" spans="1:19" x14ac:dyDescent="0.25">
      <c r="A565" s="72" t="e">
        <f>#REF!</f>
        <v>#REF!</v>
      </c>
      <c r="B565" t="s">
        <v>45</v>
      </c>
      <c r="C565" t="s">
        <v>45</v>
      </c>
      <c r="D565" t="s">
        <v>1643</v>
      </c>
      <c r="E565" s="102">
        <v>3.0416666666666665</v>
      </c>
      <c r="F565" s="101">
        <v>1186.5832821124261</v>
      </c>
      <c r="G565" s="102">
        <v>0.18631695794635661</v>
      </c>
      <c r="H565" s="101">
        <v>1466.6058160954151</v>
      </c>
      <c r="I565" s="101">
        <v>407.17999772900919</v>
      </c>
      <c r="J565" s="101"/>
      <c r="K565" s="233" t="str">
        <f>VLOOKUP(Broadcast_BASE[[#This Row],[Broadcast Market]],Continent_Look_Up[],2,FALSE)</f>
        <v>Digital</v>
      </c>
      <c r="L565" t="str">
        <f>IF(OR(Broadcast_BASE[[#This Row],[Broadcast Continent]]="Digital",Broadcast_BASE[[#This Row],[Programme Type]]="Digital"),"Y","N")</f>
        <v>Y</v>
      </c>
      <c r="M565" s="4" t="str">
        <f>IF(ISNUMBER(SEARCH("Pan ",Broadcast_BASE[[#This Row],[Broadcast Market]]))=TRUE,"Y","N")</f>
        <v>N</v>
      </c>
      <c r="N565" t="str">
        <f>VLOOKUP(CONCATENATE(Broadcast_BASE[[#This Row],[Broadcast Market]],Broadcast_BASE[[#This Row],[Broadcaster]]),Table1[[CC]:[Pay TV vs. Free-to-Air]],3,FALSE)</f>
        <v>Digital</v>
      </c>
      <c r="O565" s="1" t="str">
        <f>VLOOKUP(CONCATENATE(Broadcast_BASE[[#This Row],[Broadcast Market]],Broadcast_BASE[[#This Row],[Broadcaster]]),Table1[[CC]:[Pay TV vs. Free-to-Air]],2,FALSE)</f>
        <v>-</v>
      </c>
      <c r="P565" s="234">
        <f>Broadcast_BASE[[#This Row],[Rolex EXP]]*86400</f>
        <v>16097.785166565211</v>
      </c>
      <c r="Q565" s="235" t="str">
        <f>IF(Broadcast_BASE[[#This Row],[Dashboard Rated?]]="No","N","Y")</f>
        <v>Y</v>
      </c>
      <c r="R565" s="236"/>
      <c r="S565" s="236"/>
    </row>
    <row r="566" spans="1:19" x14ac:dyDescent="0.25">
      <c r="A566" s="72" t="e">
        <f>#REF!</f>
        <v>#REF!</v>
      </c>
      <c r="B566" t="s">
        <v>45</v>
      </c>
      <c r="C566" t="s">
        <v>45</v>
      </c>
      <c r="D566" t="s">
        <v>1642</v>
      </c>
      <c r="E566" s="102">
        <v>0.28561342592592592</v>
      </c>
      <c r="F566" s="101">
        <v>1576.392584499139</v>
      </c>
      <c r="G566" s="102">
        <v>1.7495219068653891E-2</v>
      </c>
      <c r="H566" s="101">
        <v>104.55605390369087</v>
      </c>
      <c r="I566" s="101">
        <v>29.028341033313666</v>
      </c>
      <c r="J566" s="101"/>
      <c r="K566" s="233" t="str">
        <f>VLOOKUP(Broadcast_BASE[[#This Row],[Broadcast Market]],Continent_Look_Up[],2,FALSE)</f>
        <v>Digital</v>
      </c>
      <c r="L566" t="str">
        <f>IF(OR(Broadcast_BASE[[#This Row],[Broadcast Continent]]="Digital",Broadcast_BASE[[#This Row],[Programme Type]]="Digital"),"Y","N")</f>
        <v>Y</v>
      </c>
      <c r="M566" s="4" t="str">
        <f>IF(ISNUMBER(SEARCH("Pan ",Broadcast_BASE[[#This Row],[Broadcast Market]]))=TRUE,"Y","N")</f>
        <v>N</v>
      </c>
      <c r="N566" t="str">
        <f>VLOOKUP(CONCATENATE(Broadcast_BASE[[#This Row],[Broadcast Market]],Broadcast_BASE[[#This Row],[Broadcaster]]),Table1[[CC]:[Pay TV vs. Free-to-Air]],3,FALSE)</f>
        <v>Digital</v>
      </c>
      <c r="O566" s="1" t="str">
        <f>VLOOKUP(CONCATENATE(Broadcast_BASE[[#This Row],[Broadcast Market]],Broadcast_BASE[[#This Row],[Broadcaster]]),Table1[[CC]:[Pay TV vs. Free-to-Air]],2,FALSE)</f>
        <v>-</v>
      </c>
      <c r="P566" s="234">
        <f>Broadcast_BASE[[#This Row],[Rolex EXP]]*86400</f>
        <v>1511.5869275316961</v>
      </c>
      <c r="Q566" s="235" t="str">
        <f>IF(Broadcast_BASE[[#This Row],[Dashboard Rated?]]="No","N","Y")</f>
        <v>Y</v>
      </c>
      <c r="R566" s="236"/>
      <c r="S566" s="236"/>
    </row>
    <row r="567" spans="1:19" x14ac:dyDescent="0.25">
      <c r="A567" s="72" t="e">
        <f>#REF!</f>
        <v>#REF!</v>
      </c>
      <c r="B567" t="s">
        <v>45</v>
      </c>
      <c r="C567" t="s">
        <v>45</v>
      </c>
      <c r="D567" t="s">
        <v>1643</v>
      </c>
      <c r="E567" s="102">
        <v>6.0157175925925932</v>
      </c>
      <c r="F567" s="101">
        <v>10179.594441050815</v>
      </c>
      <c r="G567" s="102">
        <v>0.36849212111218582</v>
      </c>
      <c r="H567" s="101">
        <v>6462.7285014220188</v>
      </c>
      <c r="I567" s="101">
        <v>1794.2747448923385</v>
      </c>
      <c r="J567" s="101"/>
      <c r="K567" s="233" t="str">
        <f>VLOOKUP(Broadcast_BASE[[#This Row],[Broadcast Market]],Continent_Look_Up[],2,FALSE)</f>
        <v>Digital</v>
      </c>
      <c r="L567" t="str">
        <f>IF(OR(Broadcast_BASE[[#This Row],[Broadcast Continent]]="Digital",Broadcast_BASE[[#This Row],[Programme Type]]="Digital"),"Y","N")</f>
        <v>Y</v>
      </c>
      <c r="M567" s="4" t="str">
        <f>IF(ISNUMBER(SEARCH("Pan ",Broadcast_BASE[[#This Row],[Broadcast Market]]))=TRUE,"Y","N")</f>
        <v>N</v>
      </c>
      <c r="N567" t="str">
        <f>VLOOKUP(CONCATENATE(Broadcast_BASE[[#This Row],[Broadcast Market]],Broadcast_BASE[[#This Row],[Broadcaster]]),Table1[[CC]:[Pay TV vs. Free-to-Air]],3,FALSE)</f>
        <v>Digital</v>
      </c>
      <c r="O567" s="1" t="str">
        <f>VLOOKUP(CONCATENATE(Broadcast_BASE[[#This Row],[Broadcast Market]],Broadcast_BASE[[#This Row],[Broadcaster]]),Table1[[CC]:[Pay TV vs. Free-to-Air]],2,FALSE)</f>
        <v>-</v>
      </c>
      <c r="P567" s="234">
        <f>Broadcast_BASE[[#This Row],[Rolex EXP]]*86400</f>
        <v>31837.719264092855</v>
      </c>
      <c r="Q567" s="235" t="str">
        <f>IF(Broadcast_BASE[[#This Row],[Dashboard Rated?]]="No","N","Y")</f>
        <v>Y</v>
      </c>
      <c r="R567" s="236"/>
      <c r="S567" s="236"/>
    </row>
    <row r="568" spans="1:19" x14ac:dyDescent="0.25">
      <c r="A568" s="72" t="e">
        <f>#REF!</f>
        <v>#REF!</v>
      </c>
      <c r="B568" t="s">
        <v>45</v>
      </c>
      <c r="C568" t="s">
        <v>45</v>
      </c>
      <c r="D568" t="s">
        <v>1644</v>
      </c>
      <c r="E568" s="102">
        <v>0.17097222222222222</v>
      </c>
      <c r="F568" s="101">
        <v>8.356944351450581</v>
      </c>
      <c r="G568" s="102">
        <v>1.0472884713788357E-2</v>
      </c>
      <c r="H568" s="101">
        <v>3.4835967476408127</v>
      </c>
      <c r="I568" s="101">
        <v>0.96716575116928893</v>
      </c>
      <c r="J568" s="101"/>
      <c r="K568" s="233" t="str">
        <f>VLOOKUP(Broadcast_BASE[[#This Row],[Broadcast Market]],Continent_Look_Up[],2,FALSE)</f>
        <v>Digital</v>
      </c>
      <c r="L568" t="str">
        <f>IF(OR(Broadcast_BASE[[#This Row],[Broadcast Continent]]="Digital",Broadcast_BASE[[#This Row],[Programme Type]]="Digital"),"Y","N")</f>
        <v>Y</v>
      </c>
      <c r="M568" s="4" t="str">
        <f>IF(ISNUMBER(SEARCH("Pan ",Broadcast_BASE[[#This Row],[Broadcast Market]]))=TRUE,"Y","N")</f>
        <v>N</v>
      </c>
      <c r="N568" t="str">
        <f>VLOOKUP(CONCATENATE(Broadcast_BASE[[#This Row],[Broadcast Market]],Broadcast_BASE[[#This Row],[Broadcaster]]),Table1[[CC]:[Pay TV vs. Free-to-Air]],3,FALSE)</f>
        <v>Digital</v>
      </c>
      <c r="O568" s="1" t="str">
        <f>VLOOKUP(CONCATENATE(Broadcast_BASE[[#This Row],[Broadcast Market]],Broadcast_BASE[[#This Row],[Broadcaster]]),Table1[[CC]:[Pay TV vs. Free-to-Air]],2,FALSE)</f>
        <v>-</v>
      </c>
      <c r="P568" s="234">
        <f>Broadcast_BASE[[#This Row],[Rolex EXP]]*86400</f>
        <v>904.85723927131403</v>
      </c>
      <c r="Q568" s="235" t="str">
        <f>IF(Broadcast_BASE[[#This Row],[Dashboard Rated?]]="No","N","Y")</f>
        <v>Y</v>
      </c>
      <c r="R568" s="236"/>
      <c r="S568" s="236"/>
    </row>
    <row r="569" spans="1:19" x14ac:dyDescent="0.25">
      <c r="A569" s="72" t="e">
        <f>#REF!</f>
        <v>#REF!</v>
      </c>
      <c r="B569" t="s">
        <v>45</v>
      </c>
      <c r="C569" t="s">
        <v>45</v>
      </c>
      <c r="D569" t="s">
        <v>1643</v>
      </c>
      <c r="E569" s="102">
        <v>0.16015046296296295</v>
      </c>
      <c r="F569" s="101">
        <v>13.500057583942001</v>
      </c>
      <c r="G569" s="102">
        <v>9.8099990376854535E-3</v>
      </c>
      <c r="H569" s="101">
        <v>5.271310870975868</v>
      </c>
      <c r="I569" s="101">
        <v>1.4634964111810231</v>
      </c>
      <c r="J569" s="101"/>
      <c r="K569" s="233" t="str">
        <f>VLOOKUP(Broadcast_BASE[[#This Row],[Broadcast Market]],Continent_Look_Up[],2,FALSE)</f>
        <v>Digital</v>
      </c>
      <c r="L569" t="str">
        <f>IF(OR(Broadcast_BASE[[#This Row],[Broadcast Continent]]="Digital",Broadcast_BASE[[#This Row],[Programme Type]]="Digital"),"Y","N")</f>
        <v>Y</v>
      </c>
      <c r="M569" s="4" t="str">
        <f>IF(ISNUMBER(SEARCH("Pan ",Broadcast_BASE[[#This Row],[Broadcast Market]]))=TRUE,"Y","N")</f>
        <v>N</v>
      </c>
      <c r="N569" t="str">
        <f>VLOOKUP(CONCATENATE(Broadcast_BASE[[#This Row],[Broadcast Market]],Broadcast_BASE[[#This Row],[Broadcaster]]),Table1[[CC]:[Pay TV vs. Free-to-Air]],3,FALSE)</f>
        <v>Digital</v>
      </c>
      <c r="O569" s="1" t="str">
        <f>VLOOKUP(CONCATENATE(Broadcast_BASE[[#This Row],[Broadcast Market]],Broadcast_BASE[[#This Row],[Broadcaster]]),Table1[[CC]:[Pay TV vs. Free-to-Air]],2,FALSE)</f>
        <v>-</v>
      </c>
      <c r="P569" s="234">
        <f>Broadcast_BASE[[#This Row],[Rolex EXP]]*86400</f>
        <v>847.58391685602317</v>
      </c>
      <c r="Q569" s="235" t="str">
        <f>IF(Broadcast_BASE[[#This Row],[Dashboard Rated?]]="No","N","Y")</f>
        <v>Y</v>
      </c>
      <c r="R569" s="236"/>
      <c r="S569" s="236"/>
    </row>
    <row r="570" spans="1:19" x14ac:dyDescent="0.25">
      <c r="A570" s="72" t="e">
        <f>#REF!</f>
        <v>#REF!</v>
      </c>
      <c r="B570" t="s">
        <v>45</v>
      </c>
      <c r="C570" t="s">
        <v>45</v>
      </c>
      <c r="D570" t="s">
        <v>1642</v>
      </c>
      <c r="E570" s="102">
        <v>1.5881134259259257</v>
      </c>
      <c r="F570" s="101">
        <v>54718.713365027557</v>
      </c>
      <c r="G570" s="102">
        <v>9.7279713663217027E-2</v>
      </c>
      <c r="H570" s="101">
        <v>3309.2719023701452</v>
      </c>
      <c r="I570" s="101">
        <v>918.7672044552188</v>
      </c>
      <c r="J570" s="101"/>
      <c r="K570" s="233" t="str">
        <f>VLOOKUP(Broadcast_BASE[[#This Row],[Broadcast Market]],Continent_Look_Up[],2,FALSE)</f>
        <v>Digital</v>
      </c>
      <c r="L570" t="str">
        <f>IF(OR(Broadcast_BASE[[#This Row],[Broadcast Continent]]="Digital",Broadcast_BASE[[#This Row],[Programme Type]]="Digital"),"Y","N")</f>
        <v>Y</v>
      </c>
      <c r="M570" s="4" t="str">
        <f>IF(ISNUMBER(SEARCH("Pan ",Broadcast_BASE[[#This Row],[Broadcast Market]]))=TRUE,"Y","N")</f>
        <v>N</v>
      </c>
      <c r="N570" t="str">
        <f>VLOOKUP(CONCATENATE(Broadcast_BASE[[#This Row],[Broadcast Market]],Broadcast_BASE[[#This Row],[Broadcaster]]),Table1[[CC]:[Pay TV vs. Free-to-Air]],3,FALSE)</f>
        <v>Digital</v>
      </c>
      <c r="O570" s="1" t="str">
        <f>VLOOKUP(CONCATENATE(Broadcast_BASE[[#This Row],[Broadcast Market]],Broadcast_BASE[[#This Row],[Broadcaster]]),Table1[[CC]:[Pay TV vs. Free-to-Air]],2,FALSE)</f>
        <v>-</v>
      </c>
      <c r="P570" s="234">
        <f>Broadcast_BASE[[#This Row],[Rolex EXP]]*86400</f>
        <v>8404.9672605019514</v>
      </c>
      <c r="Q570" s="235" t="str">
        <f>IF(Broadcast_BASE[[#This Row],[Dashboard Rated?]]="No","N","Y")</f>
        <v>Y</v>
      </c>
      <c r="R570" s="236"/>
      <c r="S570" s="236"/>
    </row>
    <row r="571" spans="1:19" x14ac:dyDescent="0.25">
      <c r="A571" s="72" t="e">
        <f>#REF!</f>
        <v>#REF!</v>
      </c>
      <c r="B571" t="s">
        <v>45</v>
      </c>
      <c r="C571" t="s">
        <v>45</v>
      </c>
      <c r="D571" t="s">
        <v>1643</v>
      </c>
      <c r="E571" s="102">
        <v>7.6190046296296297</v>
      </c>
      <c r="F571" s="101">
        <v>53437.911610690062</v>
      </c>
      <c r="G571" s="102">
        <v>0.46670129265922183</v>
      </c>
      <c r="H571" s="101">
        <v>35889.397872058507</v>
      </c>
      <c r="I571" s="101">
        <v>9964.1258637212195</v>
      </c>
      <c r="J571" s="101"/>
      <c r="K571" s="233" t="str">
        <f>VLOOKUP(Broadcast_BASE[[#This Row],[Broadcast Market]],Continent_Look_Up[],2,FALSE)</f>
        <v>Digital</v>
      </c>
      <c r="L571" t="str">
        <f>IF(OR(Broadcast_BASE[[#This Row],[Broadcast Continent]]="Digital",Broadcast_BASE[[#This Row],[Programme Type]]="Digital"),"Y","N")</f>
        <v>Y</v>
      </c>
      <c r="M571" s="4" t="str">
        <f>IF(ISNUMBER(SEARCH("Pan ",Broadcast_BASE[[#This Row],[Broadcast Market]]))=TRUE,"Y","N")</f>
        <v>N</v>
      </c>
      <c r="N571" t="str">
        <f>VLOOKUP(CONCATENATE(Broadcast_BASE[[#This Row],[Broadcast Market]],Broadcast_BASE[[#This Row],[Broadcaster]]),Table1[[CC]:[Pay TV vs. Free-to-Air]],3,FALSE)</f>
        <v>Digital</v>
      </c>
      <c r="O571" s="1" t="str">
        <f>VLOOKUP(CONCATENATE(Broadcast_BASE[[#This Row],[Broadcast Market]],Broadcast_BASE[[#This Row],[Broadcaster]]),Table1[[CC]:[Pay TV vs. Free-to-Air]],2,FALSE)</f>
        <v>-</v>
      </c>
      <c r="P571" s="234">
        <f>Broadcast_BASE[[#This Row],[Rolex EXP]]*86400</f>
        <v>40322.991685756766</v>
      </c>
      <c r="Q571" s="235" t="str">
        <f>IF(Broadcast_BASE[[#This Row],[Dashboard Rated?]]="No","N","Y")</f>
        <v>Y</v>
      </c>
      <c r="R571" s="236"/>
      <c r="S571" s="236"/>
    </row>
    <row r="572" spans="1:19" x14ac:dyDescent="0.25">
      <c r="A572" s="72" t="e">
        <f>#REF!</f>
        <v>#REF!</v>
      </c>
      <c r="B572" t="s">
        <v>45</v>
      </c>
      <c r="C572" t="s">
        <v>45</v>
      </c>
      <c r="D572" t="s">
        <v>1644</v>
      </c>
      <c r="E572" s="102">
        <v>6.1840972222222232</v>
      </c>
      <c r="F572" s="101">
        <v>38327.163944253771</v>
      </c>
      <c r="G572" s="102">
        <v>0.37880619685116462</v>
      </c>
      <c r="H572" s="101">
        <v>11502.421563927248</v>
      </c>
      <c r="I572" s="101">
        <v>3193.4661208061775</v>
      </c>
      <c r="J572" s="101"/>
      <c r="K572" s="233" t="str">
        <f>VLOOKUP(Broadcast_BASE[[#This Row],[Broadcast Market]],Continent_Look_Up[],2,FALSE)</f>
        <v>Digital</v>
      </c>
      <c r="L572" t="str">
        <f>IF(OR(Broadcast_BASE[[#This Row],[Broadcast Continent]]="Digital",Broadcast_BASE[[#This Row],[Programme Type]]="Digital"),"Y","N")</f>
        <v>Y</v>
      </c>
      <c r="M572" s="4" t="str">
        <f>IF(ISNUMBER(SEARCH("Pan ",Broadcast_BASE[[#This Row],[Broadcast Market]]))=TRUE,"Y","N")</f>
        <v>N</v>
      </c>
      <c r="N572" t="str">
        <f>VLOOKUP(CONCATENATE(Broadcast_BASE[[#This Row],[Broadcast Market]],Broadcast_BASE[[#This Row],[Broadcaster]]),Table1[[CC]:[Pay TV vs. Free-to-Air]],3,FALSE)</f>
        <v>Digital</v>
      </c>
      <c r="O572" s="1" t="str">
        <f>VLOOKUP(CONCATENATE(Broadcast_BASE[[#This Row],[Broadcast Market]],Broadcast_BASE[[#This Row],[Broadcaster]]),Table1[[CC]:[Pay TV vs. Free-to-Air]],2,FALSE)</f>
        <v>-</v>
      </c>
      <c r="P572" s="234">
        <f>Broadcast_BASE[[#This Row],[Rolex EXP]]*86400</f>
        <v>32728.855407940624</v>
      </c>
      <c r="Q572" s="235" t="str">
        <f>IF(Broadcast_BASE[[#This Row],[Dashboard Rated?]]="No","N","Y")</f>
        <v>Y</v>
      </c>
      <c r="R572" s="236"/>
      <c r="S572" s="236"/>
    </row>
    <row r="573" spans="1:19" x14ac:dyDescent="0.25">
      <c r="A573" s="72" t="e">
        <f>#REF!</f>
        <v>#REF!</v>
      </c>
      <c r="B573" t="s">
        <v>45</v>
      </c>
      <c r="C573" t="s">
        <v>45</v>
      </c>
      <c r="D573" t="s">
        <v>1643</v>
      </c>
      <c r="E573" s="102">
        <v>2.4234722222222222</v>
      </c>
      <c r="F573" s="101">
        <v>1969.9063617384784</v>
      </c>
      <c r="G573" s="102">
        <v>0.14844952507789849</v>
      </c>
      <c r="H573" s="101">
        <v>1827.4489110104894</v>
      </c>
      <c r="I573" s="101">
        <v>507.3623977683186</v>
      </c>
      <c r="J573" s="101"/>
      <c r="K573" s="233" t="str">
        <f>VLOOKUP(Broadcast_BASE[[#This Row],[Broadcast Market]],Continent_Look_Up[],2,FALSE)</f>
        <v>Digital</v>
      </c>
      <c r="L573" t="str">
        <f>IF(OR(Broadcast_BASE[[#This Row],[Broadcast Continent]]="Digital",Broadcast_BASE[[#This Row],[Programme Type]]="Digital"),"Y","N")</f>
        <v>Y</v>
      </c>
      <c r="M573" s="4" t="str">
        <f>IF(ISNUMBER(SEARCH("Pan ",Broadcast_BASE[[#This Row],[Broadcast Market]]))=TRUE,"Y","N")</f>
        <v>N</v>
      </c>
      <c r="N573" t="str">
        <f>VLOOKUP(CONCATENATE(Broadcast_BASE[[#This Row],[Broadcast Market]],Broadcast_BASE[[#This Row],[Broadcaster]]),Table1[[CC]:[Pay TV vs. Free-to-Air]],3,FALSE)</f>
        <v>Digital</v>
      </c>
      <c r="O573" s="1" t="str">
        <f>VLOOKUP(CONCATENATE(Broadcast_BASE[[#This Row],[Broadcast Market]],Broadcast_BASE[[#This Row],[Broadcaster]]),Table1[[CC]:[Pay TV vs. Free-to-Air]],2,FALSE)</f>
        <v>-</v>
      </c>
      <c r="P573" s="234">
        <f>Broadcast_BASE[[#This Row],[Rolex EXP]]*86400</f>
        <v>12826.03896673043</v>
      </c>
      <c r="Q573" s="235" t="str">
        <f>IF(Broadcast_BASE[[#This Row],[Dashboard Rated?]]="No","N","Y")</f>
        <v>Y</v>
      </c>
      <c r="R573" s="236"/>
      <c r="S573" s="236"/>
    </row>
    <row r="574" spans="1:19" x14ac:dyDescent="0.25">
      <c r="A574" s="72" t="e">
        <f>#REF!</f>
        <v>#REF!</v>
      </c>
      <c r="B574" t="s">
        <v>45</v>
      </c>
      <c r="C574" t="s">
        <v>45</v>
      </c>
      <c r="D574" t="s">
        <v>1644</v>
      </c>
      <c r="E574" s="102">
        <v>0.22556712962962963</v>
      </c>
      <c r="F574" s="101">
        <v>14.326190316772401</v>
      </c>
      <c r="G574" s="102">
        <v>1.3817089777079699E-2</v>
      </c>
      <c r="H574" s="101">
        <v>7.8788229099189442</v>
      </c>
      <c r="I574" s="101">
        <v>2.187431046134177</v>
      </c>
      <c r="J574" s="101"/>
      <c r="K574" s="233" t="str">
        <f>VLOOKUP(Broadcast_BASE[[#This Row],[Broadcast Market]],Continent_Look_Up[],2,FALSE)</f>
        <v>Digital</v>
      </c>
      <c r="L574" t="str">
        <f>IF(OR(Broadcast_BASE[[#This Row],[Broadcast Continent]]="Digital",Broadcast_BASE[[#This Row],[Programme Type]]="Digital"),"Y","N")</f>
        <v>Y</v>
      </c>
      <c r="M574" s="4" t="str">
        <f>IF(ISNUMBER(SEARCH("Pan ",Broadcast_BASE[[#This Row],[Broadcast Market]]))=TRUE,"Y","N")</f>
        <v>N</v>
      </c>
      <c r="N574" t="str">
        <f>VLOOKUP(CONCATENATE(Broadcast_BASE[[#This Row],[Broadcast Market]],Broadcast_BASE[[#This Row],[Broadcaster]]),Table1[[CC]:[Pay TV vs. Free-to-Air]],3,FALSE)</f>
        <v>Digital</v>
      </c>
      <c r="O574" s="1" t="str">
        <f>VLOOKUP(CONCATENATE(Broadcast_BASE[[#This Row],[Broadcast Market]],Broadcast_BASE[[#This Row],[Broadcaster]]),Table1[[CC]:[Pay TV vs. Free-to-Air]],2,FALSE)</f>
        <v>-</v>
      </c>
      <c r="P574" s="234">
        <f>Broadcast_BASE[[#This Row],[Rolex EXP]]*86400</f>
        <v>1193.7965567396859</v>
      </c>
      <c r="Q574" s="235" t="str">
        <f>IF(Broadcast_BASE[[#This Row],[Dashboard Rated?]]="No","N","Y")</f>
        <v>Y</v>
      </c>
      <c r="R574" s="236"/>
      <c r="S574" s="236"/>
    </row>
    <row r="575" spans="1:19" x14ac:dyDescent="0.25">
      <c r="A575" s="72" t="e">
        <f>#REF!</f>
        <v>#REF!</v>
      </c>
      <c r="B575" t="s">
        <v>45</v>
      </c>
      <c r="C575" t="s">
        <v>45</v>
      </c>
      <c r="D575" t="s">
        <v>1642</v>
      </c>
      <c r="E575" s="102">
        <v>0.12510416666666666</v>
      </c>
      <c r="F575" s="101">
        <v>1448.9918206106977</v>
      </c>
      <c r="G575" s="102">
        <v>7.6632420032045996E-3</v>
      </c>
      <c r="H575" s="101">
        <v>68.60433422538415</v>
      </c>
      <c r="I575" s="101">
        <v>19.046912501998928</v>
      </c>
      <c r="J575" s="101"/>
      <c r="K575" s="233" t="str">
        <f>VLOOKUP(Broadcast_BASE[[#This Row],[Broadcast Market]],Continent_Look_Up[],2,FALSE)</f>
        <v>Digital</v>
      </c>
      <c r="L575" t="str">
        <f>IF(OR(Broadcast_BASE[[#This Row],[Broadcast Continent]]="Digital",Broadcast_BASE[[#This Row],[Programme Type]]="Digital"),"Y","N")</f>
        <v>Y</v>
      </c>
      <c r="M575" s="4" t="str">
        <f>IF(ISNUMBER(SEARCH("Pan ",Broadcast_BASE[[#This Row],[Broadcast Market]]))=TRUE,"Y","N")</f>
        <v>N</v>
      </c>
      <c r="N575" t="str">
        <f>VLOOKUP(CONCATENATE(Broadcast_BASE[[#This Row],[Broadcast Market]],Broadcast_BASE[[#This Row],[Broadcaster]]),Table1[[CC]:[Pay TV vs. Free-to-Air]],3,FALSE)</f>
        <v>Digital</v>
      </c>
      <c r="O575" s="1" t="str">
        <f>VLOOKUP(CONCATENATE(Broadcast_BASE[[#This Row],[Broadcast Market]],Broadcast_BASE[[#This Row],[Broadcaster]]),Table1[[CC]:[Pay TV vs. Free-to-Air]],2,FALSE)</f>
        <v>-</v>
      </c>
      <c r="P575" s="234">
        <f>Broadcast_BASE[[#This Row],[Rolex EXP]]*86400</f>
        <v>662.10410907687742</v>
      </c>
      <c r="Q575" s="235" t="str">
        <f>IF(Broadcast_BASE[[#This Row],[Dashboard Rated?]]="No","N","Y")</f>
        <v>Y</v>
      </c>
      <c r="R575" s="236"/>
      <c r="S575" s="236"/>
    </row>
    <row r="576" spans="1:19" x14ac:dyDescent="0.25">
      <c r="A576" s="72" t="e">
        <f>#REF!</f>
        <v>#REF!</v>
      </c>
      <c r="B576" t="s">
        <v>45</v>
      </c>
      <c r="C576" t="s">
        <v>45</v>
      </c>
      <c r="D576" t="s">
        <v>1644</v>
      </c>
      <c r="E576" s="102">
        <v>0.25158564814814816</v>
      </c>
      <c r="F576" s="101">
        <v>213.0168060196286</v>
      </c>
      <c r="G576" s="102">
        <v>1.5410851274276842E-2</v>
      </c>
      <c r="H576" s="101">
        <v>66.647411138202472</v>
      </c>
      <c r="I576" s="101">
        <v>18.503603639147233</v>
      </c>
      <c r="J576" s="101"/>
      <c r="K576" s="233" t="str">
        <f>VLOOKUP(Broadcast_BASE[[#This Row],[Broadcast Market]],Continent_Look_Up[],2,FALSE)</f>
        <v>Digital</v>
      </c>
      <c r="L576" t="str">
        <f>IF(OR(Broadcast_BASE[[#This Row],[Broadcast Continent]]="Digital",Broadcast_BASE[[#This Row],[Programme Type]]="Digital"),"Y","N")</f>
        <v>Y</v>
      </c>
      <c r="M576" s="4" t="str">
        <f>IF(ISNUMBER(SEARCH("Pan ",Broadcast_BASE[[#This Row],[Broadcast Market]]))=TRUE,"Y","N")</f>
        <v>N</v>
      </c>
      <c r="N576" t="str">
        <f>VLOOKUP(CONCATENATE(Broadcast_BASE[[#This Row],[Broadcast Market]],Broadcast_BASE[[#This Row],[Broadcaster]]),Table1[[CC]:[Pay TV vs. Free-to-Air]],3,FALSE)</f>
        <v>Digital</v>
      </c>
      <c r="O576" s="1" t="str">
        <f>VLOOKUP(CONCATENATE(Broadcast_BASE[[#This Row],[Broadcast Market]],Broadcast_BASE[[#This Row],[Broadcaster]]),Table1[[CC]:[Pay TV vs. Free-to-Air]],2,FALSE)</f>
        <v>-</v>
      </c>
      <c r="P576" s="234">
        <f>Broadcast_BASE[[#This Row],[Rolex EXP]]*86400</f>
        <v>1331.4975500975193</v>
      </c>
      <c r="Q576" s="235" t="str">
        <f>IF(Broadcast_BASE[[#This Row],[Dashboard Rated?]]="No","N","Y")</f>
        <v>Y</v>
      </c>
      <c r="R576" s="236"/>
      <c r="S576" s="236"/>
    </row>
    <row r="577" spans="1:19" x14ac:dyDescent="0.25">
      <c r="A577" s="72" t="e">
        <f>#REF!</f>
        <v>#REF!</v>
      </c>
      <c r="B577" t="s">
        <v>45</v>
      </c>
      <c r="C577" t="s">
        <v>45</v>
      </c>
      <c r="D577" t="s">
        <v>1642</v>
      </c>
      <c r="E577" s="102">
        <v>0.23393518518518519</v>
      </c>
      <c r="F577" s="101">
        <v>19715.225574264987</v>
      </c>
      <c r="G577" s="102">
        <v>1.4329674102023439E-2</v>
      </c>
      <c r="H577" s="101">
        <v>933.00053576805942</v>
      </c>
      <c r="I577" s="101">
        <v>259.03289886482162</v>
      </c>
      <c r="J577" s="101"/>
      <c r="K577" s="233" t="str">
        <f>VLOOKUP(Broadcast_BASE[[#This Row],[Broadcast Market]],Continent_Look_Up[],2,FALSE)</f>
        <v>Digital</v>
      </c>
      <c r="L577" t="str">
        <f>IF(OR(Broadcast_BASE[[#This Row],[Broadcast Continent]]="Digital",Broadcast_BASE[[#This Row],[Programme Type]]="Digital"),"Y","N")</f>
        <v>Y</v>
      </c>
      <c r="M577" s="4" t="str">
        <f>IF(ISNUMBER(SEARCH("Pan ",Broadcast_BASE[[#This Row],[Broadcast Market]]))=TRUE,"Y","N")</f>
        <v>N</v>
      </c>
      <c r="N577" t="str">
        <f>VLOOKUP(CONCATENATE(Broadcast_BASE[[#This Row],[Broadcast Market]],Broadcast_BASE[[#This Row],[Broadcaster]]),Table1[[CC]:[Pay TV vs. Free-to-Air]],3,FALSE)</f>
        <v>Digital</v>
      </c>
      <c r="O577" s="1" t="str">
        <f>VLOOKUP(CONCATENATE(Broadcast_BASE[[#This Row],[Broadcast Market]],Broadcast_BASE[[#This Row],[Broadcaster]]),Table1[[CC]:[Pay TV vs. Free-to-Air]],2,FALSE)</f>
        <v>-</v>
      </c>
      <c r="P577" s="234">
        <f>Broadcast_BASE[[#This Row],[Rolex EXP]]*86400</f>
        <v>1238.0838424148251</v>
      </c>
      <c r="Q577" s="235" t="str">
        <f>IF(Broadcast_BASE[[#This Row],[Dashboard Rated?]]="No","N","Y")</f>
        <v>Y</v>
      </c>
      <c r="R577" s="236"/>
      <c r="S577" s="236"/>
    </row>
    <row r="578" spans="1:19" x14ac:dyDescent="0.25">
      <c r="A578" s="72" t="e">
        <f>#REF!</f>
        <v>#REF!</v>
      </c>
      <c r="B578" t="s">
        <v>45</v>
      </c>
      <c r="C578" t="s">
        <v>45</v>
      </c>
      <c r="D578" t="s">
        <v>1642</v>
      </c>
      <c r="E578" s="102">
        <v>0.14736111111111111</v>
      </c>
      <c r="F578" s="101">
        <v>843.36917995761485</v>
      </c>
      <c r="G578" s="102">
        <v>9.026588693200199E-3</v>
      </c>
      <c r="H578" s="101">
        <v>69.804266081444922</v>
      </c>
      <c r="I578" s="101">
        <v>19.380054676306255</v>
      </c>
      <c r="J578" s="101"/>
      <c r="K578" s="233" t="str">
        <f>VLOOKUP(Broadcast_BASE[[#This Row],[Broadcast Market]],Continent_Look_Up[],2,FALSE)</f>
        <v>Digital</v>
      </c>
      <c r="L578" t="str">
        <f>IF(OR(Broadcast_BASE[[#This Row],[Broadcast Continent]]="Digital",Broadcast_BASE[[#This Row],[Programme Type]]="Digital"),"Y","N")</f>
        <v>Y</v>
      </c>
      <c r="M578" s="4" t="str">
        <f>IF(ISNUMBER(SEARCH("Pan ",Broadcast_BASE[[#This Row],[Broadcast Market]]))=TRUE,"Y","N")</f>
        <v>N</v>
      </c>
      <c r="N578" t="str">
        <f>VLOOKUP(CONCATENATE(Broadcast_BASE[[#This Row],[Broadcast Market]],Broadcast_BASE[[#This Row],[Broadcaster]]),Table1[[CC]:[Pay TV vs. Free-to-Air]],3,FALSE)</f>
        <v>Digital</v>
      </c>
      <c r="O578" s="1" t="str">
        <f>VLOOKUP(CONCATENATE(Broadcast_BASE[[#This Row],[Broadcast Market]],Broadcast_BASE[[#This Row],[Broadcaster]]),Table1[[CC]:[Pay TV vs. Free-to-Air]],2,FALSE)</f>
        <v>-</v>
      </c>
      <c r="P578" s="234">
        <f>Broadcast_BASE[[#This Row],[Rolex EXP]]*86400</f>
        <v>779.89726309249716</v>
      </c>
      <c r="Q578" s="235" t="str">
        <f>IF(Broadcast_BASE[[#This Row],[Dashboard Rated?]]="No","N","Y")</f>
        <v>Y</v>
      </c>
      <c r="R578" s="236"/>
      <c r="S578" s="236"/>
    </row>
    <row r="579" spans="1:19" x14ac:dyDescent="0.25">
      <c r="A579" s="72" t="e">
        <f>#REF!</f>
        <v>#REF!</v>
      </c>
      <c r="B579" t="s">
        <v>45</v>
      </c>
      <c r="C579" t="s">
        <v>45</v>
      </c>
      <c r="D579" t="s">
        <v>1643</v>
      </c>
      <c r="E579" s="102">
        <v>3.7275462962962966</v>
      </c>
      <c r="F579" s="101">
        <v>4782.8775440251738</v>
      </c>
      <c r="G579" s="102">
        <v>0.22833043940716755</v>
      </c>
      <c r="H579" s="101">
        <v>3616.7918731895797</v>
      </c>
      <c r="I579" s="101">
        <v>1004.1452792219267</v>
      </c>
      <c r="J579" s="101"/>
      <c r="K579" s="233" t="str">
        <f>VLOOKUP(Broadcast_BASE[[#This Row],[Broadcast Market]],Continent_Look_Up[],2,FALSE)</f>
        <v>Digital</v>
      </c>
      <c r="L579" t="str">
        <f>IF(OR(Broadcast_BASE[[#This Row],[Broadcast Continent]]="Digital",Broadcast_BASE[[#This Row],[Programme Type]]="Digital"),"Y","N")</f>
        <v>Y</v>
      </c>
      <c r="M579" s="4" t="str">
        <f>IF(ISNUMBER(SEARCH("Pan ",Broadcast_BASE[[#This Row],[Broadcast Market]]))=TRUE,"Y","N")</f>
        <v>N</v>
      </c>
      <c r="N579" t="str">
        <f>VLOOKUP(CONCATENATE(Broadcast_BASE[[#This Row],[Broadcast Market]],Broadcast_BASE[[#This Row],[Broadcaster]]),Table1[[CC]:[Pay TV vs. Free-to-Air]],3,FALSE)</f>
        <v>Digital</v>
      </c>
      <c r="O579" s="1" t="str">
        <f>VLOOKUP(CONCATENATE(Broadcast_BASE[[#This Row],[Broadcast Market]],Broadcast_BASE[[#This Row],[Broadcaster]]),Table1[[CC]:[Pay TV vs. Free-to-Air]],2,FALSE)</f>
        <v>-</v>
      </c>
      <c r="P579" s="234">
        <f>Broadcast_BASE[[#This Row],[Rolex EXP]]*86400</f>
        <v>19727.749964779276</v>
      </c>
      <c r="Q579" s="235" t="str">
        <f>IF(Broadcast_BASE[[#This Row],[Dashboard Rated?]]="No","N","Y")</f>
        <v>Y</v>
      </c>
      <c r="R579" s="236"/>
      <c r="S579" s="236"/>
    </row>
    <row r="580" spans="1:19" x14ac:dyDescent="0.25">
      <c r="A580" s="72" t="e">
        <f>#REF!</f>
        <v>#REF!</v>
      </c>
      <c r="B580" t="s">
        <v>45</v>
      </c>
      <c r="C580" t="s">
        <v>45</v>
      </c>
      <c r="D580" t="s">
        <v>1642</v>
      </c>
      <c r="E580" s="102">
        <v>0.8730902777777777</v>
      </c>
      <c r="F580" s="101">
        <v>55079.697182268828</v>
      </c>
      <c r="G580" s="102">
        <v>5.3481049173072344E-2</v>
      </c>
      <c r="H580" s="101">
        <v>5852.2762244587229</v>
      </c>
      <c r="I580" s="101">
        <v>1624.7922881751399</v>
      </c>
      <c r="J580" s="101"/>
      <c r="K580" s="233" t="str">
        <f>VLOOKUP(Broadcast_BASE[[#This Row],[Broadcast Market]],Continent_Look_Up[],2,FALSE)</f>
        <v>Digital</v>
      </c>
      <c r="L580" t="str">
        <f>IF(OR(Broadcast_BASE[[#This Row],[Broadcast Continent]]="Digital",Broadcast_BASE[[#This Row],[Programme Type]]="Digital"),"Y","N")</f>
        <v>Y</v>
      </c>
      <c r="M580" s="4" t="str">
        <f>IF(ISNUMBER(SEARCH("Pan ",Broadcast_BASE[[#This Row],[Broadcast Market]]))=TRUE,"Y","N")</f>
        <v>N</v>
      </c>
      <c r="N580" t="str">
        <f>VLOOKUP(CONCATENATE(Broadcast_BASE[[#This Row],[Broadcast Market]],Broadcast_BASE[[#This Row],[Broadcaster]]),Table1[[CC]:[Pay TV vs. Free-to-Air]],3,FALSE)</f>
        <v>Digital</v>
      </c>
      <c r="O580" s="1" t="str">
        <f>VLOOKUP(CONCATENATE(Broadcast_BASE[[#This Row],[Broadcast Market]],Broadcast_BASE[[#This Row],[Broadcaster]]),Table1[[CC]:[Pay TV vs. Free-to-Air]],2,FALSE)</f>
        <v>-</v>
      </c>
      <c r="P580" s="234">
        <f>Broadcast_BASE[[#This Row],[Rolex EXP]]*86400</f>
        <v>4620.7626485534502</v>
      </c>
      <c r="Q580" s="235" t="str">
        <f>IF(Broadcast_BASE[[#This Row],[Dashboard Rated?]]="No","N","Y")</f>
        <v>Y</v>
      </c>
      <c r="R580" s="236"/>
      <c r="S580" s="236"/>
    </row>
    <row r="581" spans="1:19" x14ac:dyDescent="0.25">
      <c r="A581" s="72" t="e">
        <f>#REF!</f>
        <v>#REF!</v>
      </c>
      <c r="B581" t="s">
        <v>45</v>
      </c>
      <c r="C581" t="s">
        <v>45</v>
      </c>
      <c r="D581" t="s">
        <v>1643</v>
      </c>
      <c r="E581" s="102">
        <v>2.8356597222222217</v>
      </c>
      <c r="F581" s="101">
        <v>182178.08157592316</v>
      </c>
      <c r="G581" s="102">
        <v>0.22583590747543972</v>
      </c>
      <c r="H581" s="101">
        <v>64382.240122386007</v>
      </c>
      <c r="I581" s="101">
        <v>18089.392338109945</v>
      </c>
      <c r="J581" s="101"/>
      <c r="K581" s="233" t="str">
        <f>VLOOKUP(Broadcast_BASE[[#This Row],[Broadcast Market]],Continent_Look_Up[],2,FALSE)</f>
        <v>Digital</v>
      </c>
      <c r="L581" t="str">
        <f>IF(OR(Broadcast_BASE[[#This Row],[Broadcast Continent]]="Digital",Broadcast_BASE[[#This Row],[Programme Type]]="Digital"),"Y","N")</f>
        <v>Y</v>
      </c>
      <c r="M581" s="4" t="str">
        <f>IF(ISNUMBER(SEARCH("Pan ",Broadcast_BASE[[#This Row],[Broadcast Market]]))=TRUE,"Y","N")</f>
        <v>N</v>
      </c>
      <c r="N581" t="str">
        <f>VLOOKUP(CONCATENATE(Broadcast_BASE[[#This Row],[Broadcast Market]],Broadcast_BASE[[#This Row],[Broadcaster]]),Table1[[CC]:[Pay TV vs. Free-to-Air]],3,FALSE)</f>
        <v>Digital</v>
      </c>
      <c r="O581" s="1" t="str">
        <f>VLOOKUP(CONCATENATE(Broadcast_BASE[[#This Row],[Broadcast Market]],Broadcast_BASE[[#This Row],[Broadcaster]]),Table1[[CC]:[Pay TV vs. Free-to-Air]],2,FALSE)</f>
        <v>-</v>
      </c>
      <c r="P581" s="234">
        <f>Broadcast_BASE[[#This Row],[Rolex EXP]]*86400</f>
        <v>19512.22240587799</v>
      </c>
      <c r="Q581" s="235" t="str">
        <f>IF(Broadcast_BASE[[#This Row],[Dashboard Rated?]]="No","N","Y")</f>
        <v>Y</v>
      </c>
      <c r="R581" s="236"/>
      <c r="S581" s="236"/>
    </row>
    <row r="582" spans="1:19" x14ac:dyDescent="0.25">
      <c r="A582" s="72" t="e">
        <f>#REF!</f>
        <v>#REF!</v>
      </c>
      <c r="B582" t="s">
        <v>45</v>
      </c>
      <c r="C582" t="s">
        <v>45</v>
      </c>
      <c r="D582" t="s">
        <v>1644</v>
      </c>
      <c r="E582" s="102">
        <v>3.5228009259259259</v>
      </c>
      <c r="F582" s="101">
        <v>168941.77830798979</v>
      </c>
      <c r="G582" s="102">
        <v>0.2736870885306239</v>
      </c>
      <c r="H582" s="101">
        <v>45905.498811487858</v>
      </c>
      <c r="I582" s="101">
        <v>13106.332647835594</v>
      </c>
      <c r="J582" s="101"/>
      <c r="K582" s="233" t="str">
        <f>VLOOKUP(Broadcast_BASE[[#This Row],[Broadcast Market]],Continent_Look_Up[],2,FALSE)</f>
        <v>Digital</v>
      </c>
      <c r="L582" t="str">
        <f>IF(OR(Broadcast_BASE[[#This Row],[Broadcast Continent]]="Digital",Broadcast_BASE[[#This Row],[Programme Type]]="Digital"),"Y","N")</f>
        <v>Y</v>
      </c>
      <c r="M582" s="4" t="str">
        <f>IF(ISNUMBER(SEARCH("Pan ",Broadcast_BASE[[#This Row],[Broadcast Market]]))=TRUE,"Y","N")</f>
        <v>N</v>
      </c>
      <c r="N582" t="str">
        <f>VLOOKUP(CONCATENATE(Broadcast_BASE[[#This Row],[Broadcast Market]],Broadcast_BASE[[#This Row],[Broadcaster]]),Table1[[CC]:[Pay TV vs. Free-to-Air]],3,FALSE)</f>
        <v>Digital</v>
      </c>
      <c r="O582" s="1" t="str">
        <f>VLOOKUP(CONCATENATE(Broadcast_BASE[[#This Row],[Broadcast Market]],Broadcast_BASE[[#This Row],[Broadcaster]]),Table1[[CC]:[Pay TV vs. Free-to-Air]],2,FALSE)</f>
        <v>-</v>
      </c>
      <c r="P582" s="234">
        <f>Broadcast_BASE[[#This Row],[Rolex EXP]]*86400</f>
        <v>23646.564449045905</v>
      </c>
      <c r="Q582" s="235" t="str">
        <f>IF(Broadcast_BASE[[#This Row],[Dashboard Rated?]]="No","N","Y")</f>
        <v>Y</v>
      </c>
      <c r="R582" s="236"/>
      <c r="S582" s="236"/>
    </row>
    <row r="583" spans="1:19" x14ac:dyDescent="0.25">
      <c r="A583" s="72" t="e">
        <f>#REF!</f>
        <v>#REF!</v>
      </c>
      <c r="B583" t="s">
        <v>45</v>
      </c>
      <c r="C583" t="s">
        <v>45</v>
      </c>
      <c r="D583" t="s">
        <v>1642</v>
      </c>
      <c r="E583" s="102">
        <v>0.93964120370370363</v>
      </c>
      <c r="F583" s="101">
        <v>120843.84215177194</v>
      </c>
      <c r="G583" s="102">
        <v>7.2229643476506636E-2</v>
      </c>
      <c r="H583" s="101">
        <v>2782.8618895401728</v>
      </c>
      <c r="I583" s="101">
        <v>812.21747326323623</v>
      </c>
      <c r="J583" s="101"/>
      <c r="K583" s="233" t="str">
        <f>VLOOKUP(Broadcast_BASE[[#This Row],[Broadcast Market]],Continent_Look_Up[],2,FALSE)</f>
        <v>Digital</v>
      </c>
      <c r="L583" t="str">
        <f>IF(OR(Broadcast_BASE[[#This Row],[Broadcast Continent]]="Digital",Broadcast_BASE[[#This Row],[Programme Type]]="Digital"),"Y","N")</f>
        <v>Y</v>
      </c>
      <c r="M583" s="4" t="str">
        <f>IF(ISNUMBER(SEARCH("Pan ",Broadcast_BASE[[#This Row],[Broadcast Market]]))=TRUE,"Y","N")</f>
        <v>N</v>
      </c>
      <c r="N583" t="str">
        <f>VLOOKUP(CONCATENATE(Broadcast_BASE[[#This Row],[Broadcast Market]],Broadcast_BASE[[#This Row],[Broadcaster]]),Table1[[CC]:[Pay TV vs. Free-to-Air]],3,FALSE)</f>
        <v>Digital</v>
      </c>
      <c r="O583" s="1" t="str">
        <f>VLOOKUP(CONCATENATE(Broadcast_BASE[[#This Row],[Broadcast Market]],Broadcast_BASE[[#This Row],[Broadcaster]]),Table1[[CC]:[Pay TV vs. Free-to-Air]],2,FALSE)</f>
        <v>-</v>
      </c>
      <c r="P583" s="234">
        <f>Broadcast_BASE[[#This Row],[Rolex EXP]]*86400</f>
        <v>6240.641196370173</v>
      </c>
      <c r="Q583" s="235" t="str">
        <f>IF(Broadcast_BASE[[#This Row],[Dashboard Rated?]]="No","N","Y")</f>
        <v>Y</v>
      </c>
      <c r="R583" s="236"/>
      <c r="S583" s="236"/>
    </row>
    <row r="584" spans="1:19" x14ac:dyDescent="0.25">
      <c r="A584" s="72" t="e">
        <f>#REF!</f>
        <v>#REF!</v>
      </c>
      <c r="B584" t="s">
        <v>45</v>
      </c>
      <c r="C584" t="s">
        <v>45</v>
      </c>
      <c r="D584" t="s">
        <v>1643</v>
      </c>
      <c r="E584" s="102">
        <v>5.1748726851851847</v>
      </c>
      <c r="F584" s="101">
        <v>226144.38150140725</v>
      </c>
      <c r="G584" s="102">
        <v>0.42854029786747111</v>
      </c>
      <c r="H584" s="101">
        <v>62895.648052621218</v>
      </c>
      <c r="I584" s="101">
        <v>18045.220700584352</v>
      </c>
      <c r="J584" s="101"/>
      <c r="K584" s="233" t="str">
        <f>VLOOKUP(Broadcast_BASE[[#This Row],[Broadcast Market]],Continent_Look_Up[],2,FALSE)</f>
        <v>Digital</v>
      </c>
      <c r="L584" t="str">
        <f>IF(OR(Broadcast_BASE[[#This Row],[Broadcast Continent]]="Digital",Broadcast_BASE[[#This Row],[Programme Type]]="Digital"),"Y","N")</f>
        <v>Y</v>
      </c>
      <c r="M584" s="4" t="str">
        <f>IF(ISNUMBER(SEARCH("Pan ",Broadcast_BASE[[#This Row],[Broadcast Market]]))=TRUE,"Y","N")</f>
        <v>N</v>
      </c>
      <c r="N584" t="str">
        <f>VLOOKUP(CONCATENATE(Broadcast_BASE[[#This Row],[Broadcast Market]],Broadcast_BASE[[#This Row],[Broadcaster]]),Table1[[CC]:[Pay TV vs. Free-to-Air]],3,FALSE)</f>
        <v>Digital</v>
      </c>
      <c r="O584" s="1" t="str">
        <f>VLOOKUP(CONCATENATE(Broadcast_BASE[[#This Row],[Broadcast Market]],Broadcast_BASE[[#This Row],[Broadcaster]]),Table1[[CC]:[Pay TV vs. Free-to-Air]],2,FALSE)</f>
        <v>-</v>
      </c>
      <c r="P584" s="234">
        <f>Broadcast_BASE[[#This Row],[Rolex EXP]]*86400</f>
        <v>37025.881735749506</v>
      </c>
      <c r="Q584" s="235" t="str">
        <f>IF(Broadcast_BASE[[#This Row],[Dashboard Rated?]]="No","N","Y")</f>
        <v>Y</v>
      </c>
      <c r="R584" s="236"/>
      <c r="S584" s="236"/>
    </row>
    <row r="585" spans="1:19" x14ac:dyDescent="0.25">
      <c r="A585" s="72" t="e">
        <f>#REF!</f>
        <v>#REF!</v>
      </c>
      <c r="B585" t="s">
        <v>45</v>
      </c>
      <c r="C585" t="s">
        <v>45</v>
      </c>
      <c r="D585" t="s">
        <v>1644</v>
      </c>
      <c r="E585" s="102">
        <v>2.397685185185185</v>
      </c>
      <c r="F585" s="101">
        <v>20617.455842863477</v>
      </c>
      <c r="G585" s="102">
        <v>0.18077817264044904</v>
      </c>
      <c r="H585" s="101">
        <v>2358.7907692273129</v>
      </c>
      <c r="I585" s="101">
        <v>673.11154229036981</v>
      </c>
      <c r="J585" s="101"/>
      <c r="K585" s="233" t="str">
        <f>VLOOKUP(Broadcast_BASE[[#This Row],[Broadcast Market]],Continent_Look_Up[],2,FALSE)</f>
        <v>Digital</v>
      </c>
      <c r="L585" t="str">
        <f>IF(OR(Broadcast_BASE[[#This Row],[Broadcast Continent]]="Digital",Broadcast_BASE[[#This Row],[Programme Type]]="Digital"),"Y","N")</f>
        <v>Y</v>
      </c>
      <c r="M585" s="4" t="str">
        <f>IF(ISNUMBER(SEARCH("Pan ",Broadcast_BASE[[#This Row],[Broadcast Market]]))=TRUE,"Y","N")</f>
        <v>N</v>
      </c>
      <c r="N585" t="str">
        <f>VLOOKUP(CONCATENATE(Broadcast_BASE[[#This Row],[Broadcast Market]],Broadcast_BASE[[#This Row],[Broadcaster]]),Table1[[CC]:[Pay TV vs. Free-to-Air]],3,FALSE)</f>
        <v>Digital</v>
      </c>
      <c r="O585" s="1" t="str">
        <f>VLOOKUP(CONCATENATE(Broadcast_BASE[[#This Row],[Broadcast Market]],Broadcast_BASE[[#This Row],[Broadcaster]]),Table1[[CC]:[Pay TV vs. Free-to-Air]],2,FALSE)</f>
        <v>-</v>
      </c>
      <c r="P585" s="234">
        <f>Broadcast_BASE[[#This Row],[Rolex EXP]]*86400</f>
        <v>15619.234116134798</v>
      </c>
      <c r="Q585" s="235" t="str">
        <f>IF(Broadcast_BASE[[#This Row],[Dashboard Rated?]]="No","N","Y")</f>
        <v>Y</v>
      </c>
      <c r="R585" s="236"/>
      <c r="S585" s="236"/>
    </row>
    <row r="586" spans="1:19" x14ac:dyDescent="0.25">
      <c r="A586" s="72" t="e">
        <f>#REF!</f>
        <v>#REF!</v>
      </c>
      <c r="B586" t="s">
        <v>45</v>
      </c>
      <c r="C586" t="s">
        <v>45</v>
      </c>
      <c r="D586" t="s">
        <v>1642</v>
      </c>
      <c r="E586" s="102">
        <v>0.33937499999999998</v>
      </c>
      <c r="F586" s="101">
        <v>48746.252363622771</v>
      </c>
      <c r="G586" s="102">
        <v>2.855997945984165E-2</v>
      </c>
      <c r="H586" s="101">
        <v>451.09027053830783</v>
      </c>
      <c r="I586" s="101">
        <v>133.01365517071224</v>
      </c>
      <c r="J586" s="101"/>
      <c r="K586" s="233" t="str">
        <f>VLOOKUP(Broadcast_BASE[[#This Row],[Broadcast Market]],Continent_Look_Up[],2,FALSE)</f>
        <v>Digital</v>
      </c>
      <c r="L586" t="str">
        <f>IF(OR(Broadcast_BASE[[#This Row],[Broadcast Continent]]="Digital",Broadcast_BASE[[#This Row],[Programme Type]]="Digital"),"Y","N")</f>
        <v>Y</v>
      </c>
      <c r="M586" s="4" t="str">
        <f>IF(ISNUMBER(SEARCH("Pan ",Broadcast_BASE[[#This Row],[Broadcast Market]]))=TRUE,"Y","N")</f>
        <v>N</v>
      </c>
      <c r="N586" t="str">
        <f>VLOOKUP(CONCATENATE(Broadcast_BASE[[#This Row],[Broadcast Market]],Broadcast_BASE[[#This Row],[Broadcaster]]),Table1[[CC]:[Pay TV vs. Free-to-Air]],3,FALSE)</f>
        <v>Digital</v>
      </c>
      <c r="O586" s="1" t="str">
        <f>VLOOKUP(CONCATENATE(Broadcast_BASE[[#This Row],[Broadcast Market]],Broadcast_BASE[[#This Row],[Broadcaster]]),Table1[[CC]:[Pay TV vs. Free-to-Air]],2,FALSE)</f>
        <v>-</v>
      </c>
      <c r="P586" s="234">
        <f>Broadcast_BASE[[#This Row],[Rolex EXP]]*86400</f>
        <v>2467.5822253303186</v>
      </c>
      <c r="Q586" s="235" t="str">
        <f>IF(Broadcast_BASE[[#This Row],[Dashboard Rated?]]="No","N","Y")</f>
        <v>Y</v>
      </c>
      <c r="R586" s="236"/>
      <c r="S586" s="236"/>
    </row>
    <row r="587" spans="1:19" x14ac:dyDescent="0.25">
      <c r="A587" s="72" t="e">
        <f>#REF!</f>
        <v>#REF!</v>
      </c>
      <c r="B587" t="s">
        <v>45</v>
      </c>
      <c r="C587" t="s">
        <v>45</v>
      </c>
      <c r="D587" t="s">
        <v>1643</v>
      </c>
      <c r="E587" s="102">
        <v>2.7304629629629633</v>
      </c>
      <c r="F587" s="101">
        <v>152351.59348164758</v>
      </c>
      <c r="G587" s="102">
        <v>0.23841199024823637</v>
      </c>
      <c r="H587" s="101">
        <v>19824.049545838909</v>
      </c>
      <c r="I587" s="101">
        <v>5820.8928335128003</v>
      </c>
      <c r="J587" s="101"/>
      <c r="K587" s="233" t="str">
        <f>VLOOKUP(Broadcast_BASE[[#This Row],[Broadcast Market]],Continent_Look_Up[],2,FALSE)</f>
        <v>Digital</v>
      </c>
      <c r="L587" t="str">
        <f>IF(OR(Broadcast_BASE[[#This Row],[Broadcast Continent]]="Digital",Broadcast_BASE[[#This Row],[Programme Type]]="Digital"),"Y","N")</f>
        <v>Y</v>
      </c>
      <c r="M587" s="4" t="str">
        <f>IF(ISNUMBER(SEARCH("Pan ",Broadcast_BASE[[#This Row],[Broadcast Market]]))=TRUE,"Y","N")</f>
        <v>N</v>
      </c>
      <c r="N587" t="str">
        <f>VLOOKUP(CONCATENATE(Broadcast_BASE[[#This Row],[Broadcast Market]],Broadcast_BASE[[#This Row],[Broadcaster]]),Table1[[CC]:[Pay TV vs. Free-to-Air]],3,FALSE)</f>
        <v>Digital</v>
      </c>
      <c r="O587" s="1" t="str">
        <f>VLOOKUP(CONCATENATE(Broadcast_BASE[[#This Row],[Broadcast Market]],Broadcast_BASE[[#This Row],[Broadcaster]]),Table1[[CC]:[Pay TV vs. Free-to-Air]],2,FALSE)</f>
        <v>-</v>
      </c>
      <c r="P587" s="234">
        <f>Broadcast_BASE[[#This Row],[Rolex EXP]]*86400</f>
        <v>20598.795957447623</v>
      </c>
      <c r="Q587" s="235" t="str">
        <f>IF(Broadcast_BASE[[#This Row],[Dashboard Rated?]]="No","N","Y")</f>
        <v>Y</v>
      </c>
      <c r="R587" s="236"/>
      <c r="S587" s="236"/>
    </row>
    <row r="588" spans="1:19" x14ac:dyDescent="0.25">
      <c r="A588" s="72" t="e">
        <f>#REF!</f>
        <v>#REF!</v>
      </c>
      <c r="B588" t="s">
        <v>45</v>
      </c>
      <c r="C588" t="s">
        <v>45</v>
      </c>
      <c r="D588" t="s">
        <v>1644</v>
      </c>
      <c r="E588" s="102">
        <v>3.0379050925925921</v>
      </c>
      <c r="F588" s="101">
        <v>12136.43573491508</v>
      </c>
      <c r="G588" s="102">
        <v>0.22690932112558129</v>
      </c>
      <c r="H588" s="101">
        <v>1726.0421686951236</v>
      </c>
      <c r="I588" s="101">
        <v>492.25745507136327</v>
      </c>
      <c r="J588" s="101"/>
      <c r="K588" s="233" t="str">
        <f>VLOOKUP(Broadcast_BASE[[#This Row],[Broadcast Market]],Continent_Look_Up[],2,FALSE)</f>
        <v>Digital</v>
      </c>
      <c r="L588" t="str">
        <f>IF(OR(Broadcast_BASE[[#This Row],[Broadcast Continent]]="Digital",Broadcast_BASE[[#This Row],[Programme Type]]="Digital"),"Y","N")</f>
        <v>Y</v>
      </c>
      <c r="M588" s="4" t="str">
        <f>IF(ISNUMBER(SEARCH("Pan ",Broadcast_BASE[[#This Row],[Broadcast Market]]))=TRUE,"Y","N")</f>
        <v>N</v>
      </c>
      <c r="N588" t="str">
        <f>VLOOKUP(CONCATENATE(Broadcast_BASE[[#This Row],[Broadcast Market]],Broadcast_BASE[[#This Row],[Broadcaster]]),Table1[[CC]:[Pay TV vs. Free-to-Air]],3,FALSE)</f>
        <v>Digital</v>
      </c>
      <c r="O588" s="1" t="str">
        <f>VLOOKUP(CONCATENATE(Broadcast_BASE[[#This Row],[Broadcast Market]],Broadcast_BASE[[#This Row],[Broadcaster]]),Table1[[CC]:[Pay TV vs. Free-to-Air]],2,FALSE)</f>
        <v>-</v>
      </c>
      <c r="P588" s="234">
        <f>Broadcast_BASE[[#This Row],[Rolex EXP]]*86400</f>
        <v>19604.965345250224</v>
      </c>
      <c r="Q588" s="235" t="str">
        <f>IF(Broadcast_BASE[[#This Row],[Dashboard Rated?]]="No","N","Y")</f>
        <v>Y</v>
      </c>
      <c r="R588" s="236"/>
      <c r="S588" s="236"/>
    </row>
    <row r="589" spans="1:19" x14ac:dyDescent="0.25">
      <c r="A589" s="72" t="e">
        <f>#REF!</f>
        <v>#REF!</v>
      </c>
      <c r="B589" t="s">
        <v>45</v>
      </c>
      <c r="C589" t="s">
        <v>45</v>
      </c>
      <c r="D589" t="s">
        <v>1643</v>
      </c>
      <c r="E589" s="102">
        <v>6.5694444444444438</v>
      </c>
      <c r="F589" s="101">
        <v>8481</v>
      </c>
      <c r="G589" s="102">
        <v>0.42219400197905926</v>
      </c>
      <c r="H589" s="101">
        <v>7703.9070025549418</v>
      </c>
      <c r="I589" s="101">
        <v>2168.244901280385</v>
      </c>
      <c r="J589" s="101"/>
      <c r="K589" s="233" t="str">
        <f>VLOOKUP(Broadcast_BASE[[#This Row],[Broadcast Market]],Continent_Look_Up[],2,FALSE)</f>
        <v>Digital</v>
      </c>
      <c r="L589" t="str">
        <f>IF(OR(Broadcast_BASE[[#This Row],[Broadcast Continent]]="Digital",Broadcast_BASE[[#This Row],[Programme Type]]="Digital"),"Y","N")</f>
        <v>Y</v>
      </c>
      <c r="M589" s="4" t="str">
        <f>IF(ISNUMBER(SEARCH("Pan ",Broadcast_BASE[[#This Row],[Broadcast Market]]))=TRUE,"Y","N")</f>
        <v>N</v>
      </c>
      <c r="N589" t="str">
        <f>VLOOKUP(CONCATENATE(Broadcast_BASE[[#This Row],[Broadcast Market]],Broadcast_BASE[[#This Row],[Broadcaster]]),Table1[[CC]:[Pay TV vs. Free-to-Air]],3,FALSE)</f>
        <v>Digital</v>
      </c>
      <c r="O589" s="1" t="str">
        <f>VLOOKUP(CONCATENATE(Broadcast_BASE[[#This Row],[Broadcast Market]],Broadcast_BASE[[#This Row],[Broadcaster]]),Table1[[CC]:[Pay TV vs. Free-to-Air]],2,FALSE)</f>
        <v>-</v>
      </c>
      <c r="P589" s="234">
        <f>Broadcast_BASE[[#This Row],[Rolex EXP]]*86400</f>
        <v>36477.561770990724</v>
      </c>
      <c r="Q589" s="235" t="str">
        <f>IF(Broadcast_BASE[[#This Row],[Dashboard Rated?]]="No","N","Y")</f>
        <v>Y</v>
      </c>
      <c r="R589" s="236"/>
      <c r="S589" s="236"/>
    </row>
    <row r="590" spans="1:19" x14ac:dyDescent="0.25">
      <c r="A590" s="72" t="e">
        <f>#REF!</f>
        <v>#REF!</v>
      </c>
      <c r="B590" t="s">
        <v>45</v>
      </c>
      <c r="C590" t="s">
        <v>45</v>
      </c>
      <c r="D590" t="s">
        <v>1642</v>
      </c>
      <c r="E590" s="102">
        <v>0.98739583333333325</v>
      </c>
      <c r="F590" s="101">
        <v>12331.483546273079</v>
      </c>
      <c r="G590" s="102">
        <v>7.2479690409478326E-2</v>
      </c>
      <c r="H590" s="101">
        <v>809.8890596759345</v>
      </c>
      <c r="I590" s="101">
        <v>228.90712582516417</v>
      </c>
      <c r="J590" s="101"/>
      <c r="K590" s="233" t="str">
        <f>VLOOKUP(Broadcast_BASE[[#This Row],[Broadcast Market]],Continent_Look_Up[],2,FALSE)</f>
        <v>Digital</v>
      </c>
      <c r="L590" t="str">
        <f>IF(OR(Broadcast_BASE[[#This Row],[Broadcast Continent]]="Digital",Broadcast_BASE[[#This Row],[Programme Type]]="Digital"),"Y","N")</f>
        <v>Y</v>
      </c>
      <c r="M590" s="4" t="str">
        <f>IF(ISNUMBER(SEARCH("Pan ",Broadcast_BASE[[#This Row],[Broadcast Market]]))=TRUE,"Y","N")</f>
        <v>N</v>
      </c>
      <c r="N590" t="str">
        <f>VLOOKUP(CONCATENATE(Broadcast_BASE[[#This Row],[Broadcast Market]],Broadcast_BASE[[#This Row],[Broadcaster]]),Table1[[CC]:[Pay TV vs. Free-to-Air]],3,FALSE)</f>
        <v>Digital</v>
      </c>
      <c r="O590" s="1" t="str">
        <f>VLOOKUP(CONCATENATE(Broadcast_BASE[[#This Row],[Broadcast Market]],Broadcast_BASE[[#This Row],[Broadcaster]]),Table1[[CC]:[Pay TV vs. Free-to-Air]],2,FALSE)</f>
        <v>-</v>
      </c>
      <c r="P590" s="234">
        <f>Broadcast_BASE[[#This Row],[Rolex EXP]]*86400</f>
        <v>6262.2452513789276</v>
      </c>
      <c r="Q590" s="235" t="str">
        <f>IF(Broadcast_BASE[[#This Row],[Dashboard Rated?]]="No","N","Y")</f>
        <v>Y</v>
      </c>
      <c r="R590" s="236"/>
      <c r="S590" s="236"/>
    </row>
    <row r="591" spans="1:19" x14ac:dyDescent="0.25">
      <c r="A591" s="72" t="e">
        <f>#REF!</f>
        <v>#REF!</v>
      </c>
      <c r="B591" t="s">
        <v>45</v>
      </c>
      <c r="C591" t="s">
        <v>45</v>
      </c>
      <c r="D591" t="s">
        <v>1643</v>
      </c>
      <c r="E591" s="102">
        <v>5.3803819444444443</v>
      </c>
      <c r="F591" s="101">
        <v>57853.215532994887</v>
      </c>
      <c r="G591" s="102">
        <v>0.43235285310135035</v>
      </c>
      <c r="H591" s="101">
        <v>13961.596687405103</v>
      </c>
      <c r="I591" s="101">
        <v>3939.6033488248204</v>
      </c>
      <c r="J591" s="101"/>
      <c r="K591" s="233" t="str">
        <f>VLOOKUP(Broadcast_BASE[[#This Row],[Broadcast Market]],Continent_Look_Up[],2,FALSE)</f>
        <v>Digital</v>
      </c>
      <c r="L591" t="str">
        <f>IF(OR(Broadcast_BASE[[#This Row],[Broadcast Continent]]="Digital",Broadcast_BASE[[#This Row],[Programme Type]]="Digital"),"Y","N")</f>
        <v>Y</v>
      </c>
      <c r="M591" s="4" t="str">
        <f>IF(ISNUMBER(SEARCH("Pan ",Broadcast_BASE[[#This Row],[Broadcast Market]]))=TRUE,"Y","N")</f>
        <v>N</v>
      </c>
      <c r="N591" t="str">
        <f>VLOOKUP(CONCATENATE(Broadcast_BASE[[#This Row],[Broadcast Market]],Broadcast_BASE[[#This Row],[Broadcaster]]),Table1[[CC]:[Pay TV vs. Free-to-Air]],3,FALSE)</f>
        <v>Digital</v>
      </c>
      <c r="O591" s="1" t="str">
        <f>VLOOKUP(CONCATENATE(Broadcast_BASE[[#This Row],[Broadcast Market]],Broadcast_BASE[[#This Row],[Broadcaster]]),Table1[[CC]:[Pay TV vs. Free-to-Air]],2,FALSE)</f>
        <v>-</v>
      </c>
      <c r="P591" s="234">
        <f>Broadcast_BASE[[#This Row],[Rolex EXP]]*86400</f>
        <v>37355.286507956669</v>
      </c>
      <c r="Q591" s="235" t="str">
        <f>IF(Broadcast_BASE[[#This Row],[Dashboard Rated?]]="No","N","Y")</f>
        <v>Y</v>
      </c>
      <c r="R591" s="236"/>
      <c r="S591" s="236"/>
    </row>
    <row r="592" spans="1:19" x14ac:dyDescent="0.25">
      <c r="A592" s="72" t="e">
        <f>#REF!</f>
        <v>#REF!</v>
      </c>
      <c r="B592" t="s">
        <v>45</v>
      </c>
      <c r="C592" t="s">
        <v>45</v>
      </c>
      <c r="D592" t="s">
        <v>1644</v>
      </c>
      <c r="E592" s="102">
        <v>1.4276273148148146</v>
      </c>
      <c r="F592" s="101">
        <v>6754.3589118526843</v>
      </c>
      <c r="G592" s="102">
        <v>0.10829109740960212</v>
      </c>
      <c r="H592" s="101">
        <v>1125.5275946469724</v>
      </c>
      <c r="I592" s="101">
        <v>326.54251617273275</v>
      </c>
      <c r="J592" s="101"/>
      <c r="K592" s="233" t="str">
        <f>VLOOKUP(Broadcast_BASE[[#This Row],[Broadcast Market]],Continent_Look_Up[],2,FALSE)</f>
        <v>Digital</v>
      </c>
      <c r="L592" t="str">
        <f>IF(OR(Broadcast_BASE[[#This Row],[Broadcast Continent]]="Digital",Broadcast_BASE[[#This Row],[Programme Type]]="Digital"),"Y","N")</f>
        <v>Y</v>
      </c>
      <c r="M592" s="4" t="str">
        <f>IF(ISNUMBER(SEARCH("Pan ",Broadcast_BASE[[#This Row],[Broadcast Market]]))=TRUE,"Y","N")</f>
        <v>N</v>
      </c>
      <c r="N592" t="str">
        <f>VLOOKUP(CONCATENATE(Broadcast_BASE[[#This Row],[Broadcast Market]],Broadcast_BASE[[#This Row],[Broadcaster]]),Table1[[CC]:[Pay TV vs. Free-to-Air]],3,FALSE)</f>
        <v>Digital</v>
      </c>
      <c r="O592" s="1" t="str">
        <f>VLOOKUP(CONCATENATE(Broadcast_BASE[[#This Row],[Broadcast Market]],Broadcast_BASE[[#This Row],[Broadcaster]]),Table1[[CC]:[Pay TV vs. Free-to-Air]],2,FALSE)</f>
        <v>-</v>
      </c>
      <c r="P592" s="234">
        <f>Broadcast_BASE[[#This Row],[Rolex EXP]]*86400</f>
        <v>9356.3508161896225</v>
      </c>
      <c r="Q592" s="235" t="str">
        <f>IF(Broadcast_BASE[[#This Row],[Dashboard Rated?]]="No","N","Y")</f>
        <v>Y</v>
      </c>
      <c r="R592" s="236"/>
      <c r="S592" s="236"/>
    </row>
    <row r="593" spans="1:19" x14ac:dyDescent="0.25">
      <c r="A593" s="72" t="e">
        <f>#REF!</f>
        <v>#REF!</v>
      </c>
      <c r="B593" t="s">
        <v>45</v>
      </c>
      <c r="C593" t="s">
        <v>45</v>
      </c>
      <c r="D593" t="s">
        <v>1642</v>
      </c>
      <c r="E593" s="102">
        <v>0.83843749999999995</v>
      </c>
      <c r="F593" s="101">
        <v>7868.4395483759345</v>
      </c>
      <c r="G593" s="102">
        <v>6.5951216212620456E-2</v>
      </c>
      <c r="H593" s="101">
        <v>688.59490318568305</v>
      </c>
      <c r="I593" s="101">
        <v>196.99611939357183</v>
      </c>
      <c r="J593" s="101"/>
      <c r="K593" s="233" t="str">
        <f>VLOOKUP(Broadcast_BASE[[#This Row],[Broadcast Market]],Continent_Look_Up[],2,FALSE)</f>
        <v>Digital</v>
      </c>
      <c r="L593" t="str">
        <f>IF(OR(Broadcast_BASE[[#This Row],[Broadcast Continent]]="Digital",Broadcast_BASE[[#This Row],[Programme Type]]="Digital"),"Y","N")</f>
        <v>Y</v>
      </c>
      <c r="M593" s="4" t="str">
        <f>IF(ISNUMBER(SEARCH("Pan ",Broadcast_BASE[[#This Row],[Broadcast Market]]))=TRUE,"Y","N")</f>
        <v>N</v>
      </c>
      <c r="N593" t="str">
        <f>VLOOKUP(CONCATENATE(Broadcast_BASE[[#This Row],[Broadcast Market]],Broadcast_BASE[[#This Row],[Broadcaster]]),Table1[[CC]:[Pay TV vs. Free-to-Air]],3,FALSE)</f>
        <v>Digital</v>
      </c>
      <c r="O593" s="1" t="str">
        <f>VLOOKUP(CONCATENATE(Broadcast_BASE[[#This Row],[Broadcast Market]],Broadcast_BASE[[#This Row],[Broadcaster]]),Table1[[CC]:[Pay TV vs. Free-to-Air]],2,FALSE)</f>
        <v>-</v>
      </c>
      <c r="P593" s="234">
        <f>Broadcast_BASE[[#This Row],[Rolex EXP]]*86400</f>
        <v>5698.1850807704077</v>
      </c>
      <c r="Q593" s="235" t="str">
        <f>IF(Broadcast_BASE[[#This Row],[Dashboard Rated?]]="No","N","Y")</f>
        <v>Y</v>
      </c>
      <c r="R593" s="236"/>
      <c r="S593" s="236"/>
    </row>
    <row r="594" spans="1:19" x14ac:dyDescent="0.25">
      <c r="A594" s="72" t="e">
        <f>#REF!</f>
        <v>#REF!</v>
      </c>
      <c r="B594" t="s">
        <v>45</v>
      </c>
      <c r="C594" t="s">
        <v>45</v>
      </c>
      <c r="D594" t="s">
        <v>1643</v>
      </c>
      <c r="E594" s="102">
        <v>3.0458796296296295</v>
      </c>
      <c r="F594" s="101">
        <v>34328.088474617063</v>
      </c>
      <c r="G594" s="102">
        <v>0.25179070981041834</v>
      </c>
      <c r="H594" s="101">
        <v>8833.4187892704813</v>
      </c>
      <c r="I594" s="101">
        <v>2650.4861454356947</v>
      </c>
      <c r="J594" s="101"/>
      <c r="K594" s="233" t="str">
        <f>VLOOKUP(Broadcast_BASE[[#This Row],[Broadcast Market]],Continent_Look_Up[],2,FALSE)</f>
        <v>Digital</v>
      </c>
      <c r="L594" t="str">
        <f>IF(OR(Broadcast_BASE[[#This Row],[Broadcast Continent]]="Digital",Broadcast_BASE[[#This Row],[Programme Type]]="Digital"),"Y","N")</f>
        <v>Y</v>
      </c>
      <c r="M594" s="4" t="str">
        <f>IF(ISNUMBER(SEARCH("Pan ",Broadcast_BASE[[#This Row],[Broadcast Market]]))=TRUE,"Y","N")</f>
        <v>N</v>
      </c>
      <c r="N594" t="str">
        <f>VLOOKUP(CONCATENATE(Broadcast_BASE[[#This Row],[Broadcast Market]],Broadcast_BASE[[#This Row],[Broadcaster]]),Table1[[CC]:[Pay TV vs. Free-to-Air]],3,FALSE)</f>
        <v>Digital</v>
      </c>
      <c r="O594" s="1" t="str">
        <f>VLOOKUP(CONCATENATE(Broadcast_BASE[[#This Row],[Broadcast Market]],Broadcast_BASE[[#This Row],[Broadcaster]]),Table1[[CC]:[Pay TV vs. Free-to-Air]],2,FALSE)</f>
        <v>-</v>
      </c>
      <c r="P594" s="234">
        <f>Broadcast_BASE[[#This Row],[Rolex EXP]]*86400</f>
        <v>21754.717327620147</v>
      </c>
      <c r="Q594" s="235" t="str">
        <f>IF(Broadcast_BASE[[#This Row],[Dashboard Rated?]]="No","N","Y")</f>
        <v>Y</v>
      </c>
      <c r="R594" s="236"/>
      <c r="S594" s="236"/>
    </row>
    <row r="595" spans="1:19" x14ac:dyDescent="0.25">
      <c r="A595" s="72" t="e">
        <f>#REF!</f>
        <v>#REF!</v>
      </c>
      <c r="B595" t="s">
        <v>45</v>
      </c>
      <c r="C595" t="s">
        <v>45</v>
      </c>
      <c r="D595" t="s">
        <v>1644</v>
      </c>
      <c r="E595" s="102">
        <v>2.4179629629629633</v>
      </c>
      <c r="F595" s="101">
        <v>9734.9026962164116</v>
      </c>
      <c r="G595" s="102">
        <v>0.18174330250067053</v>
      </c>
      <c r="H595" s="101">
        <v>1715.8745147929981</v>
      </c>
      <c r="I595" s="101">
        <v>486.61178663304605</v>
      </c>
      <c r="J595" s="101"/>
      <c r="K595" s="233" t="str">
        <f>VLOOKUP(Broadcast_BASE[[#This Row],[Broadcast Market]],Continent_Look_Up[],2,FALSE)</f>
        <v>Digital</v>
      </c>
      <c r="L595" t="str">
        <f>IF(OR(Broadcast_BASE[[#This Row],[Broadcast Continent]]="Digital",Broadcast_BASE[[#This Row],[Programme Type]]="Digital"),"Y","N")</f>
        <v>Y</v>
      </c>
      <c r="M595" s="4" t="str">
        <f>IF(ISNUMBER(SEARCH("Pan ",Broadcast_BASE[[#This Row],[Broadcast Market]]))=TRUE,"Y","N")</f>
        <v>N</v>
      </c>
      <c r="N595" t="str">
        <f>VLOOKUP(CONCATENATE(Broadcast_BASE[[#This Row],[Broadcast Market]],Broadcast_BASE[[#This Row],[Broadcaster]]),Table1[[CC]:[Pay TV vs. Free-to-Air]],3,FALSE)</f>
        <v>Digital</v>
      </c>
      <c r="O595" s="1" t="str">
        <f>VLOOKUP(CONCATENATE(Broadcast_BASE[[#This Row],[Broadcast Market]],Broadcast_BASE[[#This Row],[Broadcaster]]),Table1[[CC]:[Pay TV vs. Free-to-Air]],2,FALSE)</f>
        <v>-</v>
      </c>
      <c r="P595" s="234">
        <f>Broadcast_BASE[[#This Row],[Rolex EXP]]*86400</f>
        <v>15702.621336057933</v>
      </c>
      <c r="Q595" s="235" t="str">
        <f>IF(Broadcast_BASE[[#This Row],[Dashboard Rated?]]="No","N","Y")</f>
        <v>Y</v>
      </c>
      <c r="R595" s="236"/>
      <c r="S595" s="236"/>
    </row>
    <row r="596" spans="1:19" x14ac:dyDescent="0.25">
      <c r="A596" s="72" t="e">
        <f>#REF!</f>
        <v>#REF!</v>
      </c>
      <c r="B596" t="s">
        <v>45</v>
      </c>
      <c r="C596" t="s">
        <v>45</v>
      </c>
      <c r="D596" t="s">
        <v>1642</v>
      </c>
      <c r="E596" s="102">
        <v>0.13761574074074073</v>
      </c>
      <c r="F596" s="101">
        <v>11279.296278445556</v>
      </c>
      <c r="G596" s="102">
        <v>1.0088043732758652E-2</v>
      </c>
      <c r="H596" s="101">
        <v>205.80834762202915</v>
      </c>
      <c r="I596" s="101">
        <v>61.796596615011772</v>
      </c>
      <c r="J596" s="101"/>
      <c r="K596" s="233" t="str">
        <f>VLOOKUP(Broadcast_BASE[[#This Row],[Broadcast Market]],Continent_Look_Up[],2,FALSE)</f>
        <v>Digital</v>
      </c>
      <c r="L596" t="str">
        <f>IF(OR(Broadcast_BASE[[#This Row],[Broadcast Continent]]="Digital",Broadcast_BASE[[#This Row],[Programme Type]]="Digital"),"Y","N")</f>
        <v>Y</v>
      </c>
      <c r="M596" s="4" t="str">
        <f>IF(ISNUMBER(SEARCH("Pan ",Broadcast_BASE[[#This Row],[Broadcast Market]]))=TRUE,"Y","N")</f>
        <v>N</v>
      </c>
      <c r="N596" t="str">
        <f>VLOOKUP(CONCATENATE(Broadcast_BASE[[#This Row],[Broadcast Market]],Broadcast_BASE[[#This Row],[Broadcaster]]),Table1[[CC]:[Pay TV vs. Free-to-Air]],3,FALSE)</f>
        <v>Digital</v>
      </c>
      <c r="O596" s="1" t="str">
        <f>VLOOKUP(CONCATENATE(Broadcast_BASE[[#This Row],[Broadcast Market]],Broadcast_BASE[[#This Row],[Broadcaster]]),Table1[[CC]:[Pay TV vs. Free-to-Air]],2,FALSE)</f>
        <v>-</v>
      </c>
      <c r="P596" s="234">
        <f>Broadcast_BASE[[#This Row],[Rolex EXP]]*86400</f>
        <v>871.60697851034752</v>
      </c>
      <c r="Q596" s="235" t="str">
        <f>IF(Broadcast_BASE[[#This Row],[Dashboard Rated?]]="No","N","Y")</f>
        <v>Y</v>
      </c>
      <c r="R596" s="236"/>
      <c r="S596" s="236"/>
    </row>
    <row r="597" spans="1:19" x14ac:dyDescent="0.25">
      <c r="A597" s="72" t="e">
        <f>#REF!</f>
        <v>#REF!</v>
      </c>
      <c r="B597" t="s">
        <v>45</v>
      </c>
      <c r="C597" t="s">
        <v>45</v>
      </c>
      <c r="D597" t="s">
        <v>1643</v>
      </c>
      <c r="E597" s="102">
        <v>1.0003819444444444</v>
      </c>
      <c r="F597" s="101">
        <v>9960.6115979418882</v>
      </c>
      <c r="G597" s="102">
        <v>7.1833521215212165E-2</v>
      </c>
      <c r="H597" s="101">
        <v>1777.2395942829735</v>
      </c>
      <c r="I597" s="101">
        <v>533.12147062113775</v>
      </c>
      <c r="J597" s="101"/>
      <c r="K597" s="233" t="str">
        <f>VLOOKUP(Broadcast_BASE[[#This Row],[Broadcast Market]],Continent_Look_Up[],2,FALSE)</f>
        <v>Digital</v>
      </c>
      <c r="L597" t="str">
        <f>IF(OR(Broadcast_BASE[[#This Row],[Broadcast Continent]]="Digital",Broadcast_BASE[[#This Row],[Programme Type]]="Digital"),"Y","N")</f>
        <v>Y</v>
      </c>
      <c r="M597" s="4" t="str">
        <f>IF(ISNUMBER(SEARCH("Pan ",Broadcast_BASE[[#This Row],[Broadcast Market]]))=TRUE,"Y","N")</f>
        <v>N</v>
      </c>
      <c r="N597" t="str">
        <f>VLOOKUP(CONCATENATE(Broadcast_BASE[[#This Row],[Broadcast Market]],Broadcast_BASE[[#This Row],[Broadcaster]]),Table1[[CC]:[Pay TV vs. Free-to-Air]],3,FALSE)</f>
        <v>Digital</v>
      </c>
      <c r="O597" s="1" t="str">
        <f>VLOOKUP(CONCATENATE(Broadcast_BASE[[#This Row],[Broadcast Market]],Broadcast_BASE[[#This Row],[Broadcaster]]),Table1[[CC]:[Pay TV vs. Free-to-Air]],2,FALSE)</f>
        <v>-</v>
      </c>
      <c r="P597" s="234">
        <f>Broadcast_BASE[[#This Row],[Rolex EXP]]*86400</f>
        <v>6206.416232994331</v>
      </c>
      <c r="Q597" s="235" t="str">
        <f>IF(Broadcast_BASE[[#This Row],[Dashboard Rated?]]="No","N","Y")</f>
        <v>Y</v>
      </c>
      <c r="R597" s="236"/>
      <c r="S597" s="236"/>
    </row>
    <row r="598" spans="1:19" x14ac:dyDescent="0.25">
      <c r="A598" s="72" t="e">
        <f>#REF!</f>
        <v>#REF!</v>
      </c>
      <c r="B598" t="s">
        <v>45</v>
      </c>
      <c r="C598" t="s">
        <v>45</v>
      </c>
      <c r="D598" t="s">
        <v>1644</v>
      </c>
      <c r="E598" s="102">
        <v>0.15141203703703704</v>
      </c>
      <c r="F598" s="101">
        <v>294.0635164277104</v>
      </c>
      <c r="G598" s="102">
        <v>7.8741844421575079E-3</v>
      </c>
      <c r="H598" s="101">
        <v>34.954873609767347</v>
      </c>
      <c r="I598" s="101">
        <v>9.7190959825655803</v>
      </c>
      <c r="J598" s="101"/>
      <c r="K598" s="233" t="str">
        <f>VLOOKUP(Broadcast_BASE[[#This Row],[Broadcast Market]],Continent_Look_Up[],2,FALSE)</f>
        <v>Digital</v>
      </c>
      <c r="L598" t="str">
        <f>IF(OR(Broadcast_BASE[[#This Row],[Broadcast Continent]]="Digital",Broadcast_BASE[[#This Row],[Programme Type]]="Digital"),"Y","N")</f>
        <v>Y</v>
      </c>
      <c r="M598" s="4" t="str">
        <f>IF(ISNUMBER(SEARCH("Pan ",Broadcast_BASE[[#This Row],[Broadcast Market]]))=TRUE,"Y","N")</f>
        <v>N</v>
      </c>
      <c r="N598" t="str">
        <f>VLOOKUP(CONCATENATE(Broadcast_BASE[[#This Row],[Broadcast Market]],Broadcast_BASE[[#This Row],[Broadcaster]]),Table1[[CC]:[Pay TV vs. Free-to-Air]],3,FALSE)</f>
        <v>Digital</v>
      </c>
      <c r="O598" s="1" t="str">
        <f>VLOOKUP(CONCATENATE(Broadcast_BASE[[#This Row],[Broadcast Market]],Broadcast_BASE[[#This Row],[Broadcaster]]),Table1[[CC]:[Pay TV vs. Free-to-Air]],2,FALSE)</f>
        <v>-</v>
      </c>
      <c r="P598" s="234">
        <f>Broadcast_BASE[[#This Row],[Rolex EXP]]*86400</f>
        <v>680.32953580240871</v>
      </c>
      <c r="Q598" s="235" t="str">
        <f>IF(Broadcast_BASE[[#This Row],[Dashboard Rated?]]="No","N","Y")</f>
        <v>Y</v>
      </c>
      <c r="R598" s="236"/>
      <c r="S598" s="236"/>
    </row>
    <row r="599" spans="1:19" x14ac:dyDescent="0.25">
      <c r="A599" s="72" t="e">
        <f>#REF!</f>
        <v>#REF!</v>
      </c>
      <c r="B599" t="s">
        <v>45</v>
      </c>
      <c r="C599" t="s">
        <v>45</v>
      </c>
      <c r="D599" t="s">
        <v>1642</v>
      </c>
      <c r="E599" s="102">
        <v>0.17945601851851853</v>
      </c>
      <c r="F599" s="101">
        <v>41855.04050487747</v>
      </c>
      <c r="G599" s="102">
        <v>1.3915481886281481E-2</v>
      </c>
      <c r="H599" s="101">
        <v>1045.2976001551351</v>
      </c>
      <c r="I599" s="101">
        <v>330.98971533134187</v>
      </c>
      <c r="J599" s="101"/>
      <c r="K599" s="233" t="str">
        <f>VLOOKUP(Broadcast_BASE[[#This Row],[Broadcast Market]],Continent_Look_Up[],2,FALSE)</f>
        <v>Digital</v>
      </c>
      <c r="L599" t="str">
        <f>IF(OR(Broadcast_BASE[[#This Row],[Broadcast Continent]]="Digital",Broadcast_BASE[[#This Row],[Programme Type]]="Digital"),"Y","N")</f>
        <v>Y</v>
      </c>
      <c r="M599" s="4" t="str">
        <f>IF(ISNUMBER(SEARCH("Pan ",Broadcast_BASE[[#This Row],[Broadcast Market]]))=TRUE,"Y","N")</f>
        <v>N</v>
      </c>
      <c r="N599" t="str">
        <f>VLOOKUP(CONCATENATE(Broadcast_BASE[[#This Row],[Broadcast Market]],Broadcast_BASE[[#This Row],[Broadcaster]]),Table1[[CC]:[Pay TV vs. Free-to-Air]],3,FALSE)</f>
        <v>Digital</v>
      </c>
      <c r="O599" s="1" t="str">
        <f>VLOOKUP(CONCATENATE(Broadcast_BASE[[#This Row],[Broadcast Market]],Broadcast_BASE[[#This Row],[Broadcaster]]),Table1[[CC]:[Pay TV vs. Free-to-Air]],2,FALSE)</f>
        <v>-</v>
      </c>
      <c r="P599" s="234">
        <f>Broadcast_BASE[[#This Row],[Rolex EXP]]*86400</f>
        <v>1202.29763497472</v>
      </c>
      <c r="Q599" s="235" t="str">
        <f>IF(Broadcast_BASE[[#This Row],[Dashboard Rated?]]="No","N","Y")</f>
        <v>Y</v>
      </c>
      <c r="R599" s="236"/>
      <c r="S599" s="236"/>
    </row>
    <row r="600" spans="1:19" x14ac:dyDescent="0.25">
      <c r="A600" s="72" t="e">
        <f>#REF!</f>
        <v>#REF!</v>
      </c>
      <c r="B600" t="s">
        <v>45</v>
      </c>
      <c r="C600" t="s">
        <v>45</v>
      </c>
      <c r="D600" t="s">
        <v>1643</v>
      </c>
      <c r="E600" s="102">
        <v>1.0305555555555557</v>
      </c>
      <c r="F600" s="101">
        <v>35591.224305563461</v>
      </c>
      <c r="G600" s="102">
        <v>7.1422411056001223E-2</v>
      </c>
      <c r="H600" s="101">
        <v>7418.6927248382517</v>
      </c>
      <c r="I600" s="101">
        <v>2247.9180667586638</v>
      </c>
      <c r="J600" s="101"/>
      <c r="K600" s="233" t="str">
        <f>VLOOKUP(Broadcast_BASE[[#This Row],[Broadcast Market]],Continent_Look_Up[],2,FALSE)</f>
        <v>Digital</v>
      </c>
      <c r="L600" t="str">
        <f>IF(OR(Broadcast_BASE[[#This Row],[Broadcast Continent]]="Digital",Broadcast_BASE[[#This Row],[Programme Type]]="Digital"),"Y","N")</f>
        <v>Y</v>
      </c>
      <c r="M600" s="4" t="str">
        <f>IF(ISNUMBER(SEARCH("Pan ",Broadcast_BASE[[#This Row],[Broadcast Market]]))=TRUE,"Y","N")</f>
        <v>N</v>
      </c>
      <c r="N600" t="str">
        <f>VLOOKUP(CONCATENATE(Broadcast_BASE[[#This Row],[Broadcast Market]],Broadcast_BASE[[#This Row],[Broadcaster]]),Table1[[CC]:[Pay TV vs. Free-to-Air]],3,FALSE)</f>
        <v>Digital</v>
      </c>
      <c r="O600" s="1" t="str">
        <f>VLOOKUP(CONCATENATE(Broadcast_BASE[[#This Row],[Broadcast Market]],Broadcast_BASE[[#This Row],[Broadcaster]]),Table1[[CC]:[Pay TV vs. Free-to-Air]],2,FALSE)</f>
        <v>-</v>
      </c>
      <c r="P600" s="234">
        <f>Broadcast_BASE[[#This Row],[Rolex EXP]]*86400</f>
        <v>6170.8963152385058</v>
      </c>
      <c r="Q600" s="235" t="str">
        <f>IF(Broadcast_BASE[[#This Row],[Dashboard Rated?]]="No","N","Y")</f>
        <v>Y</v>
      </c>
      <c r="R600" s="236"/>
      <c r="S600" s="236"/>
    </row>
    <row r="601" spans="1:19" x14ac:dyDescent="0.25">
      <c r="A601" s="72" t="e">
        <f>#REF!</f>
        <v>#REF!</v>
      </c>
      <c r="B601" t="s">
        <v>45</v>
      </c>
      <c r="C601" t="s">
        <v>45</v>
      </c>
      <c r="D601" t="s">
        <v>1644</v>
      </c>
      <c r="E601" s="102">
        <v>1.073599537037037</v>
      </c>
      <c r="F601" s="101">
        <v>5517.1916891675246</v>
      </c>
      <c r="G601" s="102">
        <v>8.5406885843109945E-2</v>
      </c>
      <c r="H601" s="101">
        <v>1302.1918060641485</v>
      </c>
      <c r="I601" s="101">
        <v>379.10470392192377</v>
      </c>
      <c r="J601" s="101"/>
      <c r="K601" s="233" t="str">
        <f>VLOOKUP(Broadcast_BASE[[#This Row],[Broadcast Market]],Continent_Look_Up[],2,FALSE)</f>
        <v>Digital</v>
      </c>
      <c r="L601" t="str">
        <f>IF(OR(Broadcast_BASE[[#This Row],[Broadcast Continent]]="Digital",Broadcast_BASE[[#This Row],[Programme Type]]="Digital"),"Y","N")</f>
        <v>Y</v>
      </c>
      <c r="M601" s="4" t="str">
        <f>IF(ISNUMBER(SEARCH("Pan ",Broadcast_BASE[[#This Row],[Broadcast Market]]))=TRUE,"Y","N")</f>
        <v>N</v>
      </c>
      <c r="N601" t="str">
        <f>VLOOKUP(CONCATENATE(Broadcast_BASE[[#This Row],[Broadcast Market]],Broadcast_BASE[[#This Row],[Broadcaster]]),Table1[[CC]:[Pay TV vs. Free-to-Air]],3,FALSE)</f>
        <v>Digital</v>
      </c>
      <c r="O601" s="1" t="str">
        <f>VLOOKUP(CONCATENATE(Broadcast_BASE[[#This Row],[Broadcast Market]],Broadcast_BASE[[#This Row],[Broadcaster]]),Table1[[CC]:[Pay TV vs. Free-to-Air]],2,FALSE)</f>
        <v>-</v>
      </c>
      <c r="P601" s="234">
        <f>Broadcast_BASE[[#This Row],[Rolex EXP]]*86400</f>
        <v>7379.1549368446995</v>
      </c>
      <c r="Q601" s="235" t="str">
        <f>IF(Broadcast_BASE[[#This Row],[Dashboard Rated?]]="No","N","Y")</f>
        <v>Y</v>
      </c>
      <c r="R601" s="236"/>
      <c r="S601" s="236"/>
    </row>
    <row r="602" spans="1:19" x14ac:dyDescent="0.25">
      <c r="A602" s="72" t="e">
        <f>#REF!</f>
        <v>#REF!</v>
      </c>
      <c r="B602" t="s">
        <v>45</v>
      </c>
      <c r="C602" t="s">
        <v>45</v>
      </c>
      <c r="D602" t="s">
        <v>1642</v>
      </c>
      <c r="E602" s="102">
        <v>6.5451388888888892E-2</v>
      </c>
      <c r="F602" s="101">
        <v>52483.336170050454</v>
      </c>
      <c r="G602" s="102">
        <v>5.0947038499209807E-3</v>
      </c>
      <c r="H602" s="101">
        <v>591.15175876826913</v>
      </c>
      <c r="I602" s="101">
        <v>176.08829234425781</v>
      </c>
      <c r="J602" s="101"/>
      <c r="K602" s="233" t="str">
        <f>VLOOKUP(Broadcast_BASE[[#This Row],[Broadcast Market]],Continent_Look_Up[],2,FALSE)</f>
        <v>Digital</v>
      </c>
      <c r="L602" t="str">
        <f>IF(OR(Broadcast_BASE[[#This Row],[Broadcast Continent]]="Digital",Broadcast_BASE[[#This Row],[Programme Type]]="Digital"),"Y","N")</f>
        <v>Y</v>
      </c>
      <c r="M602" s="4" t="str">
        <f>IF(ISNUMBER(SEARCH("Pan ",Broadcast_BASE[[#This Row],[Broadcast Market]]))=TRUE,"Y","N")</f>
        <v>N</v>
      </c>
      <c r="N602" t="str">
        <f>VLOOKUP(CONCATENATE(Broadcast_BASE[[#This Row],[Broadcast Market]],Broadcast_BASE[[#This Row],[Broadcaster]]),Table1[[CC]:[Pay TV vs. Free-to-Air]],3,FALSE)</f>
        <v>Digital</v>
      </c>
      <c r="O602" s="1" t="str">
        <f>VLOOKUP(CONCATENATE(Broadcast_BASE[[#This Row],[Broadcast Market]],Broadcast_BASE[[#This Row],[Broadcaster]]),Table1[[CC]:[Pay TV vs. Free-to-Air]],2,FALSE)</f>
        <v>-</v>
      </c>
      <c r="P602" s="234">
        <f>Broadcast_BASE[[#This Row],[Rolex EXP]]*86400</f>
        <v>440.18241263317276</v>
      </c>
      <c r="Q602" s="235" t="str">
        <f>IF(Broadcast_BASE[[#This Row],[Dashboard Rated?]]="No","N","Y")</f>
        <v>Y</v>
      </c>
      <c r="R602" s="236"/>
      <c r="S602" s="236"/>
    </row>
    <row r="603" spans="1:19" x14ac:dyDescent="0.25">
      <c r="A603" s="72" t="e">
        <f>#REF!</f>
        <v>#REF!</v>
      </c>
      <c r="B603" t="s">
        <v>45</v>
      </c>
      <c r="C603" t="s">
        <v>45</v>
      </c>
      <c r="D603" t="s">
        <v>1643</v>
      </c>
      <c r="E603" s="102">
        <v>0.57109953703703698</v>
      </c>
      <c r="F603" s="101">
        <v>55826.092528435714</v>
      </c>
      <c r="G603" s="102">
        <v>4.1017270247517855E-2</v>
      </c>
      <c r="H603" s="101">
        <v>9108.7313753626531</v>
      </c>
      <c r="I603" s="101">
        <v>2689.7692929182767</v>
      </c>
      <c r="J603" s="101"/>
      <c r="K603" s="233" t="str">
        <f>VLOOKUP(Broadcast_BASE[[#This Row],[Broadcast Market]],Continent_Look_Up[],2,FALSE)</f>
        <v>Digital</v>
      </c>
      <c r="L603" t="str">
        <f>IF(OR(Broadcast_BASE[[#This Row],[Broadcast Continent]]="Digital",Broadcast_BASE[[#This Row],[Programme Type]]="Digital"),"Y","N")</f>
        <v>Y</v>
      </c>
      <c r="M603" s="4" t="str">
        <f>IF(ISNUMBER(SEARCH("Pan ",Broadcast_BASE[[#This Row],[Broadcast Market]]))=TRUE,"Y","N")</f>
        <v>N</v>
      </c>
      <c r="N603" t="str">
        <f>VLOOKUP(CONCATENATE(Broadcast_BASE[[#This Row],[Broadcast Market]],Broadcast_BASE[[#This Row],[Broadcaster]]),Table1[[CC]:[Pay TV vs. Free-to-Air]],3,FALSE)</f>
        <v>Digital</v>
      </c>
      <c r="O603" s="1" t="str">
        <f>VLOOKUP(CONCATENATE(Broadcast_BASE[[#This Row],[Broadcast Market]],Broadcast_BASE[[#This Row],[Broadcaster]]),Table1[[CC]:[Pay TV vs. Free-to-Air]],2,FALSE)</f>
        <v>-</v>
      </c>
      <c r="P603" s="234">
        <f>Broadcast_BASE[[#This Row],[Rolex EXP]]*86400</f>
        <v>3543.8921493855428</v>
      </c>
      <c r="Q603" s="235" t="str">
        <f>IF(Broadcast_BASE[[#This Row],[Dashboard Rated?]]="No","N","Y")</f>
        <v>Y</v>
      </c>
      <c r="R603" s="236"/>
      <c r="S603" s="236"/>
    </row>
    <row r="604" spans="1:19" x14ac:dyDescent="0.25">
      <c r="A604" s="72" t="e">
        <f>#REF!</f>
        <v>#REF!</v>
      </c>
      <c r="B604" t="s">
        <v>45</v>
      </c>
      <c r="C604" t="s">
        <v>45</v>
      </c>
      <c r="D604" t="s">
        <v>1642</v>
      </c>
      <c r="E604" s="102">
        <v>8.0914351851851848E-2</v>
      </c>
      <c r="F604" s="101">
        <v>34531.458643368256</v>
      </c>
      <c r="G604" s="102">
        <v>4.7682893491468844E-3</v>
      </c>
      <c r="H604" s="101">
        <v>729.05616062862987</v>
      </c>
      <c r="I604" s="101">
        <v>216.74346007404381</v>
      </c>
      <c r="J604" s="101"/>
      <c r="K604" s="233" t="str">
        <f>VLOOKUP(Broadcast_BASE[[#This Row],[Broadcast Market]],Continent_Look_Up[],2,FALSE)</f>
        <v>Digital</v>
      </c>
      <c r="L604" t="str">
        <f>IF(OR(Broadcast_BASE[[#This Row],[Broadcast Continent]]="Digital",Broadcast_BASE[[#This Row],[Programme Type]]="Digital"),"Y","N")</f>
        <v>Y</v>
      </c>
      <c r="M604" s="4" t="str">
        <f>IF(ISNUMBER(SEARCH("Pan ",Broadcast_BASE[[#This Row],[Broadcast Market]]))=TRUE,"Y","N")</f>
        <v>N</v>
      </c>
      <c r="N604" t="str">
        <f>VLOOKUP(CONCATENATE(Broadcast_BASE[[#This Row],[Broadcast Market]],Broadcast_BASE[[#This Row],[Broadcaster]]),Table1[[CC]:[Pay TV vs. Free-to-Air]],3,FALSE)</f>
        <v>Digital</v>
      </c>
      <c r="O604" s="1" t="str">
        <f>VLOOKUP(CONCATENATE(Broadcast_BASE[[#This Row],[Broadcast Market]],Broadcast_BASE[[#This Row],[Broadcaster]]),Table1[[CC]:[Pay TV vs. Free-to-Air]],2,FALSE)</f>
        <v>-</v>
      </c>
      <c r="P604" s="234">
        <f>Broadcast_BASE[[#This Row],[Rolex EXP]]*86400</f>
        <v>411.98019976629081</v>
      </c>
      <c r="Q604" s="235" t="str">
        <f>IF(Broadcast_BASE[[#This Row],[Dashboard Rated?]]="No","N","Y")</f>
        <v>Y</v>
      </c>
      <c r="R604" s="236"/>
      <c r="S604" s="236"/>
    </row>
    <row r="605" spans="1:19" x14ac:dyDescent="0.25">
      <c r="A605" s="72" t="e">
        <f>#REF!</f>
        <v>#REF!</v>
      </c>
      <c r="B605" t="s">
        <v>45</v>
      </c>
      <c r="C605" t="s">
        <v>45</v>
      </c>
      <c r="D605" t="s">
        <v>1643</v>
      </c>
      <c r="E605" s="102">
        <v>0.48925925925925923</v>
      </c>
      <c r="F605" s="101">
        <v>39609.108491962157</v>
      </c>
      <c r="G605" s="102">
        <v>3.1557550652346784E-2</v>
      </c>
      <c r="H605" s="101">
        <v>6100.7810799975941</v>
      </c>
      <c r="I605" s="101">
        <v>1799.8550074379798</v>
      </c>
      <c r="J605" s="101"/>
      <c r="K605" s="233" t="str">
        <f>VLOOKUP(Broadcast_BASE[[#This Row],[Broadcast Market]],Continent_Look_Up[],2,FALSE)</f>
        <v>Digital</v>
      </c>
      <c r="L605" t="str">
        <f>IF(OR(Broadcast_BASE[[#This Row],[Broadcast Continent]]="Digital",Broadcast_BASE[[#This Row],[Programme Type]]="Digital"),"Y","N")</f>
        <v>Y</v>
      </c>
      <c r="M605" s="4" t="str">
        <f>IF(ISNUMBER(SEARCH("Pan ",Broadcast_BASE[[#This Row],[Broadcast Market]]))=TRUE,"Y","N")</f>
        <v>N</v>
      </c>
      <c r="N605" t="str">
        <f>VLOOKUP(CONCATENATE(Broadcast_BASE[[#This Row],[Broadcast Market]],Broadcast_BASE[[#This Row],[Broadcaster]]),Table1[[CC]:[Pay TV vs. Free-to-Air]],3,FALSE)</f>
        <v>Digital</v>
      </c>
      <c r="O605" s="1" t="str">
        <f>VLOOKUP(CONCATENATE(Broadcast_BASE[[#This Row],[Broadcast Market]],Broadcast_BASE[[#This Row],[Broadcaster]]),Table1[[CC]:[Pay TV vs. Free-to-Air]],2,FALSE)</f>
        <v>-</v>
      </c>
      <c r="P605" s="234">
        <f>Broadcast_BASE[[#This Row],[Rolex EXP]]*86400</f>
        <v>2726.572376362762</v>
      </c>
      <c r="Q605" s="235" t="str">
        <f>IF(Broadcast_BASE[[#This Row],[Dashboard Rated?]]="No","N","Y")</f>
        <v>Y</v>
      </c>
      <c r="R605" s="236"/>
      <c r="S605" s="236"/>
    </row>
    <row r="606" spans="1:19" x14ac:dyDescent="0.25">
      <c r="A606" s="72" t="e">
        <f>#REF!</f>
        <v>#REF!</v>
      </c>
      <c r="B606" t="s">
        <v>45</v>
      </c>
      <c r="C606" t="s">
        <v>45</v>
      </c>
      <c r="D606" t="s">
        <v>1642</v>
      </c>
      <c r="E606" s="102">
        <v>4.1666666666666664E-2</v>
      </c>
      <c r="F606" s="101">
        <v>4253.0363717627406</v>
      </c>
      <c r="G606" s="102">
        <v>2.5522870951555704E-3</v>
      </c>
      <c r="H606" s="101">
        <v>216.0293053260655</v>
      </c>
      <c r="I606" s="101">
        <v>59.977132973775191</v>
      </c>
      <c r="J606" s="101"/>
      <c r="K606" s="233" t="str">
        <f>VLOOKUP(Broadcast_BASE[[#This Row],[Broadcast Market]],Continent_Look_Up[],2,FALSE)</f>
        <v>Digital</v>
      </c>
      <c r="L606" t="str">
        <f>IF(OR(Broadcast_BASE[[#This Row],[Broadcast Continent]]="Digital",Broadcast_BASE[[#This Row],[Programme Type]]="Digital"),"Y","N")</f>
        <v>Y</v>
      </c>
      <c r="M606" s="4" t="str">
        <f>IF(ISNUMBER(SEARCH("Pan ",Broadcast_BASE[[#This Row],[Broadcast Market]]))=TRUE,"Y","N")</f>
        <v>N</v>
      </c>
      <c r="N606" t="str">
        <f>VLOOKUP(CONCATENATE(Broadcast_BASE[[#This Row],[Broadcast Market]],Broadcast_BASE[[#This Row],[Broadcaster]]),Table1[[CC]:[Pay TV vs. Free-to-Air]],3,FALSE)</f>
        <v>Digital</v>
      </c>
      <c r="O606" s="1" t="str">
        <f>VLOOKUP(CONCATENATE(Broadcast_BASE[[#This Row],[Broadcast Market]],Broadcast_BASE[[#This Row],[Broadcaster]]),Table1[[CC]:[Pay TV vs. Free-to-Air]],2,FALSE)</f>
        <v>-</v>
      </c>
      <c r="P606" s="234">
        <f>Broadcast_BASE[[#This Row],[Rolex EXP]]*86400</f>
        <v>220.51760502144128</v>
      </c>
      <c r="Q606" s="235" t="str">
        <f>IF(Broadcast_BASE[[#This Row],[Dashboard Rated?]]="No","N","Y")</f>
        <v>Y</v>
      </c>
      <c r="R606" s="236"/>
      <c r="S606" s="236"/>
    </row>
    <row r="607" spans="1:19" x14ac:dyDescent="0.25">
      <c r="A607" s="72" t="e">
        <f>#REF!</f>
        <v>#REF!</v>
      </c>
      <c r="B607" t="s">
        <v>45</v>
      </c>
      <c r="C607" t="s">
        <v>45</v>
      </c>
      <c r="D607" t="s">
        <v>1643</v>
      </c>
      <c r="E607" s="102">
        <v>6.041666666666667</v>
      </c>
      <c r="F607" s="101">
        <v>125695.26040478845</v>
      </c>
      <c r="G607" s="102">
        <v>0.39117003197303785</v>
      </c>
      <c r="H607" s="101">
        <v>65234.489217421171</v>
      </c>
      <c r="I607" s="101">
        <v>18362.055642001407</v>
      </c>
      <c r="J607" s="101"/>
      <c r="K607" s="233" t="str">
        <f>VLOOKUP(Broadcast_BASE[[#This Row],[Broadcast Market]],Continent_Look_Up[],2,FALSE)</f>
        <v>Digital</v>
      </c>
      <c r="L607" t="str">
        <f>IF(OR(Broadcast_BASE[[#This Row],[Broadcast Continent]]="Digital",Broadcast_BASE[[#This Row],[Programme Type]]="Digital"),"Y","N")</f>
        <v>Y</v>
      </c>
      <c r="M607" s="4" t="str">
        <f>IF(ISNUMBER(SEARCH("Pan ",Broadcast_BASE[[#This Row],[Broadcast Market]]))=TRUE,"Y","N")</f>
        <v>N</v>
      </c>
      <c r="N607" t="str">
        <f>VLOOKUP(CONCATENATE(Broadcast_BASE[[#This Row],[Broadcast Market]],Broadcast_BASE[[#This Row],[Broadcaster]]),Table1[[CC]:[Pay TV vs. Free-to-Air]],3,FALSE)</f>
        <v>Digital</v>
      </c>
      <c r="O607" s="1" t="str">
        <f>VLOOKUP(CONCATENATE(Broadcast_BASE[[#This Row],[Broadcast Market]],Broadcast_BASE[[#This Row],[Broadcaster]]),Table1[[CC]:[Pay TV vs. Free-to-Air]],2,FALSE)</f>
        <v>-</v>
      </c>
      <c r="P607" s="234">
        <f>Broadcast_BASE[[#This Row],[Rolex EXP]]*86400</f>
        <v>33797.090762470471</v>
      </c>
      <c r="Q607" s="235" t="str">
        <f>IF(Broadcast_BASE[[#This Row],[Dashboard Rated?]]="No","N","Y")</f>
        <v>Y</v>
      </c>
      <c r="R607" s="236"/>
      <c r="S607" s="236"/>
    </row>
    <row r="608" spans="1:19" x14ac:dyDescent="0.25">
      <c r="A608" s="72" t="e">
        <f>#REF!</f>
        <v>#REF!</v>
      </c>
      <c r="B608" t="s">
        <v>45</v>
      </c>
      <c r="C608" t="s">
        <v>45</v>
      </c>
      <c r="D608" t="s">
        <v>1644</v>
      </c>
      <c r="E608" s="102">
        <v>8.7291666666666661</v>
      </c>
      <c r="F608" s="101">
        <v>82414.664227027461</v>
      </c>
      <c r="G608" s="102">
        <v>0.57151325969438649</v>
      </c>
      <c r="H608" s="101">
        <v>39969.89742825523</v>
      </c>
      <c r="I608" s="101">
        <v>11167.961525666991</v>
      </c>
      <c r="J608" s="101"/>
      <c r="K608" s="233" t="str">
        <f>VLOOKUP(Broadcast_BASE[[#This Row],[Broadcast Market]],Continent_Look_Up[],2,FALSE)</f>
        <v>Digital</v>
      </c>
      <c r="L608" t="str">
        <f>IF(OR(Broadcast_BASE[[#This Row],[Broadcast Continent]]="Digital",Broadcast_BASE[[#This Row],[Programme Type]]="Digital"),"Y","N")</f>
        <v>Y</v>
      </c>
      <c r="M608" s="4" t="str">
        <f>IF(ISNUMBER(SEARCH("Pan ",Broadcast_BASE[[#This Row],[Broadcast Market]]))=TRUE,"Y","N")</f>
        <v>N</v>
      </c>
      <c r="N608" t="str">
        <f>VLOOKUP(CONCATENATE(Broadcast_BASE[[#This Row],[Broadcast Market]],Broadcast_BASE[[#This Row],[Broadcaster]]),Table1[[CC]:[Pay TV vs. Free-to-Air]],3,FALSE)</f>
        <v>Digital</v>
      </c>
      <c r="O608" s="1" t="str">
        <f>VLOOKUP(CONCATENATE(Broadcast_BASE[[#This Row],[Broadcast Market]],Broadcast_BASE[[#This Row],[Broadcaster]]),Table1[[CC]:[Pay TV vs. Free-to-Air]],2,FALSE)</f>
        <v>-</v>
      </c>
      <c r="P608" s="234">
        <f>Broadcast_BASE[[#This Row],[Rolex EXP]]*86400</f>
        <v>49378.745637594991</v>
      </c>
      <c r="Q608" s="235" t="str">
        <f>IF(Broadcast_BASE[[#This Row],[Dashboard Rated?]]="No","N","Y")</f>
        <v>Y</v>
      </c>
      <c r="R608" s="236"/>
      <c r="S608" s="236"/>
    </row>
    <row r="609" spans="1:19" x14ac:dyDescent="0.25">
      <c r="A609" s="72" t="e">
        <f>#REF!</f>
        <v>#REF!</v>
      </c>
      <c r="B609" t="s">
        <v>45</v>
      </c>
      <c r="C609" t="s">
        <v>45</v>
      </c>
      <c r="D609" t="s">
        <v>1643</v>
      </c>
      <c r="E609" s="102">
        <v>6.041666666666667</v>
      </c>
      <c r="F609" s="101">
        <v>121505.4183912955</v>
      </c>
      <c r="G609" s="102">
        <v>0.39117003197303785</v>
      </c>
      <c r="H609" s="101">
        <v>65234.489217421185</v>
      </c>
      <c r="I609" s="101">
        <v>18362.055642001404</v>
      </c>
      <c r="J609" s="101"/>
      <c r="K609" s="233" t="str">
        <f>VLOOKUP(Broadcast_BASE[[#This Row],[Broadcast Market]],Continent_Look_Up[],2,FALSE)</f>
        <v>Digital</v>
      </c>
      <c r="L609" t="str">
        <f>IF(OR(Broadcast_BASE[[#This Row],[Broadcast Continent]]="Digital",Broadcast_BASE[[#This Row],[Programme Type]]="Digital"),"Y","N")</f>
        <v>Y</v>
      </c>
      <c r="M609" s="4" t="str">
        <f>IF(ISNUMBER(SEARCH("Pan ",Broadcast_BASE[[#This Row],[Broadcast Market]]))=TRUE,"Y","N")</f>
        <v>N</v>
      </c>
      <c r="N609" t="str">
        <f>VLOOKUP(CONCATENATE(Broadcast_BASE[[#This Row],[Broadcast Market]],Broadcast_BASE[[#This Row],[Broadcaster]]),Table1[[CC]:[Pay TV vs. Free-to-Air]],3,FALSE)</f>
        <v>Digital</v>
      </c>
      <c r="O609" s="1" t="str">
        <f>VLOOKUP(CONCATENATE(Broadcast_BASE[[#This Row],[Broadcast Market]],Broadcast_BASE[[#This Row],[Broadcaster]]),Table1[[CC]:[Pay TV vs. Free-to-Air]],2,FALSE)</f>
        <v>-</v>
      </c>
      <c r="P609" s="234">
        <f>Broadcast_BASE[[#This Row],[Rolex EXP]]*86400</f>
        <v>33797.090762470471</v>
      </c>
      <c r="Q609" s="235" t="str">
        <f>IF(Broadcast_BASE[[#This Row],[Dashboard Rated?]]="No","N","Y")</f>
        <v>Y</v>
      </c>
      <c r="R609" s="236"/>
      <c r="S609" s="236"/>
    </row>
    <row r="610" spans="1:19" x14ac:dyDescent="0.25">
      <c r="A610" s="72" t="e">
        <f>#REF!</f>
        <v>#REF!</v>
      </c>
      <c r="B610" t="s">
        <v>45</v>
      </c>
      <c r="C610" t="s">
        <v>45</v>
      </c>
      <c r="D610" t="s">
        <v>1644</v>
      </c>
      <c r="E610" s="102">
        <v>8</v>
      </c>
      <c r="F610" s="101">
        <v>65536.07511029701</v>
      </c>
      <c r="G610" s="102">
        <v>0.49576719860717705</v>
      </c>
      <c r="H610" s="101">
        <v>34409.383010061989</v>
      </c>
      <c r="I610" s="101">
        <v>9606.9477426367157</v>
      </c>
      <c r="J610" s="101"/>
      <c r="K610" s="233" t="str">
        <f>VLOOKUP(Broadcast_BASE[[#This Row],[Broadcast Market]],Continent_Look_Up[],2,FALSE)</f>
        <v>Digital</v>
      </c>
      <c r="L610" t="str">
        <f>IF(OR(Broadcast_BASE[[#This Row],[Broadcast Continent]]="Digital",Broadcast_BASE[[#This Row],[Programme Type]]="Digital"),"Y","N")</f>
        <v>Y</v>
      </c>
      <c r="M610" s="4" t="str">
        <f>IF(ISNUMBER(SEARCH("Pan ",Broadcast_BASE[[#This Row],[Broadcast Market]]))=TRUE,"Y","N")</f>
        <v>N</v>
      </c>
      <c r="N610" t="str">
        <f>VLOOKUP(CONCATENATE(Broadcast_BASE[[#This Row],[Broadcast Market]],Broadcast_BASE[[#This Row],[Broadcaster]]),Table1[[CC]:[Pay TV vs. Free-to-Air]],3,FALSE)</f>
        <v>Digital</v>
      </c>
      <c r="O610" s="1" t="str">
        <f>VLOOKUP(CONCATENATE(Broadcast_BASE[[#This Row],[Broadcast Market]],Broadcast_BASE[[#This Row],[Broadcaster]]),Table1[[CC]:[Pay TV vs. Free-to-Air]],2,FALSE)</f>
        <v>-</v>
      </c>
      <c r="P610" s="234">
        <f>Broadcast_BASE[[#This Row],[Rolex EXP]]*86400</f>
        <v>42834.285959660097</v>
      </c>
      <c r="Q610" s="235" t="str">
        <f>IF(Broadcast_BASE[[#This Row],[Dashboard Rated?]]="No","N","Y")</f>
        <v>Y</v>
      </c>
      <c r="R610" s="236"/>
      <c r="S610" s="236"/>
    </row>
    <row r="611" spans="1:19" x14ac:dyDescent="0.25">
      <c r="A611" s="72" t="e">
        <f>#REF!</f>
        <v>#REF!</v>
      </c>
      <c r="B611" t="s">
        <v>45</v>
      </c>
      <c r="C611" t="s">
        <v>45</v>
      </c>
      <c r="D611" t="s">
        <v>1643</v>
      </c>
      <c r="E611" s="102">
        <v>6.385416666666667</v>
      </c>
      <c r="F611" s="101">
        <v>466811</v>
      </c>
      <c r="G611" s="102">
        <v>0.41001185214696029</v>
      </c>
      <c r="H611" s="101">
        <v>309772.12720082927</v>
      </c>
      <c r="I611" s="101">
        <v>87346.839304257242</v>
      </c>
      <c r="J611" s="101"/>
      <c r="K611" s="233" t="str">
        <f>VLOOKUP(Broadcast_BASE[[#This Row],[Broadcast Market]],Continent_Look_Up[],2,FALSE)</f>
        <v>Digital</v>
      </c>
      <c r="L611" t="str">
        <f>IF(OR(Broadcast_BASE[[#This Row],[Broadcast Continent]]="Digital",Broadcast_BASE[[#This Row],[Programme Type]]="Digital"),"Y","N")</f>
        <v>Y</v>
      </c>
      <c r="M611" s="4" t="str">
        <f>IF(ISNUMBER(SEARCH("Pan ",Broadcast_BASE[[#This Row],[Broadcast Market]]))=TRUE,"Y","N")</f>
        <v>N</v>
      </c>
      <c r="N611" t="str">
        <f>VLOOKUP(CONCATENATE(Broadcast_BASE[[#This Row],[Broadcast Market]],Broadcast_BASE[[#This Row],[Broadcaster]]),Table1[[CC]:[Pay TV vs. Free-to-Air]],3,FALSE)</f>
        <v>Digital</v>
      </c>
      <c r="O611" s="1" t="str">
        <f>VLOOKUP(CONCATENATE(Broadcast_BASE[[#This Row],[Broadcast Market]],Broadcast_BASE[[#This Row],[Broadcaster]]),Table1[[CC]:[Pay TV vs. Free-to-Air]],2,FALSE)</f>
        <v>-</v>
      </c>
      <c r="P611" s="234">
        <f>Broadcast_BASE[[#This Row],[Rolex EXP]]*86400</f>
        <v>35425.024025497369</v>
      </c>
      <c r="Q611" s="235" t="str">
        <f>IF(Broadcast_BASE[[#This Row],[Dashboard Rated?]]="No","N","Y")</f>
        <v>Y</v>
      </c>
      <c r="R611" s="236"/>
      <c r="S611" s="236"/>
    </row>
    <row r="612" spans="1:19" x14ac:dyDescent="0.25">
      <c r="A612" s="72" t="e">
        <f>#REF!</f>
        <v>#REF!</v>
      </c>
      <c r="B612" t="s">
        <v>45</v>
      </c>
      <c r="C612" t="s">
        <v>45</v>
      </c>
      <c r="D612" t="s">
        <v>1643</v>
      </c>
      <c r="E612" s="102">
        <v>0.15528935185185186</v>
      </c>
      <c r="F612" s="101">
        <v>1323718.37940343</v>
      </c>
      <c r="G612" s="102">
        <v>9.5122322099173012E-3</v>
      </c>
      <c r="H612" s="101">
        <v>501178.10065648105</v>
      </c>
      <c r="I612" s="101">
        <v>139144.20333504162</v>
      </c>
      <c r="J612" s="101"/>
      <c r="K612" s="233" t="str">
        <f>VLOOKUP(Broadcast_BASE[[#This Row],[Broadcast Market]],Continent_Look_Up[],2,FALSE)</f>
        <v>Digital</v>
      </c>
      <c r="L612" t="str">
        <f>IF(OR(Broadcast_BASE[[#This Row],[Broadcast Continent]]="Digital",Broadcast_BASE[[#This Row],[Programme Type]]="Digital"),"Y","N")</f>
        <v>Y</v>
      </c>
      <c r="M612" s="4" t="str">
        <f>IF(ISNUMBER(SEARCH("Pan ",Broadcast_BASE[[#This Row],[Broadcast Market]]))=TRUE,"Y","N")</f>
        <v>N</v>
      </c>
      <c r="N612" t="str">
        <f>VLOOKUP(CONCATENATE(Broadcast_BASE[[#This Row],[Broadcast Market]],Broadcast_BASE[[#This Row],[Broadcaster]]),Table1[[CC]:[Pay TV vs. Free-to-Air]],3,FALSE)</f>
        <v>Digital</v>
      </c>
      <c r="O612" s="1" t="str">
        <f>VLOOKUP(CONCATENATE(Broadcast_BASE[[#This Row],[Broadcast Market]],Broadcast_BASE[[#This Row],[Broadcaster]]),Table1[[CC]:[Pay TV vs. Free-to-Air]],2,FALSE)</f>
        <v>-</v>
      </c>
      <c r="P612" s="234">
        <f>Broadcast_BASE[[#This Row],[Rolex EXP]]*86400</f>
        <v>821.85686293685478</v>
      </c>
      <c r="Q612" s="235" t="str">
        <f>IF(Broadcast_BASE[[#This Row],[Dashboard Rated?]]="No","N","Y")</f>
        <v>Y</v>
      </c>
      <c r="R612" s="236"/>
      <c r="S612" s="236"/>
    </row>
    <row r="613" spans="1:19" x14ac:dyDescent="0.25">
      <c r="A613" s="72" t="e">
        <f>#REF!</f>
        <v>#REF!</v>
      </c>
      <c r="B613" t="s">
        <v>45</v>
      </c>
      <c r="C613" t="s">
        <v>45</v>
      </c>
      <c r="D613" t="s">
        <v>1643</v>
      </c>
      <c r="E613" s="102">
        <v>3.625</v>
      </c>
      <c r="F613" s="101">
        <v>4349.2727105518825</v>
      </c>
      <c r="G613" s="102">
        <v>0.22204897727853465</v>
      </c>
      <c r="H613" s="101">
        <v>2225.4084794067803</v>
      </c>
      <c r="I613" s="101">
        <v>617.84960188104071</v>
      </c>
      <c r="J613" s="101"/>
      <c r="K613" s="233" t="str">
        <f>VLOOKUP(Broadcast_BASE[[#This Row],[Broadcast Market]],Continent_Look_Up[],2,FALSE)</f>
        <v>Digital</v>
      </c>
      <c r="L613" t="str">
        <f>IF(OR(Broadcast_BASE[[#This Row],[Broadcast Continent]]="Digital",Broadcast_BASE[[#This Row],[Programme Type]]="Digital"),"Y","N")</f>
        <v>Y</v>
      </c>
      <c r="M613" s="4" t="str">
        <f>IF(ISNUMBER(SEARCH("Pan ",Broadcast_BASE[[#This Row],[Broadcast Market]]))=TRUE,"Y","N")</f>
        <v>N</v>
      </c>
      <c r="N613" t="str">
        <f>VLOOKUP(CONCATENATE(Broadcast_BASE[[#This Row],[Broadcast Market]],Broadcast_BASE[[#This Row],[Broadcaster]]),Table1[[CC]:[Pay TV vs. Free-to-Air]],3,FALSE)</f>
        <v>Digital</v>
      </c>
      <c r="O613" s="1" t="str">
        <f>VLOOKUP(CONCATENATE(Broadcast_BASE[[#This Row],[Broadcast Market]],Broadcast_BASE[[#This Row],[Broadcaster]]),Table1[[CC]:[Pay TV vs. Free-to-Air]],2,FALSE)</f>
        <v>-</v>
      </c>
      <c r="P613" s="234">
        <f>Broadcast_BASE[[#This Row],[Rolex EXP]]*86400</f>
        <v>19185.031636865395</v>
      </c>
      <c r="Q613" s="235" t="str">
        <f>IF(Broadcast_BASE[[#This Row],[Dashboard Rated?]]="No","N","Y")</f>
        <v>Y</v>
      </c>
      <c r="R613" s="236"/>
      <c r="S613" s="236"/>
    </row>
    <row r="614" spans="1:19" x14ac:dyDescent="0.25">
      <c r="A614" s="72" t="e">
        <f>#REF!</f>
        <v>#REF!</v>
      </c>
      <c r="B614" t="s">
        <v>45</v>
      </c>
      <c r="C614" t="s">
        <v>45</v>
      </c>
      <c r="D614" t="s">
        <v>1644</v>
      </c>
      <c r="E614" s="102">
        <v>1.0416666666666667</v>
      </c>
      <c r="F614" s="101">
        <v>1856.8208598268491</v>
      </c>
      <c r="G614" s="102">
        <v>6.380717737888926E-2</v>
      </c>
      <c r="H614" s="101">
        <v>672.49746188468271</v>
      </c>
      <c r="I614" s="101">
        <v>186.70832475762853</v>
      </c>
      <c r="J614" s="101"/>
      <c r="K614" s="233" t="str">
        <f>VLOOKUP(Broadcast_BASE[[#This Row],[Broadcast Market]],Continent_Look_Up[],2,FALSE)</f>
        <v>Digital</v>
      </c>
      <c r="L614" t="str">
        <f>IF(OR(Broadcast_BASE[[#This Row],[Broadcast Continent]]="Digital",Broadcast_BASE[[#This Row],[Programme Type]]="Digital"),"Y","N")</f>
        <v>Y</v>
      </c>
      <c r="M614" s="4" t="str">
        <f>IF(ISNUMBER(SEARCH("Pan ",Broadcast_BASE[[#This Row],[Broadcast Market]]))=TRUE,"Y","N")</f>
        <v>N</v>
      </c>
      <c r="N614" t="str">
        <f>VLOOKUP(CONCATENATE(Broadcast_BASE[[#This Row],[Broadcast Market]],Broadcast_BASE[[#This Row],[Broadcaster]]),Table1[[CC]:[Pay TV vs. Free-to-Air]],3,FALSE)</f>
        <v>Digital</v>
      </c>
      <c r="O614" s="1" t="str">
        <f>VLOOKUP(CONCATENATE(Broadcast_BASE[[#This Row],[Broadcast Market]],Broadcast_BASE[[#This Row],[Broadcaster]]),Table1[[CC]:[Pay TV vs. Free-to-Air]],2,FALSE)</f>
        <v>-</v>
      </c>
      <c r="P614" s="234">
        <f>Broadcast_BASE[[#This Row],[Rolex EXP]]*86400</f>
        <v>5512.9401255360317</v>
      </c>
      <c r="Q614" s="235" t="str">
        <f>IF(Broadcast_BASE[[#This Row],[Dashboard Rated?]]="No","N","Y")</f>
        <v>Y</v>
      </c>
      <c r="R614" s="236"/>
      <c r="S614" s="236"/>
    </row>
    <row r="615" spans="1:19" x14ac:dyDescent="0.25">
      <c r="A615" s="72" t="e">
        <f>#REF!</f>
        <v>#REF!</v>
      </c>
      <c r="B615" t="s">
        <v>45</v>
      </c>
      <c r="C615" t="s">
        <v>45</v>
      </c>
      <c r="D615" t="s">
        <v>1643</v>
      </c>
      <c r="E615" s="102">
        <v>1.5416666666666667</v>
      </c>
      <c r="F615" s="101">
        <v>1476.3895979932918</v>
      </c>
      <c r="G615" s="102">
        <v>9.4434622520756115E-2</v>
      </c>
      <c r="H615" s="101">
        <v>924.90050876117516</v>
      </c>
      <c r="I615" s="101">
        <v>256.78405398634646</v>
      </c>
      <c r="J615" s="101"/>
      <c r="K615" s="233" t="str">
        <f>VLOOKUP(Broadcast_BASE[[#This Row],[Broadcast Market]],Continent_Look_Up[],2,FALSE)</f>
        <v>Digital</v>
      </c>
      <c r="L615" t="str">
        <f>IF(OR(Broadcast_BASE[[#This Row],[Broadcast Continent]]="Digital",Broadcast_BASE[[#This Row],[Programme Type]]="Digital"),"Y","N")</f>
        <v>Y</v>
      </c>
      <c r="M615" s="4" t="str">
        <f>IF(ISNUMBER(SEARCH("Pan ",Broadcast_BASE[[#This Row],[Broadcast Market]]))=TRUE,"Y","N")</f>
        <v>N</v>
      </c>
      <c r="N615" t="str">
        <f>VLOOKUP(CONCATENATE(Broadcast_BASE[[#This Row],[Broadcast Market]],Broadcast_BASE[[#This Row],[Broadcaster]]),Table1[[CC]:[Pay TV vs. Free-to-Air]],3,FALSE)</f>
        <v>Digital</v>
      </c>
      <c r="O615" s="1" t="str">
        <f>VLOOKUP(CONCATENATE(Broadcast_BASE[[#This Row],[Broadcast Market]],Broadcast_BASE[[#This Row],[Broadcaster]]),Table1[[CC]:[Pay TV vs. Free-to-Air]],2,FALSE)</f>
        <v>-</v>
      </c>
      <c r="P615" s="234">
        <f>Broadcast_BASE[[#This Row],[Rolex EXP]]*86400</f>
        <v>8159.1513857933287</v>
      </c>
      <c r="Q615" s="235" t="str">
        <f>IF(Broadcast_BASE[[#This Row],[Dashboard Rated?]]="No","N","Y")</f>
        <v>Y</v>
      </c>
      <c r="R615" s="236"/>
      <c r="S615" s="236"/>
    </row>
    <row r="616" spans="1:19" x14ac:dyDescent="0.25">
      <c r="A616" s="72" t="e">
        <f>#REF!</f>
        <v>#REF!</v>
      </c>
      <c r="B616" t="s">
        <v>45</v>
      </c>
      <c r="C616" t="s">
        <v>45</v>
      </c>
      <c r="D616" t="s">
        <v>1644</v>
      </c>
      <c r="E616" s="102">
        <v>0.83333333333333337</v>
      </c>
      <c r="F616" s="101">
        <v>1209.6072334125251</v>
      </c>
      <c r="G616" s="102">
        <v>5.1045741903111418E-2</v>
      </c>
      <c r="H616" s="101">
        <v>491.5276287527945</v>
      </c>
      <c r="I616" s="101">
        <v>136.46490185900595</v>
      </c>
      <c r="J616" s="101"/>
      <c r="K616" s="233" t="str">
        <f>VLOOKUP(Broadcast_BASE[[#This Row],[Broadcast Market]],Continent_Look_Up[],2,FALSE)</f>
        <v>Digital</v>
      </c>
      <c r="L616" t="str">
        <f>IF(OR(Broadcast_BASE[[#This Row],[Broadcast Continent]]="Digital",Broadcast_BASE[[#This Row],[Programme Type]]="Digital"),"Y","N")</f>
        <v>Y</v>
      </c>
      <c r="M616" s="4" t="str">
        <f>IF(ISNUMBER(SEARCH("Pan ",Broadcast_BASE[[#This Row],[Broadcast Market]]))=TRUE,"Y","N")</f>
        <v>N</v>
      </c>
      <c r="N616" t="str">
        <f>VLOOKUP(CONCATENATE(Broadcast_BASE[[#This Row],[Broadcast Market]],Broadcast_BASE[[#This Row],[Broadcaster]]),Table1[[CC]:[Pay TV vs. Free-to-Air]],3,FALSE)</f>
        <v>Digital</v>
      </c>
      <c r="O616" s="1" t="str">
        <f>VLOOKUP(CONCATENATE(Broadcast_BASE[[#This Row],[Broadcast Market]],Broadcast_BASE[[#This Row],[Broadcaster]]),Table1[[CC]:[Pay TV vs. Free-to-Air]],2,FALSE)</f>
        <v>-</v>
      </c>
      <c r="P616" s="234">
        <f>Broadcast_BASE[[#This Row],[Rolex EXP]]*86400</f>
        <v>4410.3521004288268</v>
      </c>
      <c r="Q616" s="235" t="str">
        <f>IF(Broadcast_BASE[[#This Row],[Dashboard Rated?]]="No","N","Y")</f>
        <v>Y</v>
      </c>
      <c r="R616" s="236"/>
      <c r="S616" s="236"/>
    </row>
    <row r="617" spans="1:19" x14ac:dyDescent="0.25">
      <c r="A617" s="72" t="e">
        <f>#REF!</f>
        <v>#REF!</v>
      </c>
      <c r="B617" t="s">
        <v>45</v>
      </c>
      <c r="C617" t="s">
        <v>45</v>
      </c>
      <c r="D617" t="s">
        <v>1643</v>
      </c>
      <c r="E617" s="102">
        <v>7.4930555555555562</v>
      </c>
      <c r="F617" s="101">
        <v>601878</v>
      </c>
      <c r="G617" s="102">
        <v>0.45898629594547674</v>
      </c>
      <c r="H617" s="101">
        <v>750826.15506714233</v>
      </c>
      <c r="I617" s="101">
        <v>208455.05231190904</v>
      </c>
      <c r="J617" s="101"/>
      <c r="K617" s="233" t="str">
        <f>VLOOKUP(Broadcast_BASE[[#This Row],[Broadcast Market]],Continent_Look_Up[],2,FALSE)</f>
        <v>Digital</v>
      </c>
      <c r="L617" t="str">
        <f>IF(OR(Broadcast_BASE[[#This Row],[Broadcast Continent]]="Digital",Broadcast_BASE[[#This Row],[Programme Type]]="Digital"),"Y","N")</f>
        <v>Y</v>
      </c>
      <c r="M617" s="4" t="str">
        <f>IF(ISNUMBER(SEARCH("Pan ",Broadcast_BASE[[#This Row],[Broadcast Market]]))=TRUE,"Y","N")</f>
        <v>N</v>
      </c>
      <c r="N617" t="str">
        <f>VLOOKUP(CONCATENATE(Broadcast_BASE[[#This Row],[Broadcast Market]],Broadcast_BASE[[#This Row],[Broadcaster]]),Table1[[CC]:[Pay TV vs. Free-to-Air]],3,FALSE)</f>
        <v>Digital</v>
      </c>
      <c r="O617" s="1" t="str">
        <f>VLOOKUP(CONCATENATE(Broadcast_BASE[[#This Row],[Broadcast Market]],Broadcast_BASE[[#This Row],[Broadcaster]]),Table1[[CC]:[Pay TV vs. Free-to-Air]],2,FALSE)</f>
        <v>-</v>
      </c>
      <c r="P617" s="234">
        <f>Broadcast_BASE[[#This Row],[Rolex EXP]]*86400</f>
        <v>39656.415969689187</v>
      </c>
      <c r="Q617" s="235" t="str">
        <f>IF(Broadcast_BASE[[#This Row],[Dashboard Rated?]]="No","N","Y")</f>
        <v>Y</v>
      </c>
      <c r="R617" s="236"/>
      <c r="S617" s="236"/>
    </row>
    <row r="618" spans="1:19" x14ac:dyDescent="0.25">
      <c r="A618" s="72" t="e">
        <f>#REF!</f>
        <v>#REF!</v>
      </c>
      <c r="B618" t="s">
        <v>45</v>
      </c>
      <c r="C618" t="s">
        <v>45</v>
      </c>
      <c r="D618" t="s">
        <v>1642</v>
      </c>
      <c r="E618" s="102">
        <v>0.81597222222222221</v>
      </c>
      <c r="F618" s="101">
        <v>134541.51479785293</v>
      </c>
      <c r="G618" s="102">
        <v>4.9982288946796592E-2</v>
      </c>
      <c r="H618" s="101">
        <v>12976.369360669627</v>
      </c>
      <c r="I618" s="101">
        <v>3602.6845037852304</v>
      </c>
      <c r="J618" s="101"/>
      <c r="K618" s="233" t="str">
        <f>VLOOKUP(Broadcast_BASE[[#This Row],[Broadcast Market]],Continent_Look_Up[],2,FALSE)</f>
        <v>Digital</v>
      </c>
      <c r="L618" t="str">
        <f>IF(OR(Broadcast_BASE[[#This Row],[Broadcast Continent]]="Digital",Broadcast_BASE[[#This Row],[Programme Type]]="Digital"),"Y","N")</f>
        <v>Y</v>
      </c>
      <c r="M618" s="4" t="str">
        <f>IF(ISNUMBER(SEARCH("Pan ",Broadcast_BASE[[#This Row],[Broadcast Market]]))=TRUE,"Y","N")</f>
        <v>N</v>
      </c>
      <c r="N618" t="str">
        <f>VLOOKUP(CONCATENATE(Broadcast_BASE[[#This Row],[Broadcast Market]],Broadcast_BASE[[#This Row],[Broadcaster]]),Table1[[CC]:[Pay TV vs. Free-to-Air]],3,FALSE)</f>
        <v>Digital</v>
      </c>
      <c r="O618" s="1" t="str">
        <f>VLOOKUP(CONCATENATE(Broadcast_BASE[[#This Row],[Broadcast Market]],Broadcast_BASE[[#This Row],[Broadcaster]]),Table1[[CC]:[Pay TV vs. Free-to-Air]],2,FALSE)</f>
        <v>-</v>
      </c>
      <c r="P618" s="234">
        <f>Broadcast_BASE[[#This Row],[Rolex EXP]]*86400</f>
        <v>4318.4697650032258</v>
      </c>
      <c r="Q618" s="235" t="str">
        <f>IF(Broadcast_BASE[[#This Row],[Dashboard Rated?]]="No","N","Y")</f>
        <v>Y</v>
      </c>
      <c r="R618" s="236"/>
      <c r="S618" s="236"/>
    </row>
    <row r="619" spans="1:19" x14ac:dyDescent="0.25">
      <c r="A619" s="72" t="e">
        <f>#REF!</f>
        <v>#REF!</v>
      </c>
      <c r="B619" t="s">
        <v>45</v>
      </c>
      <c r="C619" t="s">
        <v>45</v>
      </c>
      <c r="D619" t="s">
        <v>1643</v>
      </c>
      <c r="E619" s="102">
        <v>7.7777777777777779E-2</v>
      </c>
      <c r="F619" s="101">
        <v>6320.41786742555</v>
      </c>
      <c r="G619" s="102">
        <v>4.6611625665311596E-3</v>
      </c>
      <c r="H619" s="101">
        <v>1172.6113283749366</v>
      </c>
      <c r="I619" s="101">
        <v>316.6298410140833</v>
      </c>
      <c r="J619" s="101"/>
      <c r="K619" s="233" t="str">
        <f>VLOOKUP(Broadcast_BASE[[#This Row],[Broadcast Market]],Continent_Look_Up[],2,FALSE)</f>
        <v>Digital</v>
      </c>
      <c r="L619" t="str">
        <f>IF(OR(Broadcast_BASE[[#This Row],[Broadcast Continent]]="Digital",Broadcast_BASE[[#This Row],[Programme Type]]="Digital"),"Y","N")</f>
        <v>Y</v>
      </c>
      <c r="M619" s="4" t="str">
        <f>IF(ISNUMBER(SEARCH("Pan ",Broadcast_BASE[[#This Row],[Broadcast Market]]))=TRUE,"Y","N")</f>
        <v>N</v>
      </c>
      <c r="N619" t="str">
        <f>VLOOKUP(CONCATENATE(Broadcast_BASE[[#This Row],[Broadcast Market]],Broadcast_BASE[[#This Row],[Broadcaster]]),Table1[[CC]:[Pay TV vs. Free-to-Air]],3,FALSE)</f>
        <v>Digital</v>
      </c>
      <c r="O619" s="1" t="str">
        <f>VLOOKUP(CONCATENATE(Broadcast_BASE[[#This Row],[Broadcast Market]],Broadcast_BASE[[#This Row],[Broadcaster]]),Table1[[CC]:[Pay TV vs. Free-to-Air]],2,FALSE)</f>
        <v>-</v>
      </c>
      <c r="P619" s="234">
        <f>Broadcast_BASE[[#This Row],[Rolex EXP]]*86400</f>
        <v>402.72444574829217</v>
      </c>
      <c r="Q619" s="235" t="str">
        <f>IF(Broadcast_BASE[[#This Row],[Dashboard Rated?]]="No","N","Y")</f>
        <v>Y</v>
      </c>
      <c r="R619" s="236"/>
      <c r="S619" s="236"/>
    </row>
    <row r="620" spans="1:19" x14ac:dyDescent="0.25">
      <c r="A620" s="72" t="e">
        <f>#REF!</f>
        <v>#REF!</v>
      </c>
      <c r="B620" t="s">
        <v>45</v>
      </c>
      <c r="C620" t="s">
        <v>45</v>
      </c>
      <c r="D620" t="s">
        <v>1644</v>
      </c>
      <c r="E620" s="102">
        <v>5.8694444444444445</v>
      </c>
      <c r="F620" s="101">
        <v>395734.62306574034</v>
      </c>
      <c r="G620" s="102">
        <v>0.4798744346934834</v>
      </c>
      <c r="H620" s="101">
        <v>114862.54713643718</v>
      </c>
      <c r="I620" s="101">
        <v>32557.203702178067</v>
      </c>
      <c r="J620" s="101"/>
      <c r="K620" s="233" t="str">
        <f>VLOOKUP(Broadcast_BASE[[#This Row],[Broadcast Market]],Continent_Look_Up[],2,FALSE)</f>
        <v>Digital</v>
      </c>
      <c r="L620" t="str">
        <f>IF(OR(Broadcast_BASE[[#This Row],[Broadcast Continent]]="Digital",Broadcast_BASE[[#This Row],[Programme Type]]="Digital"),"Y","N")</f>
        <v>Y</v>
      </c>
      <c r="M620" s="4" t="str">
        <f>IF(ISNUMBER(SEARCH("Pan ",Broadcast_BASE[[#This Row],[Broadcast Market]]))=TRUE,"Y","N")</f>
        <v>N</v>
      </c>
      <c r="N620" t="str">
        <f>VLOOKUP(CONCATENATE(Broadcast_BASE[[#This Row],[Broadcast Market]],Broadcast_BASE[[#This Row],[Broadcaster]]),Table1[[CC]:[Pay TV vs. Free-to-Air]],3,FALSE)</f>
        <v>Digital</v>
      </c>
      <c r="O620" s="1" t="str">
        <f>VLOOKUP(CONCATENATE(Broadcast_BASE[[#This Row],[Broadcast Market]],Broadcast_BASE[[#This Row],[Broadcaster]]),Table1[[CC]:[Pay TV vs. Free-to-Air]],2,FALSE)</f>
        <v>-</v>
      </c>
      <c r="P620" s="234">
        <f>Broadcast_BASE[[#This Row],[Rolex EXP]]*86400</f>
        <v>41461.151157516964</v>
      </c>
      <c r="Q620" s="235" t="str">
        <f>IF(Broadcast_BASE[[#This Row],[Dashboard Rated?]]="No","N","Y")</f>
        <v>Y</v>
      </c>
      <c r="R620" s="236"/>
      <c r="S620" s="236"/>
    </row>
    <row r="621" spans="1:19" x14ac:dyDescent="0.25">
      <c r="A621" s="72" t="e">
        <f>#REF!</f>
        <v>#REF!</v>
      </c>
      <c r="B621" t="s">
        <v>45</v>
      </c>
      <c r="C621" t="s">
        <v>45</v>
      </c>
      <c r="D621" t="s">
        <v>1642</v>
      </c>
      <c r="E621" s="102">
        <v>2.75</v>
      </c>
      <c r="F621" s="101">
        <v>265660.63127518346</v>
      </c>
      <c r="G621" s="102">
        <v>0.17738967285543428</v>
      </c>
      <c r="H621" s="101">
        <v>22564.112233074567</v>
      </c>
      <c r="I621" s="101">
        <v>6371.9931183570679</v>
      </c>
      <c r="J621" s="101"/>
      <c r="K621" s="233" t="str">
        <f>VLOOKUP(Broadcast_BASE[[#This Row],[Broadcast Market]],Continent_Look_Up[],2,FALSE)</f>
        <v>Digital</v>
      </c>
      <c r="L621" t="str">
        <f>IF(OR(Broadcast_BASE[[#This Row],[Broadcast Continent]]="Digital",Broadcast_BASE[[#This Row],[Programme Type]]="Digital"),"Y","N")</f>
        <v>Y</v>
      </c>
      <c r="M621" s="4" t="str">
        <f>IF(ISNUMBER(SEARCH("Pan ",Broadcast_BASE[[#This Row],[Broadcast Market]]))=TRUE,"Y","N")</f>
        <v>N</v>
      </c>
      <c r="N621" t="str">
        <f>VLOOKUP(CONCATENATE(Broadcast_BASE[[#This Row],[Broadcast Market]],Broadcast_BASE[[#This Row],[Broadcaster]]),Table1[[CC]:[Pay TV vs. Free-to-Air]],3,FALSE)</f>
        <v>Digital</v>
      </c>
      <c r="O621" s="1" t="str">
        <f>VLOOKUP(CONCATENATE(Broadcast_BASE[[#This Row],[Broadcast Market]],Broadcast_BASE[[#This Row],[Broadcaster]]),Table1[[CC]:[Pay TV vs. Free-to-Air]],2,FALSE)</f>
        <v>-</v>
      </c>
      <c r="P621" s="234">
        <f>Broadcast_BASE[[#This Row],[Rolex EXP]]*86400</f>
        <v>15326.467734709522</v>
      </c>
      <c r="Q621" s="235" t="str">
        <f>IF(Broadcast_BASE[[#This Row],[Dashboard Rated?]]="No","N","Y")</f>
        <v>Y</v>
      </c>
      <c r="R621" s="236"/>
      <c r="S621" s="236"/>
    </row>
    <row r="622" spans="1:19" x14ac:dyDescent="0.25">
      <c r="A622" s="72" t="e">
        <f>#REF!</f>
        <v>#REF!</v>
      </c>
      <c r="B622" t="s">
        <v>45</v>
      </c>
      <c r="C622" t="s">
        <v>45</v>
      </c>
      <c r="D622" t="s">
        <v>1643</v>
      </c>
      <c r="E622" s="102">
        <v>4.6875</v>
      </c>
      <c r="F622" s="101">
        <v>207027.17450965688</v>
      </c>
      <c r="G622" s="102">
        <v>0.28713229820500169</v>
      </c>
      <c r="H622" s="101">
        <v>182003.64807820268</v>
      </c>
      <c r="I622" s="101">
        <v>50530.445330194038</v>
      </c>
      <c r="J622" s="101"/>
      <c r="K622" s="233" t="str">
        <f>VLOOKUP(Broadcast_BASE[[#This Row],[Broadcast Market]],Continent_Look_Up[],2,FALSE)</f>
        <v>Digital</v>
      </c>
      <c r="L622" t="str">
        <f>IF(OR(Broadcast_BASE[[#This Row],[Broadcast Continent]]="Digital",Broadcast_BASE[[#This Row],[Programme Type]]="Digital"),"Y","N")</f>
        <v>Y</v>
      </c>
      <c r="M622" s="4" t="str">
        <f>IF(ISNUMBER(SEARCH("Pan ",Broadcast_BASE[[#This Row],[Broadcast Market]]))=TRUE,"Y","N")</f>
        <v>N</v>
      </c>
      <c r="N622" t="str">
        <f>VLOOKUP(CONCATENATE(Broadcast_BASE[[#This Row],[Broadcast Market]],Broadcast_BASE[[#This Row],[Broadcaster]]),Table1[[CC]:[Pay TV vs. Free-to-Air]],3,FALSE)</f>
        <v>Digital</v>
      </c>
      <c r="O622" s="1" t="str">
        <f>VLOOKUP(CONCATENATE(Broadcast_BASE[[#This Row],[Broadcast Market]],Broadcast_BASE[[#This Row],[Broadcaster]]),Table1[[CC]:[Pay TV vs. Free-to-Air]],2,FALSE)</f>
        <v>-</v>
      </c>
      <c r="P622" s="234">
        <f>Broadcast_BASE[[#This Row],[Rolex EXP]]*86400</f>
        <v>24808.230564912144</v>
      </c>
      <c r="Q622" s="235" t="str">
        <f>IF(Broadcast_BASE[[#This Row],[Dashboard Rated?]]="No","N","Y")</f>
        <v>Y</v>
      </c>
      <c r="R622" s="236"/>
      <c r="S622" s="236"/>
    </row>
    <row r="623" spans="1:19" x14ac:dyDescent="0.25">
      <c r="A623" s="72" t="e">
        <f>#REF!</f>
        <v>#REF!</v>
      </c>
      <c r="B623" t="s">
        <v>45</v>
      </c>
      <c r="C623" t="s">
        <v>45</v>
      </c>
      <c r="D623" t="s">
        <v>1642</v>
      </c>
      <c r="E623" s="102">
        <v>0.89236111111111116</v>
      </c>
      <c r="F623" s="101">
        <v>43526.536726376056</v>
      </c>
      <c r="G623" s="102">
        <v>5.2467252341392968E-2</v>
      </c>
      <c r="H623" s="101">
        <v>3602.1324674478478</v>
      </c>
      <c r="I623" s="101">
        <v>1023.6468769805024</v>
      </c>
      <c r="J623" s="101"/>
      <c r="K623" s="233" t="str">
        <f>VLOOKUP(Broadcast_BASE[[#This Row],[Broadcast Market]],Continent_Look_Up[],2,FALSE)</f>
        <v>Digital</v>
      </c>
      <c r="L623" t="str">
        <f>IF(OR(Broadcast_BASE[[#This Row],[Broadcast Continent]]="Digital",Broadcast_BASE[[#This Row],[Programme Type]]="Digital"),"Y","N")</f>
        <v>Y</v>
      </c>
      <c r="M623" s="4" t="str">
        <f>IF(ISNUMBER(SEARCH("Pan ",Broadcast_BASE[[#This Row],[Broadcast Market]]))=TRUE,"Y","N")</f>
        <v>N</v>
      </c>
      <c r="N623" t="str">
        <f>VLOOKUP(CONCATENATE(Broadcast_BASE[[#This Row],[Broadcast Market]],Broadcast_BASE[[#This Row],[Broadcaster]]),Table1[[CC]:[Pay TV vs. Free-to-Air]],3,FALSE)</f>
        <v>Digital</v>
      </c>
      <c r="O623" s="1" t="str">
        <f>VLOOKUP(CONCATENATE(Broadcast_BASE[[#This Row],[Broadcast Market]],Broadcast_BASE[[#This Row],[Broadcaster]]),Table1[[CC]:[Pay TV vs. Free-to-Air]],2,FALSE)</f>
        <v>-</v>
      </c>
      <c r="P623" s="234">
        <f>Broadcast_BASE[[#This Row],[Rolex EXP]]*86400</f>
        <v>4533.1706022963526</v>
      </c>
      <c r="Q623" s="235" t="str">
        <f>IF(Broadcast_BASE[[#This Row],[Dashboard Rated?]]="No","N","Y")</f>
        <v>Y</v>
      </c>
      <c r="R623" s="236"/>
      <c r="S623" s="236"/>
    </row>
    <row r="624" spans="1:19" x14ac:dyDescent="0.25">
      <c r="A624" s="72" t="e">
        <f>#REF!</f>
        <v>#REF!</v>
      </c>
      <c r="B624" t="s">
        <v>45</v>
      </c>
      <c r="C624" t="s">
        <v>45</v>
      </c>
      <c r="D624" t="s">
        <v>1643</v>
      </c>
      <c r="E624" s="102">
        <v>3.2291666666666665</v>
      </c>
      <c r="F624" s="101">
        <v>59374.473907088635</v>
      </c>
      <c r="G624" s="102">
        <v>0.19780224987455672</v>
      </c>
      <c r="H624" s="101">
        <v>58432.579421327944</v>
      </c>
      <c r="I624" s="101">
        <v>16222.885041749048</v>
      </c>
      <c r="J624" s="101"/>
      <c r="K624" s="233" t="str">
        <f>VLOOKUP(Broadcast_BASE[[#This Row],[Broadcast Market]],Continent_Look_Up[],2,FALSE)</f>
        <v>Digital</v>
      </c>
      <c r="L624" t="str">
        <f>IF(OR(Broadcast_BASE[[#This Row],[Broadcast Continent]]="Digital",Broadcast_BASE[[#This Row],[Programme Type]]="Digital"),"Y","N")</f>
        <v>Y</v>
      </c>
      <c r="M624" s="4" t="str">
        <f>IF(ISNUMBER(SEARCH("Pan ",Broadcast_BASE[[#This Row],[Broadcast Market]]))=TRUE,"Y","N")</f>
        <v>N</v>
      </c>
      <c r="N624" t="str">
        <f>VLOOKUP(CONCATENATE(Broadcast_BASE[[#This Row],[Broadcast Market]],Broadcast_BASE[[#This Row],[Broadcaster]]),Table1[[CC]:[Pay TV vs. Free-to-Air]],3,FALSE)</f>
        <v>Digital</v>
      </c>
      <c r="O624" s="1" t="str">
        <f>VLOOKUP(CONCATENATE(Broadcast_BASE[[#This Row],[Broadcast Market]],Broadcast_BASE[[#This Row],[Broadcaster]]),Table1[[CC]:[Pay TV vs. Free-to-Air]],2,FALSE)</f>
        <v>-</v>
      </c>
      <c r="P624" s="234">
        <f>Broadcast_BASE[[#This Row],[Rolex EXP]]*86400</f>
        <v>17090.114389161699</v>
      </c>
      <c r="Q624" s="235" t="str">
        <f>IF(Broadcast_BASE[[#This Row],[Dashboard Rated?]]="No","N","Y")</f>
        <v>Y</v>
      </c>
      <c r="R624" s="236"/>
      <c r="S624" s="236"/>
    </row>
    <row r="625" spans="1:19" x14ac:dyDescent="0.25">
      <c r="A625" s="72" t="e">
        <f>#REF!</f>
        <v>#REF!</v>
      </c>
      <c r="B625" t="s">
        <v>45</v>
      </c>
      <c r="C625" t="s">
        <v>45</v>
      </c>
      <c r="D625" t="s">
        <v>1643</v>
      </c>
      <c r="E625" s="102">
        <v>3.0416666666666665</v>
      </c>
      <c r="F625" s="101">
        <v>12383.111349416338</v>
      </c>
      <c r="G625" s="102">
        <v>0.18631695794635661</v>
      </c>
      <c r="H625" s="101">
        <v>15305.409574016196</v>
      </c>
      <c r="I625" s="101">
        <v>4249.3058238247322</v>
      </c>
      <c r="J625" s="101"/>
      <c r="K625" s="233" t="str">
        <f>VLOOKUP(Broadcast_BASE[[#This Row],[Broadcast Market]],Continent_Look_Up[],2,FALSE)</f>
        <v>Digital</v>
      </c>
      <c r="L625" t="str">
        <f>IF(OR(Broadcast_BASE[[#This Row],[Broadcast Continent]]="Digital",Broadcast_BASE[[#This Row],[Programme Type]]="Digital"),"Y","N")</f>
        <v>Y</v>
      </c>
      <c r="M625" s="4" t="str">
        <f>IF(ISNUMBER(SEARCH("Pan ",Broadcast_BASE[[#This Row],[Broadcast Market]]))=TRUE,"Y","N")</f>
        <v>N</v>
      </c>
      <c r="N625" t="str">
        <f>VLOOKUP(CONCATENATE(Broadcast_BASE[[#This Row],[Broadcast Market]],Broadcast_BASE[[#This Row],[Broadcaster]]),Table1[[CC]:[Pay TV vs. Free-to-Air]],3,FALSE)</f>
        <v>Digital</v>
      </c>
      <c r="O625" s="1" t="str">
        <f>VLOOKUP(CONCATENATE(Broadcast_BASE[[#This Row],[Broadcast Market]],Broadcast_BASE[[#This Row],[Broadcaster]]),Table1[[CC]:[Pay TV vs. Free-to-Air]],2,FALSE)</f>
        <v>-</v>
      </c>
      <c r="P625" s="234">
        <f>Broadcast_BASE[[#This Row],[Rolex EXP]]*86400</f>
        <v>16097.785166565211</v>
      </c>
      <c r="Q625" s="235" t="str">
        <f>IF(Broadcast_BASE[[#This Row],[Dashboard Rated?]]="No","N","Y")</f>
        <v>Y</v>
      </c>
      <c r="R625" s="236"/>
      <c r="S625" s="236"/>
    </row>
    <row r="626" spans="1:19" x14ac:dyDescent="0.25">
      <c r="A626" s="72" t="e">
        <f>#REF!</f>
        <v>#REF!</v>
      </c>
      <c r="B626" t="s">
        <v>45</v>
      </c>
      <c r="C626" t="s">
        <v>45</v>
      </c>
      <c r="D626" t="s">
        <v>1642</v>
      </c>
      <c r="E626" s="102">
        <v>0.10416666666666667</v>
      </c>
      <c r="F626" s="101">
        <v>2465.6508979609807</v>
      </c>
      <c r="G626" s="102">
        <v>6.3807177378889272E-3</v>
      </c>
      <c r="H626" s="101">
        <v>125.24060555878401</v>
      </c>
      <c r="I626" s="101">
        <v>34.771080904869208</v>
      </c>
      <c r="J626" s="101"/>
      <c r="K626" s="233" t="str">
        <f>VLOOKUP(Broadcast_BASE[[#This Row],[Broadcast Market]],Continent_Look_Up[],2,FALSE)</f>
        <v>Digital</v>
      </c>
      <c r="L626" t="str">
        <f>IF(OR(Broadcast_BASE[[#This Row],[Broadcast Continent]]="Digital",Broadcast_BASE[[#This Row],[Programme Type]]="Digital"),"Y","N")</f>
        <v>Y</v>
      </c>
      <c r="M626" s="4" t="str">
        <f>IF(ISNUMBER(SEARCH("Pan ",Broadcast_BASE[[#This Row],[Broadcast Market]]))=TRUE,"Y","N")</f>
        <v>N</v>
      </c>
      <c r="N626" t="str">
        <f>VLOOKUP(CONCATENATE(Broadcast_BASE[[#This Row],[Broadcast Market]],Broadcast_BASE[[#This Row],[Broadcaster]]),Table1[[CC]:[Pay TV vs. Free-to-Air]],3,FALSE)</f>
        <v>Digital</v>
      </c>
      <c r="O626" s="1" t="str">
        <f>VLOOKUP(CONCATENATE(Broadcast_BASE[[#This Row],[Broadcast Market]],Broadcast_BASE[[#This Row],[Broadcaster]]),Table1[[CC]:[Pay TV vs. Free-to-Air]],2,FALSE)</f>
        <v>-</v>
      </c>
      <c r="P626" s="234">
        <f>Broadcast_BASE[[#This Row],[Rolex EXP]]*86400</f>
        <v>551.29401255360335</v>
      </c>
      <c r="Q626" s="235" t="str">
        <f>IF(Broadcast_BASE[[#This Row],[Dashboard Rated?]]="No","N","Y")</f>
        <v>Y</v>
      </c>
      <c r="R626" s="236"/>
      <c r="S626" s="236"/>
    </row>
    <row r="627" spans="1:19" x14ac:dyDescent="0.25">
      <c r="A627" s="72" t="e">
        <f>#REF!</f>
        <v>#REF!</v>
      </c>
      <c r="B627" t="s">
        <v>45</v>
      </c>
      <c r="C627" t="s">
        <v>45</v>
      </c>
      <c r="D627" t="s">
        <v>1643</v>
      </c>
      <c r="E627" s="102">
        <v>0.41666666666666669</v>
      </c>
      <c r="F627" s="101">
        <v>10442.088288086352</v>
      </c>
      <c r="G627" s="102">
        <v>2.5522870951555709E-2</v>
      </c>
      <c r="H627" s="101">
        <v>2121.5873854319098</v>
      </c>
      <c r="I627" s="101">
        <v>589.0253108923016</v>
      </c>
      <c r="J627" s="101"/>
      <c r="K627" s="233" t="str">
        <f>VLOOKUP(Broadcast_BASE[[#This Row],[Broadcast Market]],Continent_Look_Up[],2,FALSE)</f>
        <v>Digital</v>
      </c>
      <c r="L627" t="str">
        <f>IF(OR(Broadcast_BASE[[#This Row],[Broadcast Continent]]="Digital",Broadcast_BASE[[#This Row],[Programme Type]]="Digital"),"Y","N")</f>
        <v>Y</v>
      </c>
      <c r="M627" s="4" t="str">
        <f>IF(ISNUMBER(SEARCH("Pan ",Broadcast_BASE[[#This Row],[Broadcast Market]]))=TRUE,"Y","N")</f>
        <v>N</v>
      </c>
      <c r="N627" t="str">
        <f>VLOOKUP(CONCATENATE(Broadcast_BASE[[#This Row],[Broadcast Market]],Broadcast_BASE[[#This Row],[Broadcaster]]),Table1[[CC]:[Pay TV vs. Free-to-Air]],3,FALSE)</f>
        <v>Digital</v>
      </c>
      <c r="O627" s="1" t="str">
        <f>VLOOKUP(CONCATENATE(Broadcast_BASE[[#This Row],[Broadcast Market]],Broadcast_BASE[[#This Row],[Broadcaster]]),Table1[[CC]:[Pay TV vs. Free-to-Air]],2,FALSE)</f>
        <v>-</v>
      </c>
      <c r="P627" s="234">
        <f>Broadcast_BASE[[#This Row],[Rolex EXP]]*86400</f>
        <v>2205.1760502144134</v>
      </c>
      <c r="Q627" s="235" t="str">
        <f>IF(Broadcast_BASE[[#This Row],[Dashboard Rated?]]="No","N","Y")</f>
        <v>Y</v>
      </c>
      <c r="R627" s="236"/>
      <c r="S627" s="236"/>
    </row>
    <row r="628" spans="1:19" x14ac:dyDescent="0.25">
      <c r="A628" s="72" t="e">
        <f>#REF!</f>
        <v>#REF!</v>
      </c>
      <c r="B628" t="s">
        <v>45</v>
      </c>
      <c r="C628" t="s">
        <v>45</v>
      </c>
      <c r="D628" t="s">
        <v>1644</v>
      </c>
      <c r="E628" s="102">
        <v>4.145833333333333</v>
      </c>
      <c r="F628" s="101">
        <v>21377.440447008648</v>
      </c>
      <c r="G628" s="102">
        <v>0.25395256596797944</v>
      </c>
      <c r="H628" s="101">
        <v>4672.3750382916951</v>
      </c>
      <c r="I628" s="101">
        <v>1297.2113137705705</v>
      </c>
      <c r="J628" s="101"/>
      <c r="K628" s="233" t="str">
        <f>VLOOKUP(Broadcast_BASE[[#This Row],[Broadcast Market]],Continent_Look_Up[],2,FALSE)</f>
        <v>Digital</v>
      </c>
      <c r="L628" t="str">
        <f>IF(OR(Broadcast_BASE[[#This Row],[Broadcast Continent]]="Digital",Broadcast_BASE[[#This Row],[Programme Type]]="Digital"),"Y","N")</f>
        <v>Y</v>
      </c>
      <c r="M628" s="4" t="str">
        <f>IF(ISNUMBER(SEARCH("Pan ",Broadcast_BASE[[#This Row],[Broadcast Market]]))=TRUE,"Y","N")</f>
        <v>N</v>
      </c>
      <c r="N628" t="str">
        <f>VLOOKUP(CONCATENATE(Broadcast_BASE[[#This Row],[Broadcast Market]],Broadcast_BASE[[#This Row],[Broadcaster]]),Table1[[CC]:[Pay TV vs. Free-to-Air]],3,FALSE)</f>
        <v>Digital</v>
      </c>
      <c r="O628" s="1" t="str">
        <f>VLOOKUP(CONCATENATE(Broadcast_BASE[[#This Row],[Broadcast Market]],Broadcast_BASE[[#This Row],[Broadcaster]]),Table1[[CC]:[Pay TV vs. Free-to-Air]],2,FALSE)</f>
        <v>-</v>
      </c>
      <c r="P628" s="234">
        <f>Broadcast_BASE[[#This Row],[Rolex EXP]]*86400</f>
        <v>21941.501699633423</v>
      </c>
      <c r="Q628" s="235" t="str">
        <f>IF(Broadcast_BASE[[#This Row],[Dashboard Rated?]]="No","N","Y")</f>
        <v>Y</v>
      </c>
      <c r="R628" s="236"/>
      <c r="S628" s="236"/>
    </row>
  </sheetData>
  <pageMargins left="0.7" right="0.7" top="0.75" bottom="0.75" header="0.3" footer="0.3"/>
  <pageSetup paperSize="9" orientation="portrait" horizontalDpi="1200" verticalDpi="120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7030A0"/>
  </sheetPr>
  <dimension ref="A1:S580"/>
  <sheetViews>
    <sheetView zoomScale="70" zoomScaleNormal="70" workbookViewId="0">
      <selection activeCell="G13" sqref="G13"/>
    </sheetView>
  </sheetViews>
  <sheetFormatPr defaultRowHeight="15" x14ac:dyDescent="0.25"/>
  <cols>
    <col min="1" max="1" width="23.28515625" bestFit="1" customWidth="1"/>
    <col min="2" max="2" width="9.85546875" customWidth="1"/>
    <col min="3" max="3" width="21" customWidth="1"/>
    <col min="4" max="4" width="18.5703125" customWidth="1"/>
    <col min="5" max="5" width="14" customWidth="1"/>
    <col min="6" max="6" width="13.5703125" customWidth="1"/>
    <col min="7" max="7" width="10.7109375" bestFit="1" customWidth="1"/>
    <col min="8" max="8" width="19.85546875" customWidth="1"/>
    <col min="9" max="9" width="18.140625" customWidth="1"/>
    <col min="10" max="10" width="15.5703125" customWidth="1"/>
    <col min="11" max="11" width="18.42578125" customWidth="1"/>
    <col min="12" max="12" width="11.5703125" customWidth="1"/>
    <col min="13" max="13" width="9.5703125" customWidth="1"/>
    <col min="14" max="14" width="10" customWidth="1"/>
    <col min="15" max="15" width="19" bestFit="1" customWidth="1"/>
    <col min="19" max="19" width="9.140625" bestFit="1" customWidth="1"/>
  </cols>
  <sheetData>
    <row r="1" spans="1:19" x14ac:dyDescent="0.25">
      <c r="A1" t="s">
        <v>1853</v>
      </c>
      <c r="B1" s="77" t="s">
        <v>1854</v>
      </c>
      <c r="C1" s="77" t="s">
        <v>136</v>
      </c>
      <c r="D1" s="77" t="s">
        <v>1855</v>
      </c>
      <c r="E1" s="77" t="s">
        <v>1856</v>
      </c>
      <c r="F1" s="77" t="s">
        <v>1652</v>
      </c>
      <c r="G1" s="77" t="s">
        <v>1857</v>
      </c>
      <c r="H1" s="77" t="s">
        <v>1858</v>
      </c>
      <c r="I1" s="77" t="s">
        <v>1859</v>
      </c>
      <c r="J1" s="77" t="s">
        <v>1860</v>
      </c>
      <c r="K1" t="s">
        <v>1861</v>
      </c>
      <c r="L1" t="s">
        <v>1627</v>
      </c>
      <c r="M1" t="s">
        <v>1650</v>
      </c>
      <c r="N1" t="s">
        <v>1670</v>
      </c>
      <c r="O1" s="1" t="s">
        <v>1862</v>
      </c>
      <c r="P1" t="s">
        <v>1863</v>
      </c>
      <c r="Q1" t="s">
        <v>1864</v>
      </c>
      <c r="R1" s="79" t="s">
        <v>1865</v>
      </c>
      <c r="S1" s="79" t="s">
        <v>1866</v>
      </c>
    </row>
    <row r="2" spans="1:19" x14ac:dyDescent="0.25">
      <c r="A2" s="72" t="s">
        <v>1869</v>
      </c>
      <c r="B2" t="s">
        <v>13</v>
      </c>
      <c r="C2" t="s">
        <v>184</v>
      </c>
      <c r="D2" t="s">
        <v>1643</v>
      </c>
      <c r="E2" s="102">
        <v>0.54166666666666663</v>
      </c>
      <c r="F2" s="101">
        <v>127940</v>
      </c>
      <c r="G2" s="102">
        <v>5.0244117680982296E-2</v>
      </c>
      <c r="H2" s="101">
        <v>50785.852980616386</v>
      </c>
      <c r="I2" s="101">
        <v>14728.521120704148</v>
      </c>
      <c r="J2" s="101" t="s">
        <v>1867</v>
      </c>
      <c r="K2" s="72" t="str">
        <f>VLOOKUP(Historic_BCast_BASE[[#This Row],[Broadcast Market]],Continent_Look_Up[],2,FALSE)</f>
        <v>Central &amp; South America</v>
      </c>
      <c r="L2" t="str">
        <f>IF(OR(Historic_BCast_BASE[[#This Row],[Broadcast Continent]]="Digital",Historic_BCast_BASE[[#This Row],[Programme Type]]="Digital"),"Y","N")</f>
        <v>N</v>
      </c>
      <c r="M2" s="4" t="str">
        <f>IF(ISNUMBER(SEARCH("Pan ",Historic_BCast_BASE[[#This Row],[Broadcast Market]]))=TRUE,"Y","N")</f>
        <v>N</v>
      </c>
      <c r="N2" t="str">
        <f>VLOOKUP(CONCATENATE(Historic_BCast_BASE[[#This Row],[Broadcast Market]],Historic_BCast_BASE[[#This Row],[Broadcaster]]),Table1[[CC]:[Pay TV vs. Free-to-Air]],3,FALSE)</f>
        <v>Pay TV</v>
      </c>
      <c r="O2" s="1">
        <f>VLOOKUP(CONCATENATE(Historic_BCast_BASE[[#This Row],[Broadcast Market]],Historic_BCast_BASE[[#This Row],[Broadcaster]]),Table1[[CC]:[Pay TV vs. Free-to-Air]],2,FALSE)</f>
        <v>10977116</v>
      </c>
      <c r="P2" s="57">
        <f>Historic_BCast_BASE[[#This Row],[Rolex EXP]]*86400</f>
        <v>4341.0917676368708</v>
      </c>
      <c r="Q2" s="73" t="str">
        <f>IF(Historic_BCast_BASE[[#This Row],[Dashboard Rated?]]="No","N","Y")</f>
        <v>N</v>
      </c>
      <c r="R2" s="80"/>
      <c r="S2" s="80"/>
    </row>
    <row r="3" spans="1:19" x14ac:dyDescent="0.25">
      <c r="A3" s="72" t="s">
        <v>1869</v>
      </c>
      <c r="B3" t="s">
        <v>13</v>
      </c>
      <c r="C3" t="s">
        <v>184</v>
      </c>
      <c r="D3" t="s">
        <v>1644</v>
      </c>
      <c r="E3" s="102">
        <v>8.3333333333333329E-2</v>
      </c>
      <c r="F3" s="101">
        <v>16446</v>
      </c>
      <c r="G3" s="102">
        <v>6.4544469473424822E-3</v>
      </c>
      <c r="H3" s="101">
        <v>3354.5208322737703</v>
      </c>
      <c r="I3" s="101">
        <v>1035.0064005521238</v>
      </c>
      <c r="J3" s="101" t="s">
        <v>1867</v>
      </c>
      <c r="K3" t="str">
        <f>VLOOKUP(Historic_BCast_BASE[[#This Row],[Broadcast Market]],Continent_Look_Up[],2,FALSE)</f>
        <v>Central &amp; South America</v>
      </c>
      <c r="L3" t="str">
        <f>IF(OR(Historic_BCast_BASE[[#This Row],[Broadcast Continent]]="Digital",Historic_BCast_BASE[[#This Row],[Programme Type]]="Digital"),"Y","N")</f>
        <v>N</v>
      </c>
      <c r="M3" s="4" t="str">
        <f>IF(ISNUMBER(SEARCH("Pan ",Historic_BCast_BASE[[#This Row],[Broadcast Market]]))=TRUE,"Y","N")</f>
        <v>N</v>
      </c>
      <c r="N3" t="str">
        <f>VLOOKUP(CONCATENATE(Historic_BCast_BASE[[#This Row],[Broadcast Market]],Historic_BCast_BASE[[#This Row],[Broadcaster]]),Table1[[CC]:[Pay TV vs. Free-to-Air]],3,FALSE)</f>
        <v>Pay TV</v>
      </c>
      <c r="O3" s="143">
        <f>VLOOKUP(CONCATENATE(Historic_BCast_BASE[[#This Row],[Broadcast Market]],Historic_BCast_BASE[[#This Row],[Broadcaster]]),Table1[[CC]:[Pay TV vs. Free-to-Air]],2,FALSE)</f>
        <v>10977116</v>
      </c>
      <c r="P3" s="57">
        <f>Historic_BCast_BASE[[#This Row],[Rolex EXP]]*86400</f>
        <v>557.6642162503905</v>
      </c>
      <c r="Q3" s="73" t="str">
        <f>IF(Historic_BCast_BASE[[#This Row],[Dashboard Rated?]]="No","N","Y")</f>
        <v>N</v>
      </c>
      <c r="R3" s="80"/>
      <c r="S3" s="80"/>
    </row>
    <row r="4" spans="1:19" x14ac:dyDescent="0.25">
      <c r="A4" s="72" t="s">
        <v>1869</v>
      </c>
      <c r="B4" t="s">
        <v>13</v>
      </c>
      <c r="C4" t="s">
        <v>185</v>
      </c>
      <c r="D4" t="s">
        <v>1643</v>
      </c>
      <c r="E4" s="102">
        <v>0.76388888888888884</v>
      </c>
      <c r="F4" s="101">
        <v>127940</v>
      </c>
      <c r="G4" s="102">
        <v>7.2982784556066341E-2</v>
      </c>
      <c r="H4" s="101">
        <v>73769.689620469086</v>
      </c>
      <c r="I4" s="101">
        <v>21192.648529474314</v>
      </c>
      <c r="J4" s="101" t="s">
        <v>1867</v>
      </c>
      <c r="K4" t="str">
        <f>VLOOKUP(Historic_BCast_BASE[[#This Row],[Broadcast Market]],Continent_Look_Up[],2,FALSE)</f>
        <v>Central &amp; South America</v>
      </c>
      <c r="L4" t="str">
        <f>IF(OR(Historic_BCast_BASE[[#This Row],[Broadcast Continent]]="Digital",Historic_BCast_BASE[[#This Row],[Programme Type]]="Digital"),"Y","N")</f>
        <v>N</v>
      </c>
      <c r="M4" s="4" t="str">
        <f>IF(ISNUMBER(SEARCH("Pan ",Historic_BCast_BASE[[#This Row],[Broadcast Market]]))=TRUE,"Y","N")</f>
        <v>N</v>
      </c>
      <c r="N4" t="str">
        <f>VLOOKUP(CONCATENATE(Historic_BCast_BASE[[#This Row],[Broadcast Market]],Historic_BCast_BASE[[#This Row],[Broadcaster]]),Table1[[CC]:[Pay TV vs. Free-to-Air]],3,FALSE)</f>
        <v>Pay TV</v>
      </c>
      <c r="O4" s="1">
        <f>VLOOKUP(CONCATENATE(Historic_BCast_BASE[[#This Row],[Broadcast Market]],Historic_BCast_BASE[[#This Row],[Broadcaster]]),Table1[[CC]:[Pay TV vs. Free-to-Air]],2,FALSE)</f>
        <v>10977116</v>
      </c>
      <c r="P4" s="57">
        <f>Historic_BCast_BASE[[#This Row],[Rolex EXP]]*86400</f>
        <v>6305.7125856441317</v>
      </c>
      <c r="Q4" s="73" t="str">
        <f>IF(Historic_BCast_BASE[[#This Row],[Dashboard Rated?]]="No","N","Y")</f>
        <v>N</v>
      </c>
      <c r="R4" s="80"/>
      <c r="S4" s="80"/>
    </row>
    <row r="5" spans="1:19" x14ac:dyDescent="0.25">
      <c r="A5" s="72" t="s">
        <v>1869</v>
      </c>
      <c r="B5" t="s">
        <v>13</v>
      </c>
      <c r="C5" t="s">
        <v>185</v>
      </c>
      <c r="D5" t="s">
        <v>1644</v>
      </c>
      <c r="E5" s="102">
        <v>0.21180555555555555</v>
      </c>
      <c r="F5" s="101">
        <v>32892</v>
      </c>
      <c r="G5" s="102">
        <v>1.5463746859917133E-2</v>
      </c>
      <c r="H5" s="101">
        <v>8036.8560482100174</v>
      </c>
      <c r="I5" s="101">
        <v>2326.1127064094826</v>
      </c>
      <c r="J5" s="101" t="s">
        <v>1867</v>
      </c>
      <c r="K5" t="str">
        <f>VLOOKUP(Historic_BCast_BASE[[#This Row],[Broadcast Market]],Continent_Look_Up[],2,FALSE)</f>
        <v>Central &amp; South America</v>
      </c>
      <c r="L5" t="str">
        <f>IF(OR(Historic_BCast_BASE[[#This Row],[Broadcast Continent]]="Digital",Historic_BCast_BASE[[#This Row],[Programme Type]]="Digital"),"Y","N")</f>
        <v>N</v>
      </c>
      <c r="M5" s="4" t="str">
        <f>IF(ISNUMBER(SEARCH("Pan ",Historic_BCast_BASE[[#This Row],[Broadcast Market]]))=TRUE,"Y","N")</f>
        <v>N</v>
      </c>
      <c r="N5" t="str">
        <f>VLOOKUP(CONCATENATE(Historic_BCast_BASE[[#This Row],[Broadcast Market]],Historic_BCast_BASE[[#This Row],[Broadcaster]]),Table1[[CC]:[Pay TV vs. Free-to-Air]],3,FALSE)</f>
        <v>Pay TV</v>
      </c>
      <c r="O5" s="1">
        <f>VLOOKUP(CONCATENATE(Historic_BCast_BASE[[#This Row],[Broadcast Market]],Historic_BCast_BASE[[#This Row],[Broadcaster]]),Table1[[CC]:[Pay TV vs. Free-to-Air]],2,FALSE)</f>
        <v>10977116</v>
      </c>
      <c r="P5" s="57">
        <f>Historic_BCast_BASE[[#This Row],[Rolex EXP]]*86400</f>
        <v>1336.0677286968403</v>
      </c>
      <c r="Q5" s="73" t="str">
        <f>IF(Historic_BCast_BASE[[#This Row],[Dashboard Rated?]]="No","N","Y")</f>
        <v>N</v>
      </c>
      <c r="R5" s="80"/>
      <c r="S5" s="80"/>
    </row>
    <row r="6" spans="1:19" x14ac:dyDescent="0.25">
      <c r="A6" s="72" t="s">
        <v>1869</v>
      </c>
      <c r="B6" t="s">
        <v>13</v>
      </c>
      <c r="C6" t="s">
        <v>186</v>
      </c>
      <c r="D6" t="s">
        <v>1643</v>
      </c>
      <c r="E6" s="102">
        <v>1.7256944444444444</v>
      </c>
      <c r="F6" s="101">
        <v>451341</v>
      </c>
      <c r="G6" s="102">
        <v>0.15974786685540376</v>
      </c>
      <c r="H6" s="101">
        <v>214375.97927565835</v>
      </c>
      <c r="I6" s="101">
        <v>61257.26729286919</v>
      </c>
      <c r="J6" s="101" t="s">
        <v>1867</v>
      </c>
      <c r="K6" t="str">
        <f>VLOOKUP(Historic_BCast_BASE[[#This Row],[Broadcast Market]],Continent_Look_Up[],2,FALSE)</f>
        <v>Central &amp; South America</v>
      </c>
      <c r="L6" t="str">
        <f>IF(OR(Historic_BCast_BASE[[#This Row],[Broadcast Continent]]="Digital",Historic_BCast_BASE[[#This Row],[Programme Type]]="Digital"),"Y","N")</f>
        <v>N</v>
      </c>
      <c r="M6" s="4" t="str">
        <f>IF(ISNUMBER(SEARCH("Pan ",Historic_BCast_BASE[[#This Row],[Broadcast Market]]))=TRUE,"Y","N")</f>
        <v>N</v>
      </c>
      <c r="N6" t="str">
        <f>VLOOKUP(CONCATENATE(Historic_BCast_BASE[[#This Row],[Broadcast Market]],Historic_BCast_BASE[[#This Row],[Broadcaster]]),Table1[[CC]:[Pay TV vs. Free-to-Air]],3,FALSE)</f>
        <v>Pay TV</v>
      </c>
      <c r="O6" s="1">
        <f>VLOOKUP(CONCATENATE(Historic_BCast_BASE[[#This Row],[Broadcast Market]],Historic_BCast_BASE[[#This Row],[Broadcaster]]),Table1[[CC]:[Pay TV vs. Free-to-Air]],2,FALSE)</f>
        <v>10977116</v>
      </c>
      <c r="P6" s="57">
        <f>Historic_BCast_BASE[[#This Row],[Rolex EXP]]*86400</f>
        <v>13802.215696306885</v>
      </c>
      <c r="Q6" s="73" t="str">
        <f>IF(Historic_BCast_BASE[[#This Row],[Dashboard Rated?]]="No","N","Y")</f>
        <v>N</v>
      </c>
      <c r="R6" s="80"/>
      <c r="S6" s="80"/>
    </row>
    <row r="7" spans="1:19" x14ac:dyDescent="0.25">
      <c r="A7" s="72" t="s">
        <v>1869</v>
      </c>
      <c r="B7" t="s">
        <v>13</v>
      </c>
      <c r="C7" t="s">
        <v>191</v>
      </c>
      <c r="D7" t="s">
        <v>1642</v>
      </c>
      <c r="E7" s="102">
        <v>2.0833333333333332E-2</v>
      </c>
      <c r="F7" s="101">
        <v>13350</v>
      </c>
      <c r="G7" s="102">
        <v>1.7138215248058335E-3</v>
      </c>
      <c r="H7" s="101">
        <v>723.03285226975152</v>
      </c>
      <c r="I7" s="101">
        <v>220.85987191986871</v>
      </c>
      <c r="J7" s="101" t="s">
        <v>1867</v>
      </c>
      <c r="K7" t="str">
        <f>VLOOKUP(Historic_BCast_BASE[[#This Row],[Broadcast Market]],Continent_Look_Up[],2,FALSE)</f>
        <v>Central &amp; South America</v>
      </c>
      <c r="L7" t="str">
        <f>IF(OR(Historic_BCast_BASE[[#This Row],[Broadcast Continent]]="Digital",Historic_BCast_BASE[[#This Row],[Programme Type]]="Digital"),"Y","N")</f>
        <v>N</v>
      </c>
      <c r="M7" s="4" t="str">
        <f>IF(ISNUMBER(SEARCH("Pan ",Historic_BCast_BASE[[#This Row],[Broadcast Market]]))=TRUE,"Y","N")</f>
        <v>N</v>
      </c>
      <c r="N7" t="str">
        <f>VLOOKUP(CONCATENATE(Historic_BCast_BASE[[#This Row],[Broadcast Market]],Historic_BCast_BASE[[#This Row],[Broadcaster]]),Table1[[CC]:[Pay TV vs. Free-to-Air]],3,FALSE)</f>
        <v>Pay TV</v>
      </c>
      <c r="O7" s="1">
        <f>VLOOKUP(CONCATENATE(Historic_BCast_BASE[[#This Row],[Broadcast Market]],Historic_BCast_BASE[[#This Row],[Broadcaster]]),Table1[[CC]:[Pay TV vs. Free-to-Air]],2,FALSE)</f>
        <v>10977116</v>
      </c>
      <c r="P7" s="57">
        <f>Historic_BCast_BASE[[#This Row],[Rolex EXP]]*86400</f>
        <v>148.07417974322402</v>
      </c>
      <c r="Q7" s="73" t="str">
        <f>IF(Historic_BCast_BASE[[#This Row],[Dashboard Rated?]]="No","N","Y")</f>
        <v>N</v>
      </c>
      <c r="R7" s="80"/>
      <c r="S7" s="80"/>
    </row>
    <row r="8" spans="1:19" x14ac:dyDescent="0.25">
      <c r="A8" s="72" t="s">
        <v>1869</v>
      </c>
      <c r="B8" t="s">
        <v>13</v>
      </c>
      <c r="C8" t="s">
        <v>191</v>
      </c>
      <c r="D8" t="s">
        <v>1643</v>
      </c>
      <c r="E8" s="102">
        <v>4.989583333333333</v>
      </c>
      <c r="F8" s="101">
        <v>1024300</v>
      </c>
      <c r="G8" s="102">
        <v>0.4717461933586653</v>
      </c>
      <c r="H8" s="101">
        <v>639977.53544133052</v>
      </c>
      <c r="I8" s="101">
        <v>186619.7132482935</v>
      </c>
      <c r="J8" s="101" t="s">
        <v>1867</v>
      </c>
      <c r="K8" t="str">
        <f>VLOOKUP(Historic_BCast_BASE[[#This Row],[Broadcast Market]],Continent_Look_Up[],2,FALSE)</f>
        <v>Central &amp; South America</v>
      </c>
      <c r="L8" t="str">
        <f>IF(OR(Historic_BCast_BASE[[#This Row],[Broadcast Continent]]="Digital",Historic_BCast_BASE[[#This Row],[Programme Type]]="Digital"),"Y","N")</f>
        <v>N</v>
      </c>
      <c r="M8" s="4" t="str">
        <f>IF(ISNUMBER(SEARCH("Pan ",Historic_BCast_BASE[[#This Row],[Broadcast Market]]))=TRUE,"Y","N")</f>
        <v>N</v>
      </c>
      <c r="N8" t="str">
        <f>VLOOKUP(CONCATENATE(Historic_BCast_BASE[[#This Row],[Broadcast Market]],Historic_BCast_BASE[[#This Row],[Broadcaster]]),Table1[[CC]:[Pay TV vs. Free-to-Air]],3,FALSE)</f>
        <v>Pay TV</v>
      </c>
      <c r="O8" s="1">
        <f>VLOOKUP(CONCATENATE(Historic_BCast_BASE[[#This Row],[Broadcast Market]],Historic_BCast_BASE[[#This Row],[Broadcaster]]),Table1[[CC]:[Pay TV vs. Free-to-Air]],2,FALSE)</f>
        <v>10977116</v>
      </c>
      <c r="P8" s="57">
        <f>Historic_BCast_BASE[[#This Row],[Rolex EXP]]*86400</f>
        <v>40758.871106188679</v>
      </c>
      <c r="Q8" s="73" t="str">
        <f>IF(Historic_BCast_BASE[[#This Row],[Dashboard Rated?]]="No","N","Y")</f>
        <v>N</v>
      </c>
      <c r="R8" s="80"/>
      <c r="S8" s="80"/>
    </row>
    <row r="9" spans="1:19" x14ac:dyDescent="0.25">
      <c r="A9" s="72" t="s">
        <v>1869</v>
      </c>
      <c r="B9" t="s">
        <v>13</v>
      </c>
      <c r="C9" t="s">
        <v>191</v>
      </c>
      <c r="D9" t="s">
        <v>1644</v>
      </c>
      <c r="E9" s="102">
        <v>0.21875</v>
      </c>
      <c r="F9" s="101">
        <v>47438</v>
      </c>
      <c r="G9" s="102">
        <v>1.6942923236774016E-2</v>
      </c>
      <c r="H9" s="101">
        <v>25399.542016823729</v>
      </c>
      <c r="I9" s="101">
        <v>7836.7939485074203</v>
      </c>
      <c r="J9" s="101" t="s">
        <v>1867</v>
      </c>
      <c r="K9" t="str">
        <f>VLOOKUP(Historic_BCast_BASE[[#This Row],[Broadcast Market]],Continent_Look_Up[],2,FALSE)</f>
        <v>Central &amp; South America</v>
      </c>
      <c r="L9" t="str">
        <f>IF(OR(Historic_BCast_BASE[[#This Row],[Broadcast Continent]]="Digital",Historic_BCast_BASE[[#This Row],[Programme Type]]="Digital"),"Y","N")</f>
        <v>N</v>
      </c>
      <c r="M9" s="4" t="str">
        <f>IF(ISNUMBER(SEARCH("Pan ",Historic_BCast_BASE[[#This Row],[Broadcast Market]]))=TRUE,"Y","N")</f>
        <v>N</v>
      </c>
      <c r="N9" t="str">
        <f>VLOOKUP(CONCATENATE(Historic_BCast_BASE[[#This Row],[Broadcast Market]],Historic_BCast_BASE[[#This Row],[Broadcaster]]),Table1[[CC]:[Pay TV vs. Free-to-Air]],3,FALSE)</f>
        <v>Pay TV</v>
      </c>
      <c r="O9" s="1">
        <f>VLOOKUP(CONCATENATE(Historic_BCast_BASE[[#This Row],[Broadcast Market]],Historic_BCast_BASE[[#This Row],[Broadcaster]]),Table1[[CC]:[Pay TV vs. Free-to-Air]],2,FALSE)</f>
        <v>10977116</v>
      </c>
      <c r="P9" s="57">
        <f>Historic_BCast_BASE[[#This Row],[Rolex EXP]]*86400</f>
        <v>1463.868567657275</v>
      </c>
      <c r="Q9" s="73" t="str">
        <f>IF(Historic_BCast_BASE[[#This Row],[Dashboard Rated?]]="No","N","Y")</f>
        <v>N</v>
      </c>
      <c r="R9" s="81"/>
      <c r="S9" s="81"/>
    </row>
    <row r="10" spans="1:19" x14ac:dyDescent="0.25">
      <c r="A10" s="72" t="s">
        <v>1869</v>
      </c>
      <c r="B10" t="s">
        <v>17</v>
      </c>
      <c r="C10" t="s">
        <v>183</v>
      </c>
      <c r="D10" t="s">
        <v>1643</v>
      </c>
      <c r="E10" s="102">
        <v>0.49234953703703704</v>
      </c>
      <c r="F10" s="101">
        <v>60946.785988532793</v>
      </c>
      <c r="G10" s="102">
        <v>3.9892710027580804E-2</v>
      </c>
      <c r="H10" s="101">
        <v>39115.377503567492</v>
      </c>
      <c r="I10" s="101">
        <v>11430.060811335969</v>
      </c>
      <c r="J10" s="101" t="s">
        <v>1868</v>
      </c>
      <c r="K10" t="str">
        <f>VLOOKUP(Historic_BCast_BASE[[#This Row],[Broadcast Market]],Continent_Look_Up[],2,FALSE)</f>
        <v>Asia Pacific</v>
      </c>
      <c r="L10" t="str">
        <f>IF(OR(Historic_BCast_BASE[[#This Row],[Broadcast Continent]]="Digital",Historic_BCast_BASE[[#This Row],[Programme Type]]="Digital"),"Y","N")</f>
        <v>N</v>
      </c>
      <c r="M10" s="4" t="str">
        <f>IF(ISNUMBER(SEARCH("Pan ",Historic_BCast_BASE[[#This Row],[Broadcast Market]]))=TRUE,"Y","N")</f>
        <v>N</v>
      </c>
      <c r="N10" t="str">
        <f>VLOOKUP(CONCATENATE(Historic_BCast_BASE[[#This Row],[Broadcast Market]],Historic_BCast_BASE[[#This Row],[Broadcaster]]),Table1[[CC]:[Pay TV vs. Free-to-Air]],3,FALSE)</f>
        <v>Pay TV</v>
      </c>
      <c r="O10" s="1">
        <f>VLOOKUP(CONCATENATE(Historic_BCast_BASE[[#This Row],[Broadcast Market]],Historic_BCast_BASE[[#This Row],[Broadcaster]]),Table1[[CC]:[Pay TV vs. Free-to-Air]],2,FALSE)</f>
        <v>1753245</v>
      </c>
      <c r="P10" s="51">
        <f>Historic_BCast_BASE[[#This Row],[Rolex EXP]]*86400</f>
        <v>3446.7301463829813</v>
      </c>
      <c r="Q10" s="73" t="str">
        <f>IF(Historic_BCast_BASE[[#This Row],[Dashboard Rated?]]="No","N","Y")</f>
        <v>Y</v>
      </c>
      <c r="R10" s="81"/>
      <c r="S10" s="81"/>
    </row>
    <row r="11" spans="1:19" x14ac:dyDescent="0.25">
      <c r="A11" s="72" t="s">
        <v>1869</v>
      </c>
      <c r="B11" t="s">
        <v>17</v>
      </c>
      <c r="C11" t="s">
        <v>185</v>
      </c>
      <c r="D11" t="s">
        <v>1642</v>
      </c>
      <c r="E11" s="102">
        <v>0.29166666666666669</v>
      </c>
      <c r="F11" s="101">
        <v>201845.75235486898</v>
      </c>
      <c r="G11" s="102">
        <v>2.7866154103225335E-2</v>
      </c>
      <c r="H11" s="101">
        <v>23742.223655584286</v>
      </c>
      <c r="I11" s="101">
        <v>6820.6956519626629</v>
      </c>
      <c r="J11" s="101" t="s">
        <v>1867</v>
      </c>
      <c r="K11" t="str">
        <f>VLOOKUP(Historic_BCast_BASE[[#This Row],[Broadcast Market]],Continent_Look_Up[],2,FALSE)</f>
        <v>Asia Pacific</v>
      </c>
      <c r="L11" t="str">
        <f>IF(OR(Historic_BCast_BASE[[#This Row],[Broadcast Continent]]="Digital",Historic_BCast_BASE[[#This Row],[Programme Type]]="Digital"),"Y","N")</f>
        <v>N</v>
      </c>
      <c r="M11" s="4" t="str">
        <f>IF(ISNUMBER(SEARCH("Pan ",Historic_BCast_BASE[[#This Row],[Broadcast Market]]))=TRUE,"Y","N")</f>
        <v>N</v>
      </c>
      <c r="N11" t="str">
        <f>VLOOKUP(CONCATENATE(Historic_BCast_BASE[[#This Row],[Broadcast Market]],Historic_BCast_BASE[[#This Row],[Broadcaster]]),Table1[[CC]:[Pay TV vs. Free-to-Air]],3,FALSE)</f>
        <v>Pay TV</v>
      </c>
      <c r="O11" s="1">
        <f>VLOOKUP(CONCATENATE(Historic_BCast_BASE[[#This Row],[Broadcast Market]],Historic_BCast_BASE[[#This Row],[Broadcaster]]),Table1[[CC]:[Pay TV vs. Free-to-Air]],2,FALSE)</f>
        <v>1753245</v>
      </c>
      <c r="P11" s="57">
        <f>Historic_BCast_BASE[[#This Row],[Rolex EXP]]*86400</f>
        <v>2407.6357145186689</v>
      </c>
      <c r="Q11" s="73" t="str">
        <f>IF(Historic_BCast_BASE[[#This Row],[Dashboard Rated?]]="No","N","Y")</f>
        <v>N</v>
      </c>
      <c r="R11" s="81"/>
      <c r="S11" s="81"/>
    </row>
    <row r="12" spans="1:19" x14ac:dyDescent="0.25">
      <c r="A12" s="72" t="s">
        <v>1869</v>
      </c>
      <c r="B12" t="s">
        <v>17</v>
      </c>
      <c r="C12" t="s">
        <v>185</v>
      </c>
      <c r="D12" t="s">
        <v>1643</v>
      </c>
      <c r="E12" s="102">
        <v>4.645833333333333</v>
      </c>
      <c r="F12" s="101">
        <v>409491.22779512737</v>
      </c>
      <c r="G12" s="102">
        <v>0.44386802607280357</v>
      </c>
      <c r="H12" s="101">
        <v>429646.45646896062</v>
      </c>
      <c r="I12" s="101">
        <v>123429.37039217641</v>
      </c>
      <c r="J12" s="101" t="s">
        <v>1867</v>
      </c>
      <c r="K12" t="str">
        <f>VLOOKUP(Historic_BCast_BASE[[#This Row],[Broadcast Market]],Continent_Look_Up[],2,FALSE)</f>
        <v>Asia Pacific</v>
      </c>
      <c r="L12" t="str">
        <f>IF(OR(Historic_BCast_BASE[[#This Row],[Broadcast Continent]]="Digital",Historic_BCast_BASE[[#This Row],[Programme Type]]="Digital"),"Y","N")</f>
        <v>N</v>
      </c>
      <c r="M12" s="4" t="str">
        <f>IF(ISNUMBER(SEARCH("Pan ",Historic_BCast_BASE[[#This Row],[Broadcast Market]]))=TRUE,"Y","N")</f>
        <v>N</v>
      </c>
      <c r="N12" t="str">
        <f>VLOOKUP(CONCATENATE(Historic_BCast_BASE[[#This Row],[Broadcast Market]],Historic_BCast_BASE[[#This Row],[Broadcaster]]),Table1[[CC]:[Pay TV vs. Free-to-Air]],3,FALSE)</f>
        <v>Pay TV</v>
      </c>
      <c r="O12" s="1">
        <f>VLOOKUP(CONCATENATE(Historic_BCast_BASE[[#This Row],[Broadcast Market]],Historic_BCast_BASE[[#This Row],[Broadcaster]]),Table1[[CC]:[Pay TV vs. Free-to-Air]],2,FALSE)</f>
        <v>1753245</v>
      </c>
      <c r="P12" s="51">
        <f>Historic_BCast_BASE[[#This Row],[Rolex EXP]]*86400</f>
        <v>38350.197452690227</v>
      </c>
      <c r="Q12" s="73" t="str">
        <f>IF(Historic_BCast_BASE[[#This Row],[Dashboard Rated?]]="No","N","Y")</f>
        <v>N</v>
      </c>
      <c r="R12" s="81"/>
      <c r="S12" s="81"/>
    </row>
    <row r="13" spans="1:19" x14ac:dyDescent="0.25">
      <c r="A13" s="72" t="s">
        <v>1869</v>
      </c>
      <c r="B13" t="s">
        <v>17</v>
      </c>
      <c r="C13" t="s">
        <v>185</v>
      </c>
      <c r="D13" t="s">
        <v>1644</v>
      </c>
      <c r="E13" s="102">
        <v>4.145833333333333</v>
      </c>
      <c r="F13" s="101">
        <v>519237.12107095367</v>
      </c>
      <c r="G13" s="102">
        <v>0.4008145323587271</v>
      </c>
      <c r="H13" s="101">
        <v>320530.0780350641</v>
      </c>
      <c r="I13" s="101">
        <v>91306.137444203021</v>
      </c>
      <c r="J13" s="101" t="s">
        <v>1867</v>
      </c>
      <c r="K13" t="str">
        <f>VLOOKUP(Historic_BCast_BASE[[#This Row],[Broadcast Market]],Continent_Look_Up[],2,FALSE)</f>
        <v>Asia Pacific</v>
      </c>
      <c r="L13" t="str">
        <f>IF(OR(Historic_BCast_BASE[[#This Row],[Broadcast Continent]]="Digital",Historic_BCast_BASE[[#This Row],[Programme Type]]="Digital"),"Y","N")</f>
        <v>N</v>
      </c>
      <c r="M13" s="4" t="str">
        <f>IF(ISNUMBER(SEARCH("Pan ",Historic_BCast_BASE[[#This Row],[Broadcast Market]]))=TRUE,"Y","N")</f>
        <v>N</v>
      </c>
      <c r="N13" t="str">
        <f>VLOOKUP(CONCATENATE(Historic_BCast_BASE[[#This Row],[Broadcast Market]],Historic_BCast_BASE[[#This Row],[Broadcaster]]),Table1[[CC]:[Pay TV vs. Free-to-Air]],3,FALSE)</f>
        <v>Pay TV</v>
      </c>
      <c r="O13" s="1">
        <f>VLOOKUP(CONCATENATE(Historic_BCast_BASE[[#This Row],[Broadcast Market]],Historic_BCast_BASE[[#This Row],[Broadcaster]]),Table1[[CC]:[Pay TV vs. Free-to-Air]],2,FALSE)</f>
        <v>1753245</v>
      </c>
      <c r="P13" s="57">
        <f>Historic_BCast_BASE[[#This Row],[Rolex EXP]]*86400</f>
        <v>34630.375595794023</v>
      </c>
      <c r="Q13" s="73" t="str">
        <f>IF(Historic_BCast_BASE[[#This Row],[Dashboard Rated?]]="No","N","Y")</f>
        <v>N</v>
      </c>
      <c r="R13" s="81"/>
      <c r="S13" s="81"/>
    </row>
    <row r="14" spans="1:19" x14ac:dyDescent="0.25">
      <c r="A14" s="72" t="s">
        <v>1869</v>
      </c>
      <c r="B14" t="s">
        <v>17</v>
      </c>
      <c r="C14" t="s">
        <v>251</v>
      </c>
      <c r="D14" t="s">
        <v>1643</v>
      </c>
      <c r="E14" s="102">
        <v>1.7669560185185185</v>
      </c>
      <c r="F14" s="101">
        <v>378953.71403706371</v>
      </c>
      <c r="G14" s="102">
        <v>0.15325624304110758</v>
      </c>
      <c r="H14" s="101">
        <v>409720.35299985745</v>
      </c>
      <c r="I14" s="101">
        <v>126492.76990664513</v>
      </c>
      <c r="J14" s="101" t="s">
        <v>1868</v>
      </c>
      <c r="K14" t="str">
        <f>VLOOKUP(Historic_BCast_BASE[[#This Row],[Broadcast Market]],Continent_Look_Up[],2,FALSE)</f>
        <v>Asia Pacific</v>
      </c>
      <c r="L14" t="str">
        <f>IF(OR(Historic_BCast_BASE[[#This Row],[Broadcast Continent]]="Digital",Historic_BCast_BASE[[#This Row],[Programme Type]]="Digital"),"Y","N")</f>
        <v>N</v>
      </c>
      <c r="M14" s="4" t="str">
        <f>IF(ISNUMBER(SEARCH("Pan ",Historic_BCast_BASE[[#This Row],[Broadcast Market]]))=TRUE,"Y","N")</f>
        <v>N</v>
      </c>
      <c r="N14" t="str">
        <f>VLOOKUP(CONCATENATE(Historic_BCast_BASE[[#This Row],[Broadcast Market]],Historic_BCast_BASE[[#This Row],[Broadcaster]]),Table1[[CC]:[Pay TV vs. Free-to-Air]],3,FALSE)</f>
        <v>Free-to-Air</v>
      </c>
      <c r="O14" s="1">
        <f>VLOOKUP(CONCATENATE(Historic_BCast_BASE[[#This Row],[Broadcast Market]],Historic_BCast_BASE[[#This Row],[Broadcaster]]),Table1[[CC]:[Pay TV vs. Free-to-Air]],2,FALSE)</f>
        <v>7430500</v>
      </c>
      <c r="P14" s="57">
        <f>Historic_BCast_BASE[[#This Row],[Rolex EXP]]*86400</f>
        <v>13241.339398751694</v>
      </c>
      <c r="Q14" s="73" t="str">
        <f>IF(Historic_BCast_BASE[[#This Row],[Dashboard Rated?]]="No","N","Y")</f>
        <v>Y</v>
      </c>
      <c r="R14" s="81"/>
      <c r="S14" s="81"/>
    </row>
    <row r="15" spans="1:19" x14ac:dyDescent="0.25">
      <c r="A15" s="72" t="s">
        <v>1869</v>
      </c>
      <c r="B15" t="s">
        <v>23</v>
      </c>
      <c r="C15" t="s">
        <v>221</v>
      </c>
      <c r="D15" t="s">
        <v>1642</v>
      </c>
      <c r="E15" s="102">
        <v>1.1006250000000002</v>
      </c>
      <c r="F15" s="101">
        <v>256800</v>
      </c>
      <c r="G15" s="102">
        <v>0.10044041707231739</v>
      </c>
      <c r="H15" s="101">
        <v>13606.39163628367</v>
      </c>
      <c r="I15" s="101">
        <v>4156.6356223895664</v>
      </c>
      <c r="J15" s="101" t="s">
        <v>1868</v>
      </c>
      <c r="K15" t="str">
        <f>VLOOKUP(Historic_BCast_BASE[[#This Row],[Broadcast Market]],Continent_Look_Up[],2,FALSE)</f>
        <v>Europe</v>
      </c>
      <c r="L15" t="str">
        <f>IF(OR(Historic_BCast_BASE[[#This Row],[Broadcast Continent]]="Digital",Historic_BCast_BASE[[#This Row],[Programme Type]]="Digital"),"Y","N")</f>
        <v>N</v>
      </c>
      <c r="M15" s="4" t="str">
        <f>IF(ISNUMBER(SEARCH("Pan ",Historic_BCast_BASE[[#This Row],[Broadcast Market]]))=TRUE,"Y","N")</f>
        <v>N</v>
      </c>
      <c r="N15" t="str">
        <f>VLOOKUP(CONCATENATE(Historic_BCast_BASE[[#This Row],[Broadcast Market]],Historic_BCast_BASE[[#This Row],[Broadcaster]]),Table1[[CC]:[Pay TV vs. Free-to-Air]],3,FALSE)</f>
        <v>Pay TV</v>
      </c>
      <c r="O15" s="1">
        <f>VLOOKUP(CONCATENATE(Historic_BCast_BASE[[#This Row],[Broadcast Market]],Historic_BCast_BASE[[#This Row],[Broadcaster]]),Table1[[CC]:[Pay TV vs. Free-to-Air]],2,FALSE)</f>
        <v>3045000</v>
      </c>
      <c r="P15" s="51">
        <f>Historic_BCast_BASE[[#This Row],[Rolex EXP]]*86400</f>
        <v>8678.052035048222</v>
      </c>
      <c r="Q15" s="73" t="str">
        <f>IF(Historic_BCast_BASE[[#This Row],[Dashboard Rated?]]="No","N","Y")</f>
        <v>Y</v>
      </c>
      <c r="R15" s="81"/>
      <c r="S15" s="81"/>
    </row>
    <row r="16" spans="1:19" x14ac:dyDescent="0.25">
      <c r="A16" s="72" t="s">
        <v>1869</v>
      </c>
      <c r="B16" t="s">
        <v>23</v>
      </c>
      <c r="C16" t="s">
        <v>221</v>
      </c>
      <c r="D16" t="s">
        <v>1643</v>
      </c>
      <c r="E16" s="102">
        <v>5.1370717592592596</v>
      </c>
      <c r="F16" s="101">
        <v>1084083</v>
      </c>
      <c r="G16" s="102">
        <v>0.4897850245459246</v>
      </c>
      <c r="H16" s="101">
        <v>185811.23396353805</v>
      </c>
      <c r="I16" s="101">
        <v>56412.683257690835</v>
      </c>
      <c r="J16" s="101" t="s">
        <v>1868</v>
      </c>
      <c r="K16" t="str">
        <f>VLOOKUP(Historic_BCast_BASE[[#This Row],[Broadcast Market]],Continent_Look_Up[],2,FALSE)</f>
        <v>Europe</v>
      </c>
      <c r="L16" t="str">
        <f>IF(OR(Historic_BCast_BASE[[#This Row],[Broadcast Continent]]="Digital",Historic_BCast_BASE[[#This Row],[Programme Type]]="Digital"),"Y","N")</f>
        <v>N</v>
      </c>
      <c r="M16" s="4" t="str">
        <f>IF(ISNUMBER(SEARCH("Pan ",Historic_BCast_BASE[[#This Row],[Broadcast Market]]))=TRUE,"Y","N")</f>
        <v>N</v>
      </c>
      <c r="N16" t="str">
        <f>VLOOKUP(CONCATENATE(Historic_BCast_BASE[[#This Row],[Broadcast Market]],Historic_BCast_BASE[[#This Row],[Broadcaster]]),Table1[[CC]:[Pay TV vs. Free-to-Air]],3,FALSE)</f>
        <v>Pay TV</v>
      </c>
      <c r="O16" s="1">
        <f>VLOOKUP(CONCATENATE(Historic_BCast_BASE[[#This Row],[Broadcast Market]],Historic_BCast_BASE[[#This Row],[Broadcaster]]),Table1[[CC]:[Pay TV vs. Free-to-Air]],2,FALSE)</f>
        <v>3045000</v>
      </c>
      <c r="P16" s="57">
        <f>Historic_BCast_BASE[[#This Row],[Rolex EXP]]*86400</f>
        <v>42317.426120767886</v>
      </c>
      <c r="Q16" s="73" t="str">
        <f>IF(Historic_BCast_BASE[[#This Row],[Dashboard Rated?]]="No","N","Y")</f>
        <v>Y</v>
      </c>
      <c r="R16" s="81"/>
      <c r="S16" s="81"/>
    </row>
    <row r="17" spans="1:19" x14ac:dyDescent="0.25">
      <c r="A17" s="72" t="s">
        <v>1869</v>
      </c>
      <c r="B17" t="s">
        <v>23</v>
      </c>
      <c r="C17" t="s">
        <v>221</v>
      </c>
      <c r="D17" t="s">
        <v>1644</v>
      </c>
      <c r="E17" s="102">
        <v>1.0962152777777778</v>
      </c>
      <c r="F17" s="101">
        <v>120102</v>
      </c>
      <c r="G17" s="102">
        <v>7.8664039184154502E-2</v>
      </c>
      <c r="H17" s="101">
        <v>13586.760723397536</v>
      </c>
      <c r="I17" s="101">
        <v>4132.086689967995</v>
      </c>
      <c r="J17" s="101" t="s">
        <v>1868</v>
      </c>
      <c r="K17" t="str">
        <f>VLOOKUP(Historic_BCast_BASE[[#This Row],[Broadcast Market]],Continent_Look_Up[],2,FALSE)</f>
        <v>Europe</v>
      </c>
      <c r="L17" t="str">
        <f>IF(OR(Historic_BCast_BASE[[#This Row],[Broadcast Continent]]="Digital",Historic_BCast_BASE[[#This Row],[Programme Type]]="Digital"),"Y","N")</f>
        <v>N</v>
      </c>
      <c r="M17" s="4" t="str">
        <f>IF(ISNUMBER(SEARCH("Pan ",Historic_BCast_BASE[[#This Row],[Broadcast Market]]))=TRUE,"Y","N")</f>
        <v>N</v>
      </c>
      <c r="N17" t="str">
        <f>VLOOKUP(CONCATENATE(Historic_BCast_BASE[[#This Row],[Broadcast Market]],Historic_BCast_BASE[[#This Row],[Broadcaster]]),Table1[[CC]:[Pay TV vs. Free-to-Air]],3,FALSE)</f>
        <v>Pay TV</v>
      </c>
      <c r="O17" s="1">
        <f>VLOOKUP(CONCATENATE(Historic_BCast_BASE[[#This Row],[Broadcast Market]],Historic_BCast_BASE[[#This Row],[Broadcaster]]),Table1[[CC]:[Pay TV vs. Free-to-Air]],2,FALSE)</f>
        <v>3045000</v>
      </c>
      <c r="P17" s="57">
        <f>Historic_BCast_BASE[[#This Row],[Rolex EXP]]*86400</f>
        <v>6796.5729855109494</v>
      </c>
      <c r="Q17" s="73" t="str">
        <f>IF(Historic_BCast_BASE[[#This Row],[Dashboard Rated?]]="No","N","Y")</f>
        <v>Y</v>
      </c>
      <c r="R17" s="81"/>
      <c r="S17" s="81"/>
    </row>
    <row r="18" spans="1:19" x14ac:dyDescent="0.25">
      <c r="A18" s="72" t="s">
        <v>1869</v>
      </c>
      <c r="B18" t="s">
        <v>23</v>
      </c>
      <c r="C18" t="s">
        <v>269</v>
      </c>
      <c r="D18" t="s">
        <v>1642</v>
      </c>
      <c r="E18" s="102">
        <v>1.1555555555555557</v>
      </c>
      <c r="F18" s="101">
        <v>17149</v>
      </c>
      <c r="G18" s="102">
        <v>0.11839960800836978</v>
      </c>
      <c r="H18" s="101">
        <v>1088.6199813967355</v>
      </c>
      <c r="I18" s="101">
        <v>335.24624275154719</v>
      </c>
      <c r="J18" s="101" t="s">
        <v>1867</v>
      </c>
      <c r="K18" t="str">
        <f>VLOOKUP(Historic_BCast_BASE[[#This Row],[Broadcast Market]],Continent_Look_Up[],2,FALSE)</f>
        <v>Europe</v>
      </c>
      <c r="L18" t="str">
        <f>IF(OR(Historic_BCast_BASE[[#This Row],[Broadcast Continent]]="Digital",Historic_BCast_BASE[[#This Row],[Programme Type]]="Digital"),"Y","N")</f>
        <v>N</v>
      </c>
      <c r="M18" s="4" t="str">
        <f>IF(ISNUMBER(SEARCH("Pan ",Historic_BCast_BASE[[#This Row],[Broadcast Market]]))=TRUE,"Y","N")</f>
        <v>N</v>
      </c>
      <c r="N18" t="str">
        <f>VLOOKUP(CONCATENATE(Historic_BCast_BASE[[#This Row],[Broadcast Market]],Historic_BCast_BASE[[#This Row],[Broadcaster]]),Table1[[CC]:[Pay TV vs. Free-to-Air]],3,FALSE)</f>
        <v>Pay TV</v>
      </c>
      <c r="O18" s="1">
        <f>VLOOKUP(CONCATENATE(Historic_BCast_BASE[[#This Row],[Broadcast Market]],Historic_BCast_BASE[[#This Row],[Broadcaster]]),Table1[[CC]:[Pay TV vs. Free-to-Air]],2,FALSE)</f>
        <v>52785.504510029394</v>
      </c>
      <c r="P18" s="57">
        <f>Historic_BCast_BASE[[#This Row],[Rolex EXP]]*86400</f>
        <v>10229.726131923149</v>
      </c>
      <c r="Q18" s="73" t="str">
        <f>IF(Historic_BCast_BASE[[#This Row],[Dashboard Rated?]]="No","N","Y")</f>
        <v>N</v>
      </c>
      <c r="R18" s="81"/>
      <c r="S18" s="81"/>
    </row>
    <row r="19" spans="1:19" x14ac:dyDescent="0.25">
      <c r="A19" s="72" t="s">
        <v>1869</v>
      </c>
      <c r="B19" t="s">
        <v>23</v>
      </c>
      <c r="C19" t="s">
        <v>269</v>
      </c>
      <c r="D19" t="s">
        <v>1643</v>
      </c>
      <c r="E19" s="102">
        <v>2.9608333333333334</v>
      </c>
      <c r="F19" s="101">
        <v>57386</v>
      </c>
      <c r="G19" s="102">
        <v>0.34654565009975308</v>
      </c>
      <c r="H19" s="101">
        <v>9254.1523003000675</v>
      </c>
      <c r="I19" s="101">
        <v>2678.6243840589946</v>
      </c>
      <c r="J19" s="101" t="s">
        <v>1867</v>
      </c>
      <c r="K19" t="str">
        <f>VLOOKUP(Historic_BCast_BASE[[#This Row],[Broadcast Market]],Continent_Look_Up[],2,FALSE)</f>
        <v>Europe</v>
      </c>
      <c r="L19" t="str">
        <f>IF(OR(Historic_BCast_BASE[[#This Row],[Broadcast Continent]]="Digital",Historic_BCast_BASE[[#This Row],[Programme Type]]="Digital"),"Y","N")</f>
        <v>N</v>
      </c>
      <c r="M19" s="4" t="str">
        <f>IF(ISNUMBER(SEARCH("Pan ",Historic_BCast_BASE[[#This Row],[Broadcast Market]]))=TRUE,"Y","N")</f>
        <v>N</v>
      </c>
      <c r="N19" t="str">
        <f>VLOOKUP(CONCATENATE(Historic_BCast_BASE[[#This Row],[Broadcast Market]],Historic_BCast_BASE[[#This Row],[Broadcaster]]),Table1[[CC]:[Pay TV vs. Free-to-Air]],3,FALSE)</f>
        <v>Pay TV</v>
      </c>
      <c r="O19" s="1">
        <f>VLOOKUP(CONCATENATE(Historic_BCast_BASE[[#This Row],[Broadcast Market]],Historic_BCast_BASE[[#This Row],[Broadcaster]]),Table1[[CC]:[Pay TV vs. Free-to-Air]],2,FALSE)</f>
        <v>52785.504510029394</v>
      </c>
      <c r="P19" s="57">
        <f>Historic_BCast_BASE[[#This Row],[Rolex EXP]]*86400</f>
        <v>29941.544168618664</v>
      </c>
      <c r="Q19" s="73" t="str">
        <f>IF(Historic_BCast_BASE[[#This Row],[Dashboard Rated?]]="No","N","Y")</f>
        <v>N</v>
      </c>
      <c r="R19" s="81"/>
      <c r="S19" s="81"/>
    </row>
    <row r="20" spans="1:19" x14ac:dyDescent="0.25">
      <c r="A20" s="72" t="s">
        <v>1869</v>
      </c>
      <c r="B20" t="s">
        <v>23</v>
      </c>
      <c r="C20" t="s">
        <v>269</v>
      </c>
      <c r="D20" t="s">
        <v>1644</v>
      </c>
      <c r="E20" s="102">
        <v>2.5350925925925925</v>
      </c>
      <c r="F20" s="101">
        <v>21001</v>
      </c>
      <c r="G20" s="102">
        <v>0.23658934051131941</v>
      </c>
      <c r="H20" s="101">
        <v>2466.8155894715387</v>
      </c>
      <c r="I20" s="101">
        <v>727.8760073714501</v>
      </c>
      <c r="J20" s="101" t="s">
        <v>1867</v>
      </c>
      <c r="K20" t="str">
        <f>VLOOKUP(Historic_BCast_BASE[[#This Row],[Broadcast Market]],Continent_Look_Up[],2,FALSE)</f>
        <v>Europe</v>
      </c>
      <c r="L20" t="str">
        <f>IF(OR(Historic_BCast_BASE[[#This Row],[Broadcast Continent]]="Digital",Historic_BCast_BASE[[#This Row],[Programme Type]]="Digital"),"Y","N")</f>
        <v>N</v>
      </c>
      <c r="M20" s="4" t="str">
        <f>IF(ISNUMBER(SEARCH("Pan ",Historic_BCast_BASE[[#This Row],[Broadcast Market]]))=TRUE,"Y","N")</f>
        <v>N</v>
      </c>
      <c r="N20" t="str">
        <f>VLOOKUP(CONCATENATE(Historic_BCast_BASE[[#This Row],[Broadcast Market]],Historic_BCast_BASE[[#This Row],[Broadcaster]]),Table1[[CC]:[Pay TV vs. Free-to-Air]],3,FALSE)</f>
        <v>Pay TV</v>
      </c>
      <c r="O20" s="1">
        <f>VLOOKUP(CONCATENATE(Historic_BCast_BASE[[#This Row],[Broadcast Market]],Historic_BCast_BASE[[#This Row],[Broadcaster]]),Table1[[CC]:[Pay TV vs. Free-to-Air]],2,FALSE)</f>
        <v>52785.504510029394</v>
      </c>
      <c r="P20" s="57">
        <f>Historic_BCast_BASE[[#This Row],[Rolex EXP]]*86400</f>
        <v>20441.319020177998</v>
      </c>
      <c r="Q20" s="73" t="str">
        <f>IF(Historic_BCast_BASE[[#This Row],[Dashboard Rated?]]="No","N","Y")</f>
        <v>N</v>
      </c>
      <c r="R20" s="81"/>
      <c r="S20" s="81"/>
    </row>
    <row r="21" spans="1:19" x14ac:dyDescent="0.25">
      <c r="A21" s="72" t="s">
        <v>1869</v>
      </c>
      <c r="B21" t="s">
        <v>23</v>
      </c>
      <c r="C21" t="s">
        <v>277</v>
      </c>
      <c r="D21" t="s">
        <v>1642</v>
      </c>
      <c r="E21" s="102">
        <v>2.6342592592592588E-2</v>
      </c>
      <c r="F21" s="101">
        <v>9000</v>
      </c>
      <c r="G21" s="102">
        <v>2.1670321058100427E-3</v>
      </c>
      <c r="H21" s="101">
        <v>430.70572869923041</v>
      </c>
      <c r="I21" s="101">
        <v>131.5647162878513</v>
      </c>
      <c r="J21" s="101" t="s">
        <v>1868</v>
      </c>
      <c r="K21" t="str">
        <f>VLOOKUP(Historic_BCast_BASE[[#This Row],[Broadcast Market]],Continent_Look_Up[],2,FALSE)</f>
        <v>Europe</v>
      </c>
      <c r="L21" t="str">
        <f>IF(OR(Historic_BCast_BASE[[#This Row],[Broadcast Continent]]="Digital",Historic_BCast_BASE[[#This Row],[Programme Type]]="Digital"),"Y","N")</f>
        <v>N</v>
      </c>
      <c r="M21" s="4" t="str">
        <f>IF(ISNUMBER(SEARCH("Pan ",Historic_BCast_BASE[[#This Row],[Broadcast Market]]))=TRUE,"Y","N")</f>
        <v>N</v>
      </c>
      <c r="N21" t="str">
        <f>VLOOKUP(CONCATENATE(Historic_BCast_BASE[[#This Row],[Broadcast Market]],Historic_BCast_BASE[[#This Row],[Broadcaster]]),Table1[[CC]:[Pay TV vs. Free-to-Air]],3,FALSE)</f>
        <v>Free-to-Air</v>
      </c>
      <c r="O21" s="1">
        <f>VLOOKUP(CONCATENATE(Historic_BCast_BASE[[#This Row],[Broadcast Market]],Historic_BCast_BASE[[#This Row],[Broadcaster]]),Table1[[CC]:[Pay TV vs. Free-to-Air]],2,FALSE)</f>
        <v>2065665</v>
      </c>
      <c r="P21" s="57">
        <f>Historic_BCast_BASE[[#This Row],[Rolex EXP]]*86400</f>
        <v>187.2315739419877</v>
      </c>
      <c r="Q21" s="73" t="str">
        <f>IF(Historic_BCast_BASE[[#This Row],[Dashboard Rated?]]="No","N","Y")</f>
        <v>Y</v>
      </c>
      <c r="R21" s="81"/>
      <c r="S21" s="81"/>
    </row>
    <row r="22" spans="1:19" x14ac:dyDescent="0.25">
      <c r="A22" s="72" t="s">
        <v>1869</v>
      </c>
      <c r="B22" t="s">
        <v>23</v>
      </c>
      <c r="C22" t="s">
        <v>282</v>
      </c>
      <c r="D22" t="s">
        <v>1642</v>
      </c>
      <c r="E22" s="102">
        <v>0.51189814814814816</v>
      </c>
      <c r="F22" s="101">
        <v>1937000</v>
      </c>
      <c r="G22" s="102">
        <v>4.4309414565305759E-2</v>
      </c>
      <c r="H22" s="101">
        <v>60295.4835912118</v>
      </c>
      <c r="I22" s="101">
        <v>17605.813284119766</v>
      </c>
      <c r="J22" s="101" t="s">
        <v>1868</v>
      </c>
      <c r="K22" t="str">
        <f>VLOOKUP(Historic_BCast_BASE[[#This Row],[Broadcast Market]],Continent_Look_Up[],2,FALSE)</f>
        <v>Europe</v>
      </c>
      <c r="L22" t="str">
        <f>IF(OR(Historic_BCast_BASE[[#This Row],[Broadcast Continent]]="Digital",Historic_BCast_BASE[[#This Row],[Programme Type]]="Digital"),"Y","N")</f>
        <v>N</v>
      </c>
      <c r="M22" s="4" t="str">
        <f>IF(ISNUMBER(SEARCH("Pan ",Historic_BCast_BASE[[#This Row],[Broadcast Market]]))=TRUE,"Y","N")</f>
        <v>N</v>
      </c>
      <c r="N22" t="str">
        <f>VLOOKUP(CONCATENATE(Historic_BCast_BASE[[#This Row],[Broadcast Market]],Historic_BCast_BASE[[#This Row],[Broadcaster]]),Table1[[CC]:[Pay TV vs. Free-to-Air]],3,FALSE)</f>
        <v>Free-to-Air</v>
      </c>
      <c r="O22" s="1">
        <f>VLOOKUP(CONCATENATE(Historic_BCast_BASE[[#This Row],[Broadcast Market]],Historic_BCast_BASE[[#This Row],[Broadcaster]]),Table1[[CC]:[Pay TV vs. Free-to-Air]],2,FALSE)</f>
        <v>3180534</v>
      </c>
      <c r="P22" s="51">
        <f>Historic_BCast_BASE[[#This Row],[Rolex EXP]]*86400</f>
        <v>3828.3334184424175</v>
      </c>
      <c r="Q22" s="73" t="str">
        <f>IF(Historic_BCast_BASE[[#This Row],[Dashboard Rated?]]="No","N","Y")</f>
        <v>Y</v>
      </c>
      <c r="R22" s="81"/>
      <c r="S22" s="81"/>
    </row>
    <row r="23" spans="1:19" x14ac:dyDescent="0.25">
      <c r="A23" s="72" t="s">
        <v>1869</v>
      </c>
      <c r="B23" t="s">
        <v>23</v>
      </c>
      <c r="C23" t="s">
        <v>282</v>
      </c>
      <c r="D23" t="s">
        <v>1643</v>
      </c>
      <c r="E23" s="102">
        <v>0.8852430555555556</v>
      </c>
      <c r="F23" s="101">
        <v>1214800</v>
      </c>
      <c r="G23" s="102">
        <v>6.6465147654323167E-2</v>
      </c>
      <c r="H23" s="101">
        <v>222032.01714305725</v>
      </c>
      <c r="I23" s="101">
        <v>67527.38884552379</v>
      </c>
      <c r="J23" s="101" t="s">
        <v>1868</v>
      </c>
      <c r="K23" t="str">
        <f>VLOOKUP(Historic_BCast_BASE[[#This Row],[Broadcast Market]],Continent_Look_Up[],2,FALSE)</f>
        <v>Europe</v>
      </c>
      <c r="L23" t="str">
        <f>IF(OR(Historic_BCast_BASE[[#This Row],[Broadcast Continent]]="Digital",Historic_BCast_BASE[[#This Row],[Programme Type]]="Digital"),"Y","N")</f>
        <v>N</v>
      </c>
      <c r="M23" s="4" t="str">
        <f>IF(ISNUMBER(SEARCH("Pan ",Historic_BCast_BASE[[#This Row],[Broadcast Market]]))=TRUE,"Y","N")</f>
        <v>N</v>
      </c>
      <c r="N23" t="str">
        <f>VLOOKUP(CONCATENATE(Historic_BCast_BASE[[#This Row],[Broadcast Market]],Historic_BCast_BASE[[#This Row],[Broadcaster]]),Table1[[CC]:[Pay TV vs. Free-to-Air]],3,FALSE)</f>
        <v>Free-to-Air</v>
      </c>
      <c r="O23" s="1">
        <f>VLOOKUP(CONCATENATE(Historic_BCast_BASE[[#This Row],[Broadcast Market]],Historic_BCast_BASE[[#This Row],[Broadcaster]]),Table1[[CC]:[Pay TV vs. Free-to-Air]],2,FALSE)</f>
        <v>3180534</v>
      </c>
      <c r="P23" s="51">
        <f>Historic_BCast_BASE[[#This Row],[Rolex EXP]]*86400</f>
        <v>5742.5887573335212</v>
      </c>
      <c r="Q23" s="73" t="str">
        <f>IF(Historic_BCast_BASE[[#This Row],[Dashboard Rated?]]="No","N","Y")</f>
        <v>Y</v>
      </c>
      <c r="R23" s="81"/>
      <c r="S23" s="81"/>
    </row>
    <row r="24" spans="1:19" x14ac:dyDescent="0.25">
      <c r="A24" s="72" t="s">
        <v>1869</v>
      </c>
      <c r="B24" t="s">
        <v>29</v>
      </c>
      <c r="C24" t="s">
        <v>334</v>
      </c>
      <c r="D24" t="s">
        <v>1643</v>
      </c>
      <c r="E24" s="102">
        <v>6.5891203703703702E-2</v>
      </c>
      <c r="F24" s="101">
        <v>59236</v>
      </c>
      <c r="G24" s="102">
        <v>4.2684209909211093E-3</v>
      </c>
      <c r="H24" s="101">
        <v>16529.795465736959</v>
      </c>
      <c r="I24" s="101">
        <v>4499.890259914333</v>
      </c>
      <c r="J24" s="101" t="s">
        <v>1868</v>
      </c>
      <c r="K24" t="str">
        <f>VLOOKUP(Historic_BCast_BASE[[#This Row],[Broadcast Market]],Continent_Look_Up[],2,FALSE)</f>
        <v>Europe</v>
      </c>
      <c r="L24" t="str">
        <f>IF(OR(Historic_BCast_BASE[[#This Row],[Broadcast Continent]]="Digital",Historic_BCast_BASE[[#This Row],[Programme Type]]="Digital"),"Y","N")</f>
        <v>N</v>
      </c>
      <c r="M24" s="4" t="str">
        <f>IF(ISNUMBER(SEARCH("Pan ",Historic_BCast_BASE[[#This Row],[Broadcast Market]]))=TRUE,"Y","N")</f>
        <v>N</v>
      </c>
      <c r="N24" t="str">
        <f>VLOOKUP(CONCATENATE(Historic_BCast_BASE[[#This Row],[Broadcast Market]],Historic_BCast_BASE[[#This Row],[Broadcaster]]),Table1[[CC]:[Pay TV vs. Free-to-Air]],3,FALSE)</f>
        <v>Free-to-Air</v>
      </c>
      <c r="O24" s="1">
        <f>VLOOKUP(CONCATENATE(Historic_BCast_BASE[[#This Row],[Broadcast Market]],Historic_BCast_BASE[[#This Row],[Broadcaster]]),Table1[[CC]:[Pay TV vs. Free-to-Air]],2,FALSE)</f>
        <v>4305200</v>
      </c>
      <c r="P24" s="57">
        <f>Historic_BCast_BASE[[#This Row],[Rolex EXP]]*86400</f>
        <v>368.79157361558384</v>
      </c>
      <c r="Q24" s="73" t="str">
        <f>IF(Historic_BCast_BASE[[#This Row],[Dashboard Rated?]]="No","N","Y")</f>
        <v>Y</v>
      </c>
      <c r="R24" s="81"/>
      <c r="S24" s="81"/>
    </row>
    <row r="25" spans="1:19" x14ac:dyDescent="0.25">
      <c r="A25" s="72" t="s">
        <v>1869</v>
      </c>
      <c r="B25" t="s">
        <v>29</v>
      </c>
      <c r="C25" t="s">
        <v>334</v>
      </c>
      <c r="D25" t="s">
        <v>1644</v>
      </c>
      <c r="E25" s="102">
        <v>6.3726851851851854E-2</v>
      </c>
      <c r="F25" s="101">
        <v>38600</v>
      </c>
      <c r="G25" s="102">
        <v>4.1282146453559855E-3</v>
      </c>
      <c r="H25" s="101">
        <v>10417.513771634412</v>
      </c>
      <c r="I25" s="101">
        <v>2835.949715812842</v>
      </c>
      <c r="J25" s="101" t="s">
        <v>1868</v>
      </c>
      <c r="K25" t="str">
        <f>VLOOKUP(Historic_BCast_BASE[[#This Row],[Broadcast Market]],Continent_Look_Up[],2,FALSE)</f>
        <v>Europe</v>
      </c>
      <c r="L25" t="str">
        <f>IF(OR(Historic_BCast_BASE[[#This Row],[Broadcast Continent]]="Digital",Historic_BCast_BASE[[#This Row],[Programme Type]]="Digital"),"Y","N")</f>
        <v>N</v>
      </c>
      <c r="M25" s="4" t="str">
        <f>IF(ISNUMBER(SEARCH("Pan ",Historic_BCast_BASE[[#This Row],[Broadcast Market]]))=TRUE,"Y","N")</f>
        <v>N</v>
      </c>
      <c r="N25" t="str">
        <f>VLOOKUP(CONCATENATE(Historic_BCast_BASE[[#This Row],[Broadcast Market]],Historic_BCast_BASE[[#This Row],[Broadcaster]]),Table1[[CC]:[Pay TV vs. Free-to-Air]],3,FALSE)</f>
        <v>Free-to-Air</v>
      </c>
      <c r="O25" s="1">
        <f>VLOOKUP(CONCATENATE(Historic_BCast_BASE[[#This Row],[Broadcast Market]],Historic_BCast_BASE[[#This Row],[Broadcaster]]),Table1[[CC]:[Pay TV vs. Free-to-Air]],2,FALSE)</f>
        <v>4305200</v>
      </c>
      <c r="P25" s="57">
        <f>Historic_BCast_BASE[[#This Row],[Rolex EXP]]*86400</f>
        <v>356.67774535875714</v>
      </c>
      <c r="Q25" s="73" t="str">
        <f>IF(Historic_BCast_BASE[[#This Row],[Dashboard Rated?]]="No","N","Y")</f>
        <v>Y</v>
      </c>
      <c r="R25" s="81"/>
      <c r="S25" s="81"/>
    </row>
    <row r="26" spans="1:19" x14ac:dyDescent="0.25">
      <c r="A26" s="72" t="s">
        <v>1869</v>
      </c>
      <c r="B26" t="s">
        <v>31</v>
      </c>
      <c r="C26" t="s">
        <v>183</v>
      </c>
      <c r="D26" t="s">
        <v>1642</v>
      </c>
      <c r="E26" s="102">
        <v>0.29166666666666669</v>
      </c>
      <c r="F26" s="101">
        <v>141352</v>
      </c>
      <c r="G26" s="102">
        <v>2.7866154103225335E-2</v>
      </c>
      <c r="H26" s="101">
        <v>17782.471614079135</v>
      </c>
      <c r="I26" s="101">
        <v>5108.5706452256118</v>
      </c>
      <c r="J26" s="101" t="s">
        <v>1867</v>
      </c>
      <c r="K26" t="str">
        <f>VLOOKUP(Historic_BCast_BASE[[#This Row],[Broadcast Market]],Continent_Look_Up[],2,FALSE)</f>
        <v>Central &amp; South America</v>
      </c>
      <c r="L26" t="str">
        <f>IF(OR(Historic_BCast_BASE[[#This Row],[Broadcast Continent]]="Digital",Historic_BCast_BASE[[#This Row],[Programme Type]]="Digital"),"Y","N")</f>
        <v>N</v>
      </c>
      <c r="M26" s="4" t="str">
        <f>IF(ISNUMBER(SEARCH("Pan ",Historic_BCast_BASE[[#This Row],[Broadcast Market]]))=TRUE,"Y","N")</f>
        <v>N</v>
      </c>
      <c r="N26" t="str">
        <f>VLOOKUP(CONCATENATE(Historic_BCast_BASE[[#This Row],[Broadcast Market]],Historic_BCast_BASE[[#This Row],[Broadcaster]]),Table1[[CC]:[Pay TV vs. Free-to-Air]],3,FALSE)</f>
        <v>Pay TV</v>
      </c>
      <c r="O26" s="1">
        <f>VLOOKUP(CONCATENATE(Historic_BCast_BASE[[#This Row],[Broadcast Market]],Historic_BCast_BASE[[#This Row],[Broadcaster]]),Table1[[CC]:[Pay TV vs. Free-to-Air]],2,FALSE)</f>
        <v>10162804.986821327</v>
      </c>
      <c r="P26" s="57">
        <f>Historic_BCast_BASE[[#This Row],[Rolex EXP]]*86400</f>
        <v>2407.6357145186689</v>
      </c>
      <c r="Q26" s="73" t="str">
        <f>IF(Historic_BCast_BASE[[#This Row],[Dashboard Rated?]]="No","N","Y")</f>
        <v>N</v>
      </c>
      <c r="R26" s="81"/>
      <c r="S26" s="81"/>
    </row>
    <row r="27" spans="1:19" x14ac:dyDescent="0.25">
      <c r="A27" s="72" t="s">
        <v>1869</v>
      </c>
      <c r="B27" t="s">
        <v>31</v>
      </c>
      <c r="C27" t="s">
        <v>185</v>
      </c>
      <c r="D27" t="s">
        <v>1642</v>
      </c>
      <c r="E27" s="102">
        <v>4.1666666666666664E-2</v>
      </c>
      <c r="F27" s="101">
        <v>26068</v>
      </c>
      <c r="G27" s="102">
        <v>3.9808791576036191E-3</v>
      </c>
      <c r="H27" s="101">
        <v>3279.4263260216712</v>
      </c>
      <c r="I27" s="101">
        <v>942.11768902980771</v>
      </c>
      <c r="J27" s="101" t="s">
        <v>1867</v>
      </c>
      <c r="K27" t="str">
        <f>VLOOKUP(Historic_BCast_BASE[[#This Row],[Broadcast Market]],Continent_Look_Up[],2,FALSE)</f>
        <v>Central &amp; South America</v>
      </c>
      <c r="L27" t="str">
        <f>IF(OR(Historic_BCast_BASE[[#This Row],[Broadcast Continent]]="Digital",Historic_BCast_BASE[[#This Row],[Programme Type]]="Digital"),"Y","N")</f>
        <v>N</v>
      </c>
      <c r="M27" s="4" t="str">
        <f>IF(ISNUMBER(SEARCH("Pan ",Historic_BCast_BASE[[#This Row],[Broadcast Market]]))=TRUE,"Y","N")</f>
        <v>N</v>
      </c>
      <c r="N27" t="str">
        <f>VLOOKUP(CONCATENATE(Historic_BCast_BASE[[#This Row],[Broadcast Market]],Historic_BCast_BASE[[#This Row],[Broadcaster]]),Table1[[CC]:[Pay TV vs. Free-to-Air]],3,FALSE)</f>
        <v>Pay TV</v>
      </c>
      <c r="O27" s="1">
        <f>VLOOKUP(CONCATENATE(Historic_BCast_BASE[[#This Row],[Broadcast Market]],Historic_BCast_BASE[[#This Row],[Broadcaster]]),Table1[[CC]:[Pay TV vs. Free-to-Air]],2,FALSE)</f>
        <v>10162804.986821327</v>
      </c>
      <c r="P27" s="57">
        <f>Historic_BCast_BASE[[#This Row],[Rolex EXP]]*86400</f>
        <v>343.94795921695271</v>
      </c>
      <c r="Q27" s="73" t="str">
        <f>IF(Historic_BCast_BASE[[#This Row],[Dashboard Rated?]]="No","N","Y")</f>
        <v>N</v>
      </c>
      <c r="R27" s="81"/>
      <c r="S27" s="81"/>
    </row>
    <row r="28" spans="1:19" x14ac:dyDescent="0.25">
      <c r="A28" s="72" t="s">
        <v>1869</v>
      </c>
      <c r="B28" t="s">
        <v>31</v>
      </c>
      <c r="C28" t="s">
        <v>185</v>
      </c>
      <c r="D28" t="s">
        <v>1644</v>
      </c>
      <c r="E28" s="102">
        <v>0.32291666666666669</v>
      </c>
      <c r="F28" s="101">
        <v>30452</v>
      </c>
      <c r="G28" s="102">
        <v>3.0851813471428045E-2</v>
      </c>
      <c r="H28" s="101">
        <v>14844.914286099676</v>
      </c>
      <c r="I28" s="101">
        <v>4264.6655087483077</v>
      </c>
      <c r="J28" s="101" t="s">
        <v>1867</v>
      </c>
      <c r="K28" t="str">
        <f>VLOOKUP(Historic_BCast_BASE[[#This Row],[Broadcast Market]],Continent_Look_Up[],2,FALSE)</f>
        <v>Central &amp; South America</v>
      </c>
      <c r="L28" t="str">
        <f>IF(OR(Historic_BCast_BASE[[#This Row],[Broadcast Continent]]="Digital",Historic_BCast_BASE[[#This Row],[Programme Type]]="Digital"),"Y","N")</f>
        <v>N</v>
      </c>
      <c r="M28" s="4" t="str">
        <f>IF(ISNUMBER(SEARCH("Pan ",Historic_BCast_BASE[[#This Row],[Broadcast Market]]))=TRUE,"Y","N")</f>
        <v>N</v>
      </c>
      <c r="N28" t="str">
        <f>VLOOKUP(CONCATENATE(Historic_BCast_BASE[[#This Row],[Broadcast Market]],Historic_BCast_BASE[[#This Row],[Broadcaster]]),Table1[[CC]:[Pay TV vs. Free-to-Air]],3,FALSE)</f>
        <v>Pay TV</v>
      </c>
      <c r="O28" s="1">
        <f>VLOOKUP(CONCATENATE(Historic_BCast_BASE[[#This Row],[Broadcast Market]],Historic_BCast_BASE[[#This Row],[Broadcaster]]),Table1[[CC]:[Pay TV vs. Free-to-Air]],2,FALSE)</f>
        <v>10162804.986821327</v>
      </c>
      <c r="P28" s="57">
        <f>Historic_BCast_BASE[[#This Row],[Rolex EXP]]*86400</f>
        <v>2665.5966839313833</v>
      </c>
      <c r="Q28" s="73" t="str">
        <f>IF(Historic_BCast_BASE[[#This Row],[Dashboard Rated?]]="No","N","Y")</f>
        <v>N</v>
      </c>
      <c r="R28" s="81"/>
      <c r="S28" s="81"/>
    </row>
    <row r="29" spans="1:19" x14ac:dyDescent="0.25">
      <c r="A29" s="72" t="s">
        <v>1869</v>
      </c>
      <c r="B29" t="s">
        <v>31</v>
      </c>
      <c r="C29" t="s">
        <v>412</v>
      </c>
      <c r="D29" t="s">
        <v>1642</v>
      </c>
      <c r="E29" s="102">
        <v>0.125</v>
      </c>
      <c r="F29" s="101">
        <v>12360</v>
      </c>
      <c r="G29" s="102">
        <v>1.1942637472810857E-2</v>
      </c>
      <c r="H29" s="101">
        <v>4664.7663099924484</v>
      </c>
      <c r="I29" s="101">
        <v>1340.0998891063812</v>
      </c>
      <c r="J29" s="101" t="s">
        <v>1867</v>
      </c>
      <c r="K29" t="str">
        <f>VLOOKUP(Historic_BCast_BASE[[#This Row],[Broadcast Market]],Continent_Look_Up[],2,FALSE)</f>
        <v>Central &amp; South America</v>
      </c>
      <c r="L29" t="str">
        <f>IF(OR(Historic_BCast_BASE[[#This Row],[Broadcast Continent]]="Digital",Historic_BCast_BASE[[#This Row],[Programme Type]]="Digital"),"Y","N")</f>
        <v>N</v>
      </c>
      <c r="M29" s="4" t="str">
        <f>IF(ISNUMBER(SEARCH("Pan ",Historic_BCast_BASE[[#This Row],[Broadcast Market]]))=TRUE,"Y","N")</f>
        <v>N</v>
      </c>
      <c r="N29" t="str">
        <f>VLOOKUP(CONCATENATE(Historic_BCast_BASE[[#This Row],[Broadcast Market]],Historic_BCast_BASE[[#This Row],[Broadcaster]]),Table1[[CC]:[Pay TV vs. Free-to-Air]],3,FALSE)</f>
        <v>Pay TV</v>
      </c>
      <c r="O29" s="1">
        <f>VLOOKUP(CONCATENATE(Historic_BCast_BASE[[#This Row],[Broadcast Market]],Historic_BCast_BASE[[#This Row],[Broadcaster]]),Table1[[CC]:[Pay TV vs. Free-to-Air]],2,FALSE)</f>
        <v>10162804.986821327</v>
      </c>
      <c r="P29" s="57">
        <f>Historic_BCast_BASE[[#This Row],[Rolex EXP]]*86400</f>
        <v>1031.8438776508581</v>
      </c>
      <c r="Q29" s="73" t="str">
        <f>IF(Historic_BCast_BASE[[#This Row],[Dashboard Rated?]]="No","N","Y")</f>
        <v>N</v>
      </c>
      <c r="R29" s="81"/>
      <c r="S29" s="81"/>
    </row>
    <row r="30" spans="1:19" x14ac:dyDescent="0.25">
      <c r="A30" s="72" t="s">
        <v>1869</v>
      </c>
      <c r="B30" t="s">
        <v>31</v>
      </c>
      <c r="C30" t="s">
        <v>412</v>
      </c>
      <c r="D30" t="s">
        <v>1644</v>
      </c>
      <c r="E30" s="102">
        <v>0.25</v>
      </c>
      <c r="F30" s="101">
        <v>30452</v>
      </c>
      <c r="G30" s="102">
        <v>1.7743306652793268E-2</v>
      </c>
      <c r="H30" s="101">
        <v>8537.5164949908612</v>
      </c>
      <c r="I30" s="101">
        <v>2436.1159234794964</v>
      </c>
      <c r="J30" s="101" t="s">
        <v>1867</v>
      </c>
      <c r="K30" t="str">
        <f>VLOOKUP(Historic_BCast_BASE[[#This Row],[Broadcast Market]],Continent_Look_Up[],2,FALSE)</f>
        <v>Central &amp; South America</v>
      </c>
      <c r="L30" t="str">
        <f>IF(OR(Historic_BCast_BASE[[#This Row],[Broadcast Continent]]="Digital",Historic_BCast_BASE[[#This Row],[Programme Type]]="Digital"),"Y","N")</f>
        <v>N</v>
      </c>
      <c r="M30" s="4" t="str">
        <f>IF(ISNUMBER(SEARCH("Pan ",Historic_BCast_BASE[[#This Row],[Broadcast Market]]))=TRUE,"Y","N")</f>
        <v>N</v>
      </c>
      <c r="N30" t="str">
        <f>VLOOKUP(CONCATENATE(Historic_BCast_BASE[[#This Row],[Broadcast Market]],Historic_BCast_BASE[[#This Row],[Broadcaster]]),Table1[[CC]:[Pay TV vs. Free-to-Air]],3,FALSE)</f>
        <v>Pay TV</v>
      </c>
      <c r="O30" s="1">
        <f>VLOOKUP(CONCATENATE(Historic_BCast_BASE[[#This Row],[Broadcast Market]],Historic_BCast_BASE[[#This Row],[Broadcaster]]),Table1[[CC]:[Pay TV vs. Free-to-Air]],2,FALSE)</f>
        <v>10162804.986821327</v>
      </c>
      <c r="P30" s="51">
        <f>Historic_BCast_BASE[[#This Row],[Rolex EXP]]*86400</f>
        <v>1533.0216948013383</v>
      </c>
      <c r="Q30" s="73" t="str">
        <f>IF(Historic_BCast_BASE[[#This Row],[Dashboard Rated?]]="No","N","Y")</f>
        <v>N</v>
      </c>
      <c r="R30" s="81"/>
      <c r="S30" s="81"/>
    </row>
    <row r="31" spans="1:19" x14ac:dyDescent="0.25">
      <c r="A31" s="72" t="s">
        <v>1869</v>
      </c>
      <c r="B31" t="s">
        <v>31</v>
      </c>
      <c r="C31" t="s">
        <v>421</v>
      </c>
      <c r="D31" t="s">
        <v>1643</v>
      </c>
      <c r="E31" s="102">
        <v>5.1076388888888884</v>
      </c>
      <c r="F31" s="101">
        <v>4416167</v>
      </c>
      <c r="G31" s="102">
        <v>0.49463669972928342</v>
      </c>
      <c r="H31" s="101">
        <v>1165062.8307716842</v>
      </c>
      <c r="I31" s="101">
        <v>339504.03809111263</v>
      </c>
      <c r="J31" s="101" t="s">
        <v>1867</v>
      </c>
      <c r="K31" t="str">
        <f>VLOOKUP(Historic_BCast_BASE[[#This Row],[Broadcast Market]],Continent_Look_Up[],2,FALSE)</f>
        <v>Central &amp; South America</v>
      </c>
      <c r="L31" t="str">
        <f>IF(OR(Historic_BCast_BASE[[#This Row],[Broadcast Continent]]="Digital",Historic_BCast_BASE[[#This Row],[Programme Type]]="Digital"),"Y","N")</f>
        <v>N</v>
      </c>
      <c r="M31" s="4" t="str">
        <f>IF(ISNUMBER(SEARCH("Pan ",Historic_BCast_BASE[[#This Row],[Broadcast Market]]))=TRUE,"Y","N")</f>
        <v>N</v>
      </c>
      <c r="N31" t="str">
        <f>VLOOKUP(CONCATENATE(Historic_BCast_BASE[[#This Row],[Broadcast Market]],Historic_BCast_BASE[[#This Row],[Broadcaster]]),Table1[[CC]:[Pay TV vs. Free-to-Air]],3,FALSE)</f>
        <v>Pay TV</v>
      </c>
      <c r="O31" s="1">
        <f>VLOOKUP(CONCATENATE(Historic_BCast_BASE[[#This Row],[Broadcast Market]],Historic_BCast_BASE[[#This Row],[Broadcaster]]),Table1[[CC]:[Pay TV vs. Free-to-Air]],2,FALSE)</f>
        <v>20332000</v>
      </c>
      <c r="P31" s="57">
        <f>Historic_BCast_BASE[[#This Row],[Rolex EXP]]*86400</f>
        <v>42736.610856610088</v>
      </c>
      <c r="Q31" s="73" t="str">
        <f>IF(Historic_BCast_BASE[[#This Row],[Dashboard Rated?]]="No","N","Y")</f>
        <v>N</v>
      </c>
      <c r="R31" s="81"/>
      <c r="S31" s="81"/>
    </row>
    <row r="32" spans="1:19" x14ac:dyDescent="0.25">
      <c r="A32" s="72" t="s">
        <v>1869</v>
      </c>
      <c r="B32" t="s">
        <v>31</v>
      </c>
      <c r="C32" t="s">
        <v>421</v>
      </c>
      <c r="D32" t="s">
        <v>1644</v>
      </c>
      <c r="E32" s="102">
        <v>0.54166666666666663</v>
      </c>
      <c r="F32" s="101">
        <v>209709</v>
      </c>
      <c r="G32" s="102">
        <v>4.3156422613368689E-2</v>
      </c>
      <c r="H32" s="101">
        <v>59106.477385132835</v>
      </c>
      <c r="I32" s="101">
        <v>18175.828975203716</v>
      </c>
      <c r="J32" s="101" t="s">
        <v>1867</v>
      </c>
      <c r="K32" t="str">
        <f>VLOOKUP(Historic_BCast_BASE[[#This Row],[Broadcast Market]],Continent_Look_Up[],2,FALSE)</f>
        <v>Central &amp; South America</v>
      </c>
      <c r="L32" t="str">
        <f>IF(OR(Historic_BCast_BASE[[#This Row],[Broadcast Continent]]="Digital",Historic_BCast_BASE[[#This Row],[Programme Type]]="Digital"),"Y","N")</f>
        <v>N</v>
      </c>
      <c r="M32" s="4" t="str">
        <f>IF(ISNUMBER(SEARCH("Pan ",Historic_BCast_BASE[[#This Row],[Broadcast Market]]))=TRUE,"Y","N")</f>
        <v>N</v>
      </c>
      <c r="N32" t="str">
        <f>VLOOKUP(CONCATENATE(Historic_BCast_BASE[[#This Row],[Broadcast Market]],Historic_BCast_BASE[[#This Row],[Broadcaster]]),Table1[[CC]:[Pay TV vs. Free-to-Air]],3,FALSE)</f>
        <v>Pay TV</v>
      </c>
      <c r="O32" s="1">
        <f>VLOOKUP(CONCATENATE(Historic_BCast_BASE[[#This Row],[Broadcast Market]],Historic_BCast_BASE[[#This Row],[Broadcaster]]),Table1[[CC]:[Pay TV vs. Free-to-Air]],2,FALSE)</f>
        <v>20332000</v>
      </c>
      <c r="P32" s="57">
        <f>Historic_BCast_BASE[[#This Row],[Rolex EXP]]*86400</f>
        <v>3728.7149137950546</v>
      </c>
      <c r="Q32" s="73" t="str">
        <f>IF(Historic_BCast_BASE[[#This Row],[Dashboard Rated?]]="No","N","Y")</f>
        <v>N</v>
      </c>
      <c r="R32" s="81"/>
      <c r="S32" s="81"/>
    </row>
    <row r="33" spans="1:19" x14ac:dyDescent="0.25">
      <c r="A33" s="72" t="s">
        <v>1869</v>
      </c>
      <c r="B33" t="s">
        <v>35</v>
      </c>
      <c r="C33" t="s">
        <v>481</v>
      </c>
      <c r="D33" t="s">
        <v>1643</v>
      </c>
      <c r="E33" s="102">
        <v>4.7145833333333336</v>
      </c>
      <c r="F33" s="101">
        <v>1794900</v>
      </c>
      <c r="G33" s="102">
        <v>0.45160262131126599</v>
      </c>
      <c r="H33" s="101">
        <v>230313.91006764214</v>
      </c>
      <c r="I33" s="101">
        <v>68420.571639397502</v>
      </c>
      <c r="J33" s="101" t="s">
        <v>1868</v>
      </c>
      <c r="K33" t="str">
        <f>VLOOKUP(Historic_BCast_BASE[[#This Row],[Broadcast Market]],Continent_Look_Up[],2,FALSE)</f>
        <v>North America</v>
      </c>
      <c r="L33" t="str">
        <f>IF(OR(Historic_BCast_BASE[[#This Row],[Broadcast Continent]]="Digital",Historic_BCast_BASE[[#This Row],[Programme Type]]="Digital"),"Y","N")</f>
        <v>N</v>
      </c>
      <c r="M33" s="4" t="str">
        <f>IF(ISNUMBER(SEARCH("Pan ",Historic_BCast_BASE[[#This Row],[Broadcast Market]]))=TRUE,"Y","N")</f>
        <v>N</v>
      </c>
      <c r="N33" t="str">
        <f>VLOOKUP(CONCATENATE(Historic_BCast_BASE[[#This Row],[Broadcast Market]],Historic_BCast_BASE[[#This Row],[Broadcaster]]),Table1[[CC]:[Pay TV vs. Free-to-Air]],3,FALSE)</f>
        <v>Pay TV</v>
      </c>
      <c r="O33" s="1">
        <f>VLOOKUP(CONCATENATE(Historic_BCast_BASE[[#This Row],[Broadcast Market]],Historic_BCast_BASE[[#This Row],[Broadcaster]]),Table1[[CC]:[Pay TV vs. Free-to-Air]],2,FALSE)</f>
        <v>6701000</v>
      </c>
      <c r="P33" s="57">
        <f>Historic_BCast_BASE[[#This Row],[Rolex EXP]]*86400</f>
        <v>39018.466481293384</v>
      </c>
      <c r="Q33" s="73" t="str">
        <f>IF(Historic_BCast_BASE[[#This Row],[Dashboard Rated?]]="No","N","Y")</f>
        <v>Y</v>
      </c>
      <c r="R33" s="81"/>
      <c r="S33" s="81"/>
    </row>
    <row r="34" spans="1:19" x14ac:dyDescent="0.25">
      <c r="A34" s="72" t="s">
        <v>1869</v>
      </c>
      <c r="B34" t="s">
        <v>35</v>
      </c>
      <c r="C34" t="s">
        <v>481</v>
      </c>
      <c r="D34" t="s">
        <v>1644</v>
      </c>
      <c r="E34" s="102">
        <v>8.3333333333333329E-2</v>
      </c>
      <c r="F34" s="101">
        <v>8300</v>
      </c>
      <c r="G34" s="102">
        <v>4.9735850026388449E-3</v>
      </c>
      <c r="H34" s="101">
        <v>260.90884649555863</v>
      </c>
      <c r="I34" s="101">
        <v>67.212560478647305</v>
      </c>
      <c r="J34" s="101" t="s">
        <v>1868</v>
      </c>
      <c r="K34" t="str">
        <f>VLOOKUP(Historic_BCast_BASE[[#This Row],[Broadcast Market]],Continent_Look_Up[],2,FALSE)</f>
        <v>North America</v>
      </c>
      <c r="L34" t="str">
        <f>IF(OR(Historic_BCast_BASE[[#This Row],[Broadcast Continent]]="Digital",Historic_BCast_BASE[[#This Row],[Programme Type]]="Digital"),"Y","N")</f>
        <v>N</v>
      </c>
      <c r="M34" s="4" t="str">
        <f>IF(ISNUMBER(SEARCH("Pan ",Historic_BCast_BASE[[#This Row],[Broadcast Market]]))=TRUE,"Y","N")</f>
        <v>N</v>
      </c>
      <c r="N34" t="str">
        <f>VLOOKUP(CONCATENATE(Historic_BCast_BASE[[#This Row],[Broadcast Market]],Historic_BCast_BASE[[#This Row],[Broadcaster]]),Table1[[CC]:[Pay TV vs. Free-to-Air]],3,FALSE)</f>
        <v>Pay TV</v>
      </c>
      <c r="O34" s="1">
        <f>VLOOKUP(CONCATENATE(Historic_BCast_BASE[[#This Row],[Broadcast Market]],Historic_BCast_BASE[[#This Row],[Broadcaster]]),Table1[[CC]:[Pay TV vs. Free-to-Air]],2,FALSE)</f>
        <v>6701000</v>
      </c>
      <c r="P34" s="57">
        <f>Historic_BCast_BASE[[#This Row],[Rolex EXP]]*86400</f>
        <v>429.71774422799621</v>
      </c>
      <c r="Q34" s="73" t="str">
        <f>IF(Historic_BCast_BASE[[#This Row],[Dashboard Rated?]]="No","N","Y")</f>
        <v>Y</v>
      </c>
      <c r="R34" s="81"/>
      <c r="S34" s="81"/>
    </row>
    <row r="35" spans="1:19" x14ac:dyDescent="0.25">
      <c r="A35" s="72" t="s">
        <v>1869</v>
      </c>
      <c r="B35" t="s">
        <v>35</v>
      </c>
      <c r="C35" t="s">
        <v>486</v>
      </c>
      <c r="D35" t="s">
        <v>1643</v>
      </c>
      <c r="E35" s="102">
        <v>0.75416666666666676</v>
      </c>
      <c r="F35" s="101">
        <v>197300</v>
      </c>
      <c r="G35" s="102">
        <v>7.26508491227425E-2</v>
      </c>
      <c r="H35" s="101">
        <v>20681.514397054354</v>
      </c>
      <c r="I35" s="101">
        <v>6333.5073156418503</v>
      </c>
      <c r="J35" s="101" t="s">
        <v>1868</v>
      </c>
      <c r="K35" t="str">
        <f>VLOOKUP(Historic_BCast_BASE[[#This Row],[Broadcast Market]],Continent_Look_Up[],2,FALSE)</f>
        <v>North America</v>
      </c>
      <c r="L35" t="str">
        <f>IF(OR(Historic_BCast_BASE[[#This Row],[Broadcast Continent]]="Digital",Historic_BCast_BASE[[#This Row],[Programme Type]]="Digital"),"Y","N")</f>
        <v>N</v>
      </c>
      <c r="M35" s="4" t="str">
        <f>IF(ISNUMBER(SEARCH("Pan ",Historic_BCast_BASE[[#This Row],[Broadcast Market]]))=TRUE,"Y","N")</f>
        <v>N</v>
      </c>
      <c r="N35" t="str">
        <f>VLOOKUP(CONCATENATE(Historic_BCast_BASE[[#This Row],[Broadcast Market]],Historic_BCast_BASE[[#This Row],[Broadcaster]]),Table1[[CC]:[Pay TV vs. Free-to-Air]],3,FALSE)</f>
        <v>Pay TV</v>
      </c>
      <c r="O35" s="1">
        <f>VLOOKUP(CONCATENATE(Historic_BCast_BASE[[#This Row],[Broadcast Market]],Historic_BCast_BASE[[#This Row],[Broadcaster]]),Table1[[CC]:[Pay TV vs. Free-to-Air]],2,FALSE)</f>
        <v>6701000</v>
      </c>
      <c r="P35" s="57">
        <f>Historic_BCast_BASE[[#This Row],[Rolex EXP]]*86400</f>
        <v>6277.0333642049518</v>
      </c>
      <c r="Q35" s="73" t="str">
        <f>IF(Historic_BCast_BASE[[#This Row],[Dashboard Rated?]]="No","N","Y")</f>
        <v>Y</v>
      </c>
      <c r="R35" s="81"/>
      <c r="S35" s="81"/>
    </row>
    <row r="36" spans="1:19" x14ac:dyDescent="0.25">
      <c r="A36" s="72" t="s">
        <v>1869</v>
      </c>
      <c r="B36" t="s">
        <v>35</v>
      </c>
      <c r="C36" t="s">
        <v>486</v>
      </c>
      <c r="D36" t="s">
        <v>1644</v>
      </c>
      <c r="E36" s="102">
        <v>0.58333333333333337</v>
      </c>
      <c r="F36" s="101">
        <v>26700</v>
      </c>
      <c r="G36" s="102">
        <v>4.3784601464955636E-2</v>
      </c>
      <c r="H36" s="101">
        <v>2606.1977423589742</v>
      </c>
      <c r="I36" s="101">
        <v>821.09025823721174</v>
      </c>
      <c r="J36" s="101" t="s">
        <v>1868</v>
      </c>
      <c r="K36" t="str">
        <f>VLOOKUP(Historic_BCast_BASE[[#This Row],[Broadcast Market]],Continent_Look_Up[],2,FALSE)</f>
        <v>North America</v>
      </c>
      <c r="L36" t="str">
        <f>IF(OR(Historic_BCast_BASE[[#This Row],[Broadcast Continent]]="Digital",Historic_BCast_BASE[[#This Row],[Programme Type]]="Digital"),"Y","N")</f>
        <v>N</v>
      </c>
      <c r="M36" s="4" t="str">
        <f>IF(ISNUMBER(SEARCH("Pan ",Historic_BCast_BASE[[#This Row],[Broadcast Market]]))=TRUE,"Y","N")</f>
        <v>N</v>
      </c>
      <c r="N36" t="str">
        <f>VLOOKUP(CONCATENATE(Historic_BCast_BASE[[#This Row],[Broadcast Market]],Historic_BCast_BASE[[#This Row],[Broadcaster]]),Table1[[CC]:[Pay TV vs. Free-to-Air]],3,FALSE)</f>
        <v>Pay TV</v>
      </c>
      <c r="O36" s="1">
        <f>VLOOKUP(CONCATENATE(Historic_BCast_BASE[[#This Row],[Broadcast Market]],Historic_BCast_BASE[[#This Row],[Broadcaster]]),Table1[[CC]:[Pay TV vs. Free-to-Air]],2,FALSE)</f>
        <v>6701000</v>
      </c>
      <c r="P36" s="57">
        <f>Historic_BCast_BASE[[#This Row],[Rolex EXP]]*86400</f>
        <v>3782.989566572167</v>
      </c>
      <c r="Q36" s="73" t="str">
        <f>IF(Historic_BCast_BASE[[#This Row],[Dashboard Rated?]]="No","N","Y")</f>
        <v>Y</v>
      </c>
      <c r="R36" s="81"/>
      <c r="S36" s="81"/>
    </row>
    <row r="37" spans="1:19" x14ac:dyDescent="0.25">
      <c r="A37" s="72" t="s">
        <v>1869</v>
      </c>
      <c r="B37" t="s">
        <v>35</v>
      </c>
      <c r="C37" t="s">
        <v>492</v>
      </c>
      <c r="D37" t="s">
        <v>1643</v>
      </c>
      <c r="E37" s="102">
        <v>5.4236111111111107</v>
      </c>
      <c r="F37" s="101">
        <v>2763100</v>
      </c>
      <c r="G37" s="102">
        <v>0.50537844981059576</v>
      </c>
      <c r="H37" s="101">
        <v>373148.13278025854</v>
      </c>
      <c r="I37" s="101">
        <v>110164.56858376109</v>
      </c>
      <c r="J37" s="101" t="s">
        <v>1868</v>
      </c>
      <c r="K37" t="str">
        <f>VLOOKUP(Historic_BCast_BASE[[#This Row],[Broadcast Market]],Continent_Look_Up[],2,FALSE)</f>
        <v>North America</v>
      </c>
      <c r="L37" t="str">
        <f>IF(OR(Historic_BCast_BASE[[#This Row],[Broadcast Continent]]="Digital",Historic_BCast_BASE[[#This Row],[Programme Type]]="Digital"),"Y","N")</f>
        <v>N</v>
      </c>
      <c r="M37" s="4" t="str">
        <f>IF(ISNUMBER(SEARCH("Pan ",Historic_BCast_BASE[[#This Row],[Broadcast Market]]))=TRUE,"Y","N")</f>
        <v>N</v>
      </c>
      <c r="N37" t="str">
        <f>VLOOKUP(CONCATENATE(Historic_BCast_BASE[[#This Row],[Broadcast Market]],Historic_BCast_BASE[[#This Row],[Broadcaster]]),Table1[[CC]:[Pay TV vs. Free-to-Air]],3,FALSE)</f>
        <v>Pay TV</v>
      </c>
      <c r="O37" s="1">
        <f>VLOOKUP(CONCATENATE(Historic_BCast_BASE[[#This Row],[Broadcast Market]],Historic_BCast_BASE[[#This Row],[Broadcaster]]),Table1[[CC]:[Pay TV vs. Free-to-Air]],2,FALSE)</f>
        <v>10512000</v>
      </c>
      <c r="P37" s="51">
        <f>Historic_BCast_BASE[[#This Row],[Rolex EXP]]*86400</f>
        <v>43664.698063635471</v>
      </c>
      <c r="Q37" s="73" t="str">
        <f>IF(Historic_BCast_BASE[[#This Row],[Dashboard Rated?]]="No","N","Y")</f>
        <v>Y</v>
      </c>
      <c r="R37" s="81"/>
      <c r="S37" s="81"/>
    </row>
    <row r="38" spans="1:19" x14ac:dyDescent="0.25">
      <c r="A38" s="72" t="s">
        <v>1869</v>
      </c>
      <c r="B38" t="s">
        <v>35</v>
      </c>
      <c r="C38" t="s">
        <v>492</v>
      </c>
      <c r="D38" t="s">
        <v>1644</v>
      </c>
      <c r="E38" s="102">
        <v>0.80625000000000002</v>
      </c>
      <c r="F38" s="101">
        <v>227900</v>
      </c>
      <c r="G38" s="102">
        <v>6.4107502581749062E-2</v>
      </c>
      <c r="H38" s="101">
        <v>12179.631092852514</v>
      </c>
      <c r="I38" s="101">
        <v>3450.0402567514479</v>
      </c>
      <c r="J38" s="101" t="s">
        <v>1868</v>
      </c>
      <c r="K38" t="str">
        <f>VLOOKUP(Historic_BCast_BASE[[#This Row],[Broadcast Market]],Continent_Look_Up[],2,FALSE)</f>
        <v>North America</v>
      </c>
      <c r="L38" t="str">
        <f>IF(OR(Historic_BCast_BASE[[#This Row],[Broadcast Continent]]="Digital",Historic_BCast_BASE[[#This Row],[Programme Type]]="Digital"),"Y","N")</f>
        <v>N</v>
      </c>
      <c r="M38" s="4" t="str">
        <f>IF(ISNUMBER(SEARCH("Pan ",Historic_BCast_BASE[[#This Row],[Broadcast Market]]))=TRUE,"Y","N")</f>
        <v>N</v>
      </c>
      <c r="N38" t="str">
        <f>VLOOKUP(CONCATENATE(Historic_BCast_BASE[[#This Row],[Broadcast Market]],Historic_BCast_BASE[[#This Row],[Broadcaster]]),Table1[[CC]:[Pay TV vs. Free-to-Air]],3,FALSE)</f>
        <v>Pay TV</v>
      </c>
      <c r="O38" s="1">
        <f>VLOOKUP(CONCATENATE(Historic_BCast_BASE[[#This Row],[Broadcast Market]],Historic_BCast_BASE[[#This Row],[Broadcaster]]),Table1[[CC]:[Pay TV vs. Free-to-Air]],2,FALSE)</f>
        <v>10512000</v>
      </c>
      <c r="P38" s="51">
        <f>Historic_BCast_BASE[[#This Row],[Rolex EXP]]*86400</f>
        <v>5538.8882230631189</v>
      </c>
      <c r="Q38" s="73" t="str">
        <f>IF(Historic_BCast_BASE[[#This Row],[Dashboard Rated?]]="No","N","Y")</f>
        <v>Y</v>
      </c>
      <c r="R38" s="81"/>
      <c r="S38" s="81"/>
    </row>
    <row r="39" spans="1:19" x14ac:dyDescent="0.25">
      <c r="A39" s="72" t="s">
        <v>1869</v>
      </c>
      <c r="B39" t="s">
        <v>35</v>
      </c>
      <c r="C39" t="s">
        <v>498</v>
      </c>
      <c r="D39" t="s">
        <v>1643</v>
      </c>
      <c r="E39" s="102">
        <v>1.7006944444444445</v>
      </c>
      <c r="F39" s="101">
        <v>170100</v>
      </c>
      <c r="G39" s="102">
        <v>0.15790819792193334</v>
      </c>
      <c r="H39" s="101">
        <v>29238.568030299448</v>
      </c>
      <c r="I39" s="101">
        <v>9085.3908516037372</v>
      </c>
      <c r="J39" s="101" t="s">
        <v>1868</v>
      </c>
      <c r="K39" t="str">
        <f>VLOOKUP(Historic_BCast_BASE[[#This Row],[Broadcast Market]],Continent_Look_Up[],2,FALSE)</f>
        <v>North America</v>
      </c>
      <c r="L39" t="str">
        <f>IF(OR(Historic_BCast_BASE[[#This Row],[Broadcast Continent]]="Digital",Historic_BCast_BASE[[#This Row],[Programme Type]]="Digital"),"Y","N")</f>
        <v>N</v>
      </c>
      <c r="M39" s="4" t="str">
        <f>IF(ISNUMBER(SEARCH("Pan ",Historic_BCast_BASE[[#This Row],[Broadcast Market]]))=TRUE,"Y","N")</f>
        <v>N</v>
      </c>
      <c r="N39" t="str">
        <f>VLOOKUP(CONCATENATE(Historic_BCast_BASE[[#This Row],[Broadcast Market]],Historic_BCast_BASE[[#This Row],[Broadcaster]]),Table1[[CC]:[Pay TV vs. Free-to-Air]],3,FALSE)</f>
        <v>Pay TV</v>
      </c>
      <c r="O39" s="1">
        <f>VLOOKUP(CONCATENATE(Historic_BCast_BASE[[#This Row],[Broadcast Market]],Historic_BCast_BASE[[#This Row],[Broadcaster]]),Table1[[CC]:[Pay TV vs. Free-to-Air]],2,FALSE)</f>
        <v>10512000</v>
      </c>
      <c r="P39" s="57">
        <f>Historic_BCast_BASE[[#This Row],[Rolex EXP]]*86400</f>
        <v>13643.26830045504</v>
      </c>
      <c r="Q39" s="73" t="str">
        <f>IF(Historic_BCast_BASE[[#This Row],[Dashboard Rated?]]="No","N","Y")</f>
        <v>Y</v>
      </c>
      <c r="R39" s="81"/>
      <c r="S39" s="81"/>
    </row>
    <row r="40" spans="1:19" x14ac:dyDescent="0.25">
      <c r="A40" s="72" t="s">
        <v>1869</v>
      </c>
      <c r="B40" t="s">
        <v>35</v>
      </c>
      <c r="C40" t="s">
        <v>498</v>
      </c>
      <c r="D40" t="s">
        <v>1644</v>
      </c>
      <c r="E40" s="102">
        <v>0.375</v>
      </c>
      <c r="F40" s="101">
        <v>64700</v>
      </c>
      <c r="G40" s="102">
        <v>3.582791241843257E-2</v>
      </c>
      <c r="H40" s="101">
        <v>4883.6631109467999</v>
      </c>
      <c r="I40" s="101">
        <v>1402.9848353589498</v>
      </c>
      <c r="J40" s="101" t="s">
        <v>1868</v>
      </c>
      <c r="K40" t="str">
        <f>VLOOKUP(Historic_BCast_BASE[[#This Row],[Broadcast Market]],Continent_Look_Up[],2,FALSE)</f>
        <v>North America</v>
      </c>
      <c r="L40" t="str">
        <f>IF(OR(Historic_BCast_BASE[[#This Row],[Broadcast Continent]]="Digital",Historic_BCast_BASE[[#This Row],[Programme Type]]="Digital"),"Y","N")</f>
        <v>N</v>
      </c>
      <c r="M40" s="4" t="str">
        <f>IF(ISNUMBER(SEARCH("Pan ",Historic_BCast_BASE[[#This Row],[Broadcast Market]]))=TRUE,"Y","N")</f>
        <v>N</v>
      </c>
      <c r="N40" t="str">
        <f>VLOOKUP(CONCATENATE(Historic_BCast_BASE[[#This Row],[Broadcast Market]],Historic_BCast_BASE[[#This Row],[Broadcaster]]),Table1[[CC]:[Pay TV vs. Free-to-Air]],3,FALSE)</f>
        <v>Pay TV</v>
      </c>
      <c r="O40" s="1">
        <f>VLOOKUP(CONCATENATE(Historic_BCast_BASE[[#This Row],[Broadcast Market]],Historic_BCast_BASE[[#This Row],[Broadcaster]]),Table1[[CC]:[Pay TV vs. Free-to-Air]],2,FALSE)</f>
        <v>10512000</v>
      </c>
      <c r="P40" s="51">
        <f>Historic_BCast_BASE[[#This Row],[Rolex EXP]]*86400</f>
        <v>3095.531632952574</v>
      </c>
      <c r="Q40" s="73" t="str">
        <f>IF(Historic_BCast_BASE[[#This Row],[Dashboard Rated?]]="No","N","Y")</f>
        <v>Y</v>
      </c>
      <c r="R40" s="81"/>
      <c r="S40" s="81"/>
    </row>
    <row r="41" spans="1:19" x14ac:dyDescent="0.25">
      <c r="A41" s="72" t="s">
        <v>1869</v>
      </c>
      <c r="B41" t="s">
        <v>38</v>
      </c>
      <c r="C41" t="s">
        <v>511</v>
      </c>
      <c r="D41" t="s">
        <v>1643</v>
      </c>
      <c r="E41" s="102">
        <v>1.2708333333333333</v>
      </c>
      <c r="F41" s="101">
        <v>1468260</v>
      </c>
      <c r="G41" s="102">
        <v>0.12141681430691038</v>
      </c>
      <c r="H41" s="101">
        <v>493128.75568067736</v>
      </c>
      <c r="I41" s="101">
        <v>141666.64456207523</v>
      </c>
      <c r="J41" s="101" t="s">
        <v>1867</v>
      </c>
      <c r="K41" t="str">
        <f>VLOOKUP(Historic_BCast_BASE[[#This Row],[Broadcast Market]],Continent_Look_Up[],2,FALSE)</f>
        <v>Asia Pacific</v>
      </c>
      <c r="L41" t="str">
        <f>IF(OR(Historic_BCast_BASE[[#This Row],[Broadcast Continent]]="Digital",Historic_BCast_BASE[[#This Row],[Programme Type]]="Digital"),"Y","N")</f>
        <v>N</v>
      </c>
      <c r="M41" s="4" t="str">
        <f>IF(ISNUMBER(SEARCH("Pan ",Historic_BCast_BASE[[#This Row],[Broadcast Market]]))=TRUE,"Y","N")</f>
        <v>N</v>
      </c>
      <c r="N41" t="str">
        <f>VLOOKUP(CONCATENATE(Historic_BCast_BASE[[#This Row],[Broadcast Market]],Historic_BCast_BASE[[#This Row],[Broadcaster]]),Table1[[CC]:[Pay TV vs. Free-to-Air]],3,FALSE)</f>
        <v>Pay TV</v>
      </c>
      <c r="O41" s="1">
        <f>VLOOKUP(CONCATENATE(Historic_BCast_BASE[[#This Row],[Broadcast Market]],Historic_BCast_BASE[[#This Row],[Broadcaster]]),Table1[[CC]:[Pay TV vs. Free-to-Air]],2,FALSE)</f>
        <v>108645000</v>
      </c>
      <c r="P41" s="57">
        <f>Historic_BCast_BASE[[#This Row],[Rolex EXP]]*86400</f>
        <v>10490.412756117057</v>
      </c>
      <c r="Q41" s="73" t="str">
        <f>IF(Historic_BCast_BASE[[#This Row],[Dashboard Rated?]]="No","N","Y")</f>
        <v>N</v>
      </c>
      <c r="R41" s="81"/>
      <c r="S41" s="81"/>
    </row>
    <row r="42" spans="1:19" x14ac:dyDescent="0.25">
      <c r="A42" s="72" t="s">
        <v>1869</v>
      </c>
      <c r="B42" t="s">
        <v>38</v>
      </c>
      <c r="C42" t="s">
        <v>515</v>
      </c>
      <c r="D42" t="s">
        <v>1642</v>
      </c>
      <c r="E42" s="102">
        <v>4.1666666666666664E-2</v>
      </c>
      <c r="F42" s="101">
        <v>464497</v>
      </c>
      <c r="G42" s="102">
        <v>3.9808791576036191E-3</v>
      </c>
      <c r="H42" s="101">
        <v>30689.63230848801</v>
      </c>
      <c r="I42" s="101">
        <v>8816.5558830292121</v>
      </c>
      <c r="J42" s="101" t="s">
        <v>1867</v>
      </c>
      <c r="K42" t="str">
        <f>VLOOKUP(Historic_BCast_BASE[[#This Row],[Broadcast Market]],Continent_Look_Up[],2,FALSE)</f>
        <v>Asia Pacific</v>
      </c>
      <c r="L42" t="str">
        <f>IF(OR(Historic_BCast_BASE[[#This Row],[Broadcast Continent]]="Digital",Historic_BCast_BASE[[#This Row],[Programme Type]]="Digital"),"Y","N")</f>
        <v>N</v>
      </c>
      <c r="M42" s="4" t="str">
        <f>IF(ISNUMBER(SEARCH("Pan ",Historic_BCast_BASE[[#This Row],[Broadcast Market]]))=TRUE,"Y","N")</f>
        <v>N</v>
      </c>
      <c r="N42" t="str">
        <f>VLOOKUP(CONCATENATE(Historic_BCast_BASE[[#This Row],[Broadcast Market]],Historic_BCast_BASE[[#This Row],[Broadcaster]]),Table1[[CC]:[Pay TV vs. Free-to-Air]],3,FALSE)</f>
        <v>Free-to-Air</v>
      </c>
      <c r="O42" s="1">
        <f>VLOOKUP(CONCATENATE(Historic_BCast_BASE[[#This Row],[Broadcast Market]],Historic_BCast_BASE[[#This Row],[Broadcaster]]),Table1[[CC]:[Pay TV vs. Free-to-Air]],2,FALSE)</f>
        <v>393350661</v>
      </c>
      <c r="P42" s="57">
        <f>Historic_BCast_BASE[[#This Row],[Rolex EXP]]*86400</f>
        <v>343.94795921695271</v>
      </c>
      <c r="Q42" s="73" t="str">
        <f>IF(Historic_BCast_BASE[[#This Row],[Dashboard Rated?]]="No","N","Y")</f>
        <v>N</v>
      </c>
      <c r="R42" s="81"/>
      <c r="S42" s="81"/>
    </row>
    <row r="43" spans="1:19" x14ac:dyDescent="0.25">
      <c r="A43" s="72" t="s">
        <v>1869</v>
      </c>
      <c r="B43" t="s">
        <v>38</v>
      </c>
      <c r="C43" t="s">
        <v>515</v>
      </c>
      <c r="D43" t="s">
        <v>1643</v>
      </c>
      <c r="E43" s="102">
        <v>4.1534722222222227</v>
      </c>
      <c r="F43" s="101">
        <v>25596125</v>
      </c>
      <c r="G43" s="102">
        <v>0.37801093126050139</v>
      </c>
      <c r="H43" s="101">
        <v>6982010.9016711786</v>
      </c>
      <c r="I43" s="101">
        <v>2057028.8356518995</v>
      </c>
      <c r="J43" s="101" t="s">
        <v>1867</v>
      </c>
      <c r="K43" t="str">
        <f>VLOOKUP(Historic_BCast_BASE[[#This Row],[Broadcast Market]],Continent_Look_Up[],2,FALSE)</f>
        <v>Asia Pacific</v>
      </c>
      <c r="L43" t="str">
        <f>IF(OR(Historic_BCast_BASE[[#This Row],[Broadcast Continent]]="Digital",Historic_BCast_BASE[[#This Row],[Programme Type]]="Digital"),"Y","N")</f>
        <v>N</v>
      </c>
      <c r="M43" s="4" t="str">
        <f>IF(ISNUMBER(SEARCH("Pan ",Historic_BCast_BASE[[#This Row],[Broadcast Market]]))=TRUE,"Y","N")</f>
        <v>N</v>
      </c>
      <c r="N43" t="str">
        <f>VLOOKUP(CONCATENATE(Historic_BCast_BASE[[#This Row],[Broadcast Market]],Historic_BCast_BASE[[#This Row],[Broadcaster]]),Table1[[CC]:[Pay TV vs. Free-to-Air]],3,FALSE)</f>
        <v>Free-to-Air</v>
      </c>
      <c r="O43" s="1">
        <f>VLOOKUP(CONCATENATE(Historic_BCast_BASE[[#This Row],[Broadcast Market]],Historic_BCast_BASE[[#This Row],[Broadcaster]]),Table1[[CC]:[Pay TV vs. Free-to-Air]],2,FALSE)</f>
        <v>393350661</v>
      </c>
      <c r="P43" s="51">
        <f>Historic_BCast_BASE[[#This Row],[Rolex EXP]]*86400</f>
        <v>32660.144460907319</v>
      </c>
      <c r="Q43" s="73" t="str">
        <f>IF(Historic_BCast_BASE[[#This Row],[Dashboard Rated?]]="No","N","Y")</f>
        <v>N</v>
      </c>
      <c r="R43" s="81"/>
      <c r="S43" s="81"/>
    </row>
    <row r="44" spans="1:19" x14ac:dyDescent="0.25">
      <c r="A44" s="72" t="s">
        <v>1869</v>
      </c>
      <c r="B44" t="s">
        <v>38</v>
      </c>
      <c r="C44" t="s">
        <v>515</v>
      </c>
      <c r="D44" t="s">
        <v>1644</v>
      </c>
      <c r="E44" s="102">
        <v>1.0402777777777776</v>
      </c>
      <c r="F44" s="101">
        <v>16122453</v>
      </c>
      <c r="G44" s="102">
        <v>9.2752394863508045E-2</v>
      </c>
      <c r="H44" s="101">
        <v>1741463.4495447627</v>
      </c>
      <c r="I44" s="101">
        <v>504109.93894104514</v>
      </c>
      <c r="J44" s="101" t="s">
        <v>1867</v>
      </c>
      <c r="K44" t="str">
        <f>VLOOKUP(Historic_BCast_BASE[[#This Row],[Broadcast Market]],Continent_Look_Up[],2,FALSE)</f>
        <v>Asia Pacific</v>
      </c>
      <c r="L44" t="str">
        <f>IF(OR(Historic_BCast_BASE[[#This Row],[Broadcast Continent]]="Digital",Historic_BCast_BASE[[#This Row],[Programme Type]]="Digital"),"Y","N")</f>
        <v>N</v>
      </c>
      <c r="M44" s="4" t="str">
        <f>IF(ISNUMBER(SEARCH("Pan ",Historic_BCast_BASE[[#This Row],[Broadcast Market]]))=TRUE,"Y","N")</f>
        <v>N</v>
      </c>
      <c r="N44" t="str">
        <f>VLOOKUP(CONCATENATE(Historic_BCast_BASE[[#This Row],[Broadcast Market]],Historic_BCast_BASE[[#This Row],[Broadcaster]]),Table1[[CC]:[Pay TV vs. Free-to-Air]],3,FALSE)</f>
        <v>Free-to-Air</v>
      </c>
      <c r="O44" s="1">
        <f>VLOOKUP(CONCATENATE(Historic_BCast_BASE[[#This Row],[Broadcast Market]],Historic_BCast_BASE[[#This Row],[Broadcaster]]),Table1[[CC]:[Pay TV vs. Free-to-Air]],2,FALSE)</f>
        <v>393350661</v>
      </c>
      <c r="P44" s="57">
        <f>Historic_BCast_BASE[[#This Row],[Rolex EXP]]*86400</f>
        <v>8013.8069162070951</v>
      </c>
      <c r="Q44" s="73" t="str">
        <f>IF(Historic_BCast_BASE[[#This Row],[Dashboard Rated?]]="No","N","Y")</f>
        <v>N</v>
      </c>
      <c r="R44" s="81"/>
      <c r="S44" s="81"/>
    </row>
    <row r="45" spans="1:19" x14ac:dyDescent="0.25">
      <c r="A45" s="72" t="s">
        <v>1869</v>
      </c>
      <c r="B45" t="s">
        <v>38</v>
      </c>
      <c r="C45" t="s">
        <v>518</v>
      </c>
      <c r="D45" t="s">
        <v>1644</v>
      </c>
      <c r="E45" s="102">
        <v>1.7638888888888891</v>
      </c>
      <c r="F45" s="101">
        <v>22630408</v>
      </c>
      <c r="G45" s="102">
        <v>0.15378126204958029</v>
      </c>
      <c r="H45" s="101">
        <v>2452443.6256809975</v>
      </c>
      <c r="I45" s="101">
        <v>722348.88678487006</v>
      </c>
      <c r="J45" s="101" t="s">
        <v>1867</v>
      </c>
      <c r="K45" t="str">
        <f>VLOOKUP(Historic_BCast_BASE[[#This Row],[Broadcast Market]],Continent_Look_Up[],2,FALSE)</f>
        <v>Asia Pacific</v>
      </c>
      <c r="L45" t="str">
        <f>IF(OR(Historic_BCast_BASE[[#This Row],[Broadcast Continent]]="Digital",Historic_BCast_BASE[[#This Row],[Programme Type]]="Digital"),"Y","N")</f>
        <v>N</v>
      </c>
      <c r="M45" s="4" t="str">
        <f>IF(ISNUMBER(SEARCH("Pan ",Historic_BCast_BASE[[#This Row],[Broadcast Market]]))=TRUE,"Y","N")</f>
        <v>N</v>
      </c>
      <c r="N45" t="str">
        <f>VLOOKUP(CONCATENATE(Historic_BCast_BASE[[#This Row],[Broadcast Market]],Historic_BCast_BASE[[#This Row],[Broadcaster]]),Table1[[CC]:[Pay TV vs. Free-to-Air]],3,FALSE)</f>
        <v>Free-to-Air</v>
      </c>
      <c r="O45" s="1">
        <f>VLOOKUP(CONCATENATE(Historic_BCast_BASE[[#This Row],[Broadcast Market]],Historic_BCast_BASE[[#This Row],[Broadcaster]]),Table1[[CC]:[Pay TV vs. Free-to-Air]],2,FALSE)</f>
        <v>98000000</v>
      </c>
      <c r="P45" s="57">
        <f>Historic_BCast_BASE[[#This Row],[Rolex EXP]]*86400</f>
        <v>13286.701041083737</v>
      </c>
      <c r="Q45" s="73" t="str">
        <f>IF(Historic_BCast_BASE[[#This Row],[Dashboard Rated?]]="No","N","Y")</f>
        <v>N</v>
      </c>
      <c r="R45" s="81"/>
      <c r="S45" s="81"/>
    </row>
    <row r="46" spans="1:19" x14ac:dyDescent="0.25">
      <c r="A46" s="72" t="s">
        <v>1869</v>
      </c>
      <c r="B46" t="s">
        <v>38</v>
      </c>
      <c r="C46" t="s">
        <v>548</v>
      </c>
      <c r="D46" t="s">
        <v>1642</v>
      </c>
      <c r="E46" s="102">
        <v>3</v>
      </c>
      <c r="F46" s="101">
        <v>1167050</v>
      </c>
      <c r="G46" s="102">
        <v>0.27115611750772795</v>
      </c>
      <c r="H46" s="101">
        <v>55559.279032554157</v>
      </c>
      <c r="I46" s="101">
        <v>16243.329896664429</v>
      </c>
      <c r="J46" s="101" t="s">
        <v>1867</v>
      </c>
      <c r="K46" t="str">
        <f>VLOOKUP(Historic_BCast_BASE[[#This Row],[Broadcast Market]],Continent_Look_Up[],2,FALSE)</f>
        <v>Asia Pacific</v>
      </c>
      <c r="L46" t="str">
        <f>IF(OR(Historic_BCast_BASE[[#This Row],[Broadcast Continent]]="Digital",Historic_BCast_BASE[[#This Row],[Programme Type]]="Digital"),"Y","N")</f>
        <v>N</v>
      </c>
      <c r="M46" s="4" t="str">
        <f>IF(ISNUMBER(SEARCH("Pan ",Historic_BCast_BASE[[#This Row],[Broadcast Market]]))=TRUE,"Y","N")</f>
        <v>N</v>
      </c>
      <c r="N46" t="str">
        <f>VLOOKUP(CONCATENATE(Historic_BCast_BASE[[#This Row],[Broadcast Market]],Historic_BCast_BASE[[#This Row],[Broadcaster]]),Table1[[CC]:[Pay TV vs. Free-to-Air]],3,FALSE)</f>
        <v>Pay TV</v>
      </c>
      <c r="O46" s="1">
        <f>VLOOKUP(CONCATENATE(Historic_BCast_BASE[[#This Row],[Broadcast Market]],Historic_BCast_BASE[[#This Row],[Broadcaster]]),Table1[[CC]:[Pay TV vs. Free-to-Air]],2,FALSE)</f>
        <v>6080000</v>
      </c>
      <c r="P46" s="57">
        <f>Historic_BCast_BASE[[#This Row],[Rolex EXP]]*86400</f>
        <v>23427.888552667693</v>
      </c>
      <c r="Q46" s="73" t="str">
        <f>IF(Historic_BCast_BASE[[#This Row],[Dashboard Rated?]]="No","N","Y")</f>
        <v>N</v>
      </c>
      <c r="R46" s="81"/>
      <c r="S46" s="81"/>
    </row>
    <row r="47" spans="1:19" x14ac:dyDescent="0.25">
      <c r="A47" s="72" t="s">
        <v>1869</v>
      </c>
      <c r="B47" t="s">
        <v>38</v>
      </c>
      <c r="C47" t="s">
        <v>548</v>
      </c>
      <c r="D47" t="s">
        <v>1643</v>
      </c>
      <c r="E47" s="102">
        <v>5.9965277777777777</v>
      </c>
      <c r="F47" s="101">
        <v>285544</v>
      </c>
      <c r="G47" s="102">
        <v>0.57097853238714891</v>
      </c>
      <c r="H47" s="101">
        <v>193283.40178931257</v>
      </c>
      <c r="I47" s="101">
        <v>55600.534472579719</v>
      </c>
      <c r="J47" s="101" t="s">
        <v>1867</v>
      </c>
      <c r="K47" t="str">
        <f>VLOOKUP(Historic_BCast_BASE[[#This Row],[Broadcast Market]],Continent_Look_Up[],2,FALSE)</f>
        <v>Asia Pacific</v>
      </c>
      <c r="L47" t="str">
        <f>IF(OR(Historic_BCast_BASE[[#This Row],[Broadcast Continent]]="Digital",Historic_BCast_BASE[[#This Row],[Programme Type]]="Digital"),"Y","N")</f>
        <v>N</v>
      </c>
      <c r="M47" s="4" t="str">
        <f>IF(ISNUMBER(SEARCH("Pan ",Historic_BCast_BASE[[#This Row],[Broadcast Market]]))=TRUE,"Y","N")</f>
        <v>N</v>
      </c>
      <c r="N47" t="str">
        <f>VLOOKUP(CONCATENATE(Historic_BCast_BASE[[#This Row],[Broadcast Market]],Historic_BCast_BASE[[#This Row],[Broadcaster]]),Table1[[CC]:[Pay TV vs. Free-to-Air]],3,FALSE)</f>
        <v>Pay TV</v>
      </c>
      <c r="O47" s="1">
        <f>VLOOKUP(CONCATENATE(Historic_BCast_BASE[[#This Row],[Broadcast Market]],Historic_BCast_BASE[[#This Row],[Broadcaster]]),Table1[[CC]:[Pay TV vs. Free-to-Air]],2,FALSE)</f>
        <v>6080000</v>
      </c>
      <c r="P47" s="57">
        <f>Historic_BCast_BASE[[#This Row],[Rolex EXP]]*86400</f>
        <v>49332.545198249667</v>
      </c>
      <c r="Q47" s="73" t="str">
        <f>IF(Historic_BCast_BASE[[#This Row],[Dashboard Rated?]]="No","N","Y")</f>
        <v>N</v>
      </c>
      <c r="R47" s="81"/>
      <c r="S47" s="81"/>
    </row>
    <row r="48" spans="1:19" x14ac:dyDescent="0.25">
      <c r="A48" s="72" t="s">
        <v>1869</v>
      </c>
      <c r="B48" t="s">
        <v>38</v>
      </c>
      <c r="C48" t="s">
        <v>549</v>
      </c>
      <c r="D48" t="s">
        <v>1642</v>
      </c>
      <c r="E48" s="102">
        <v>4.1666666666666664E-2</v>
      </c>
      <c r="F48" s="101">
        <v>35910</v>
      </c>
      <c r="G48" s="102">
        <v>3.9808791576036191E-3</v>
      </c>
      <c r="H48" s="101">
        <v>1186.2990462778066</v>
      </c>
      <c r="I48" s="101">
        <v>340.80147101012398</v>
      </c>
      <c r="J48" s="101" t="s">
        <v>1867</v>
      </c>
      <c r="K48" t="str">
        <f>VLOOKUP(Historic_BCast_BASE[[#This Row],[Broadcast Market]],Continent_Look_Up[],2,FALSE)</f>
        <v>Asia Pacific</v>
      </c>
      <c r="L48" t="str">
        <f>IF(OR(Historic_BCast_BASE[[#This Row],[Broadcast Continent]]="Digital",Historic_BCast_BASE[[#This Row],[Programme Type]]="Digital"),"Y","N")</f>
        <v>N</v>
      </c>
      <c r="M48" s="4" t="str">
        <f>IF(ISNUMBER(SEARCH("Pan ",Historic_BCast_BASE[[#This Row],[Broadcast Market]]))=TRUE,"Y","N")</f>
        <v>N</v>
      </c>
      <c r="N48" t="str">
        <f>VLOOKUP(CONCATENATE(Historic_BCast_BASE[[#This Row],[Broadcast Market]],Historic_BCast_BASE[[#This Row],[Broadcaster]]),Table1[[CC]:[Pay TV vs. Free-to-Air]],3,FALSE)</f>
        <v>Pay TV</v>
      </c>
      <c r="O48" s="1">
        <f>VLOOKUP(CONCATENATE(Historic_BCast_BASE[[#This Row],[Broadcast Market]],Historic_BCast_BASE[[#This Row],[Broadcaster]]),Table1[[CC]:[Pay TV vs. Free-to-Air]],2,FALSE)</f>
        <v>6080000</v>
      </c>
      <c r="P48" s="51">
        <f>Historic_BCast_BASE[[#This Row],[Rolex EXP]]*86400</f>
        <v>343.94795921695271</v>
      </c>
      <c r="Q48" s="73" t="str">
        <f>IF(Historic_BCast_BASE[[#This Row],[Dashboard Rated?]]="No","N","Y")</f>
        <v>N</v>
      </c>
      <c r="R48" s="81"/>
      <c r="S48" s="81"/>
    </row>
    <row r="49" spans="1:19" x14ac:dyDescent="0.25">
      <c r="A49" s="72" t="s">
        <v>1869</v>
      </c>
      <c r="B49" t="s">
        <v>43</v>
      </c>
      <c r="C49" t="s">
        <v>268</v>
      </c>
      <c r="D49" t="s">
        <v>1642</v>
      </c>
      <c r="E49" s="102">
        <v>1.5410648148148149</v>
      </c>
      <c r="F49" s="101">
        <v>74722</v>
      </c>
      <c r="G49" s="102">
        <v>0.14099266650268932</v>
      </c>
      <c r="H49" s="101">
        <v>6476.7985370481811</v>
      </c>
      <c r="I49" s="101">
        <v>1972.7234103420553</v>
      </c>
      <c r="J49" s="101" t="s">
        <v>1868</v>
      </c>
      <c r="K49" t="str">
        <f>VLOOKUP(Historic_BCast_BASE[[#This Row],[Broadcast Market]],Continent_Look_Up[],2,FALSE)</f>
        <v>Europe</v>
      </c>
      <c r="L49" t="str">
        <f>IF(OR(Historic_BCast_BASE[[#This Row],[Broadcast Continent]]="Digital",Historic_BCast_BASE[[#This Row],[Programme Type]]="Digital"),"Y","N")</f>
        <v>N</v>
      </c>
      <c r="M49" s="4" t="str">
        <f>IF(ISNUMBER(SEARCH("Pan ",Historic_BCast_BASE[[#This Row],[Broadcast Market]]))=TRUE,"Y","N")</f>
        <v>N</v>
      </c>
      <c r="N49" t="str">
        <f>VLOOKUP(CONCATENATE(Historic_BCast_BASE[[#This Row],[Broadcast Market]],Historic_BCast_BASE[[#This Row],[Broadcaster]]),Table1[[CC]:[Pay TV vs. Free-to-Air]],3,FALSE)</f>
        <v>Pay TV</v>
      </c>
      <c r="O49" s="1">
        <f>VLOOKUP(CONCATENATE(Historic_BCast_BASE[[#This Row],[Broadcast Market]],Historic_BCast_BASE[[#This Row],[Broadcaster]]),Table1[[CC]:[Pay TV vs. Free-to-Air]],2,FALSE)</f>
        <v>1098000</v>
      </c>
      <c r="P49" s="57">
        <f>Historic_BCast_BASE[[#This Row],[Rolex EXP]]*86400</f>
        <v>12181.766385832358</v>
      </c>
      <c r="Q49" s="73" t="str">
        <f>IF(Historic_BCast_BASE[[#This Row],[Dashboard Rated?]]="No","N","Y")</f>
        <v>Y</v>
      </c>
      <c r="R49" s="81"/>
      <c r="S49" s="81"/>
    </row>
    <row r="50" spans="1:19" x14ac:dyDescent="0.25">
      <c r="A50" s="72" t="s">
        <v>1869</v>
      </c>
      <c r="B50" t="s">
        <v>43</v>
      </c>
      <c r="C50" t="s">
        <v>268</v>
      </c>
      <c r="D50" t="s">
        <v>1643</v>
      </c>
      <c r="E50" s="102">
        <v>5.7826388888888891</v>
      </c>
      <c r="F50" s="101">
        <v>359467</v>
      </c>
      <c r="G50" s="102">
        <v>0.54213545400789631</v>
      </c>
      <c r="H50" s="101">
        <v>100095.02739216291</v>
      </c>
      <c r="I50" s="101">
        <v>29844.501717252475</v>
      </c>
      <c r="J50" s="101" t="s">
        <v>1868</v>
      </c>
      <c r="K50" t="str">
        <f>VLOOKUP(Historic_BCast_BASE[[#This Row],[Broadcast Market]],Continent_Look_Up[],2,FALSE)</f>
        <v>Europe</v>
      </c>
      <c r="L50" t="str">
        <f>IF(OR(Historic_BCast_BASE[[#This Row],[Broadcast Continent]]="Digital",Historic_BCast_BASE[[#This Row],[Programme Type]]="Digital"),"Y","N")</f>
        <v>N</v>
      </c>
      <c r="M50" s="4" t="str">
        <f>IF(ISNUMBER(SEARCH("Pan ",Historic_BCast_BASE[[#This Row],[Broadcast Market]]))=TRUE,"Y","N")</f>
        <v>N</v>
      </c>
      <c r="N50" t="str">
        <f>VLOOKUP(CONCATENATE(Historic_BCast_BASE[[#This Row],[Broadcast Market]],Historic_BCast_BASE[[#This Row],[Broadcaster]]),Table1[[CC]:[Pay TV vs. Free-to-Air]],3,FALSE)</f>
        <v>Pay TV</v>
      </c>
      <c r="O50" s="1">
        <f>VLOOKUP(CONCATENATE(Historic_BCast_BASE[[#This Row],[Broadcast Market]],Historic_BCast_BASE[[#This Row],[Broadcaster]]),Table1[[CC]:[Pay TV vs. Free-to-Air]],2,FALSE)</f>
        <v>1098000</v>
      </c>
      <c r="P50" s="57">
        <f>Historic_BCast_BASE[[#This Row],[Rolex EXP]]*86400</f>
        <v>46840.503226282242</v>
      </c>
      <c r="Q50" s="73" t="str">
        <f>IF(Historic_BCast_BASE[[#This Row],[Dashboard Rated?]]="No","N","Y")</f>
        <v>Y</v>
      </c>
      <c r="R50" s="81"/>
      <c r="S50" s="81"/>
    </row>
    <row r="51" spans="1:19" x14ac:dyDescent="0.25">
      <c r="A51" s="72" t="s">
        <v>1869</v>
      </c>
      <c r="B51" t="s">
        <v>43</v>
      </c>
      <c r="C51" t="s">
        <v>268</v>
      </c>
      <c r="D51" t="s">
        <v>1644</v>
      </c>
      <c r="E51" s="102">
        <v>1.2158564814814814</v>
      </c>
      <c r="F51" s="101">
        <v>35883</v>
      </c>
      <c r="G51" s="102">
        <v>8.5495900114466061E-2</v>
      </c>
      <c r="H51" s="101">
        <v>4099.2293700523733</v>
      </c>
      <c r="I51" s="101">
        <v>1245.064772465797</v>
      </c>
      <c r="J51" s="101" t="s">
        <v>1868</v>
      </c>
      <c r="K51" t="str">
        <f>VLOOKUP(Historic_BCast_BASE[[#This Row],[Broadcast Market]],Continent_Look_Up[],2,FALSE)</f>
        <v>Europe</v>
      </c>
      <c r="L51" t="str">
        <f>IF(OR(Historic_BCast_BASE[[#This Row],[Broadcast Continent]]="Digital",Historic_BCast_BASE[[#This Row],[Programme Type]]="Digital"),"Y","N")</f>
        <v>N</v>
      </c>
      <c r="M51" s="4" t="str">
        <f>IF(ISNUMBER(SEARCH("Pan ",Historic_BCast_BASE[[#This Row],[Broadcast Market]]))=TRUE,"Y","N")</f>
        <v>N</v>
      </c>
      <c r="N51" t="str">
        <f>VLOOKUP(CONCATENATE(Historic_BCast_BASE[[#This Row],[Broadcast Market]],Historic_BCast_BASE[[#This Row],[Broadcaster]]),Table1[[CC]:[Pay TV vs. Free-to-Air]],3,FALSE)</f>
        <v>Pay TV</v>
      </c>
      <c r="O51" s="1">
        <f>VLOOKUP(CONCATENATE(Historic_BCast_BASE[[#This Row],[Broadcast Market]],Historic_BCast_BASE[[#This Row],[Broadcaster]]),Table1[[CC]:[Pay TV vs. Free-to-Air]],2,FALSE)</f>
        <v>1098000</v>
      </c>
      <c r="P51" s="57">
        <f>Historic_BCast_BASE[[#This Row],[Rolex EXP]]*86400</f>
        <v>7386.8457698898674</v>
      </c>
      <c r="Q51" s="73" t="str">
        <f>IF(Historic_BCast_BASE[[#This Row],[Dashboard Rated?]]="No","N","Y")</f>
        <v>Y</v>
      </c>
      <c r="R51" s="81"/>
      <c r="S51" s="81"/>
    </row>
    <row r="52" spans="1:19" x14ac:dyDescent="0.25">
      <c r="A52" s="72" t="s">
        <v>1869</v>
      </c>
      <c r="B52" t="s">
        <v>43</v>
      </c>
      <c r="C52" t="s">
        <v>269</v>
      </c>
      <c r="D52" t="s">
        <v>1642</v>
      </c>
      <c r="E52" s="102">
        <v>1.1555555555555557</v>
      </c>
      <c r="F52" s="101">
        <v>51448</v>
      </c>
      <c r="G52" s="102">
        <v>0.11839960800836975</v>
      </c>
      <c r="H52" s="101">
        <v>4374.6738450735647</v>
      </c>
      <c r="I52" s="101">
        <v>1347.1969617975933</v>
      </c>
      <c r="J52" s="101" t="s">
        <v>1867</v>
      </c>
      <c r="K52" t="str">
        <f>VLOOKUP(Historic_BCast_BASE[[#This Row],[Broadcast Market]],Continent_Look_Up[],2,FALSE)</f>
        <v>Europe</v>
      </c>
      <c r="L52" t="str">
        <f>IF(OR(Historic_BCast_BASE[[#This Row],[Broadcast Continent]]="Digital",Historic_BCast_BASE[[#This Row],[Programme Type]]="Digital"),"Y","N")</f>
        <v>N</v>
      </c>
      <c r="M52" s="4" t="str">
        <f>IF(ISNUMBER(SEARCH("Pan ",Historic_BCast_BASE[[#This Row],[Broadcast Market]]))=TRUE,"Y","N")</f>
        <v>N</v>
      </c>
      <c r="N52" t="str">
        <f>VLOOKUP(CONCATENATE(Historic_BCast_BASE[[#This Row],[Broadcast Market]],Historic_BCast_BASE[[#This Row],[Broadcaster]]),Table1[[CC]:[Pay TV vs. Free-to-Air]],3,FALSE)</f>
        <v>Pay TV</v>
      </c>
      <c r="O52" s="1">
        <f>VLOOKUP(CONCATENATE(Historic_BCast_BASE[[#This Row],[Broadcast Market]],Historic_BCast_BASE[[#This Row],[Broadcaster]]),Table1[[CC]:[Pay TV vs. Free-to-Air]],2,FALSE)</f>
        <v>888000</v>
      </c>
      <c r="P52" s="57">
        <f>Historic_BCast_BASE[[#This Row],[Rolex EXP]]*86400</f>
        <v>10229.726131923147</v>
      </c>
      <c r="Q52" s="73" t="str">
        <f>IF(Historic_BCast_BASE[[#This Row],[Dashboard Rated?]]="No","N","Y")</f>
        <v>N</v>
      </c>
      <c r="R52" s="81"/>
      <c r="S52" s="81"/>
    </row>
    <row r="53" spans="1:19" x14ac:dyDescent="0.25">
      <c r="A53" s="72" t="s">
        <v>1869</v>
      </c>
      <c r="B53" t="s">
        <v>43</v>
      </c>
      <c r="C53" t="s">
        <v>269</v>
      </c>
      <c r="D53" t="s">
        <v>1643</v>
      </c>
      <c r="E53" s="102">
        <v>2.9608333333333334</v>
      </c>
      <c r="F53" s="101">
        <v>172158</v>
      </c>
      <c r="G53" s="102">
        <v>0.34654565009975324</v>
      </c>
      <c r="H53" s="101">
        <v>37187.85422408834</v>
      </c>
      <c r="I53" s="101">
        <v>10764.039618323477</v>
      </c>
      <c r="J53" s="101" t="s">
        <v>1867</v>
      </c>
      <c r="K53" t="str">
        <f>VLOOKUP(Historic_BCast_BASE[[#This Row],[Broadcast Market]],Continent_Look_Up[],2,FALSE)</f>
        <v>Europe</v>
      </c>
      <c r="L53" t="str">
        <f>IF(OR(Historic_BCast_BASE[[#This Row],[Broadcast Continent]]="Digital",Historic_BCast_BASE[[#This Row],[Programme Type]]="Digital"),"Y","N")</f>
        <v>N</v>
      </c>
      <c r="M53" s="4" t="str">
        <f>IF(ISNUMBER(SEARCH("Pan ",Historic_BCast_BASE[[#This Row],[Broadcast Market]]))=TRUE,"Y","N")</f>
        <v>N</v>
      </c>
      <c r="N53" t="str">
        <f>VLOOKUP(CONCATENATE(Historic_BCast_BASE[[#This Row],[Broadcast Market]],Historic_BCast_BASE[[#This Row],[Broadcaster]]),Table1[[CC]:[Pay TV vs. Free-to-Air]],3,FALSE)</f>
        <v>Pay TV</v>
      </c>
      <c r="O53" s="1">
        <f>VLOOKUP(CONCATENATE(Historic_BCast_BASE[[#This Row],[Broadcast Market]],Historic_BCast_BASE[[#This Row],[Broadcaster]]),Table1[[CC]:[Pay TV vs. Free-to-Air]],2,FALSE)</f>
        <v>888000</v>
      </c>
      <c r="P53" s="57">
        <f>Historic_BCast_BASE[[#This Row],[Rolex EXP]]*86400</f>
        <v>29941.544168618679</v>
      </c>
      <c r="Q53" s="73" t="str">
        <f>IF(Historic_BCast_BASE[[#This Row],[Dashboard Rated?]]="No","N","Y")</f>
        <v>N</v>
      </c>
      <c r="R53" s="81"/>
      <c r="S53" s="81"/>
    </row>
    <row r="54" spans="1:19" x14ac:dyDescent="0.25">
      <c r="A54" s="72" t="s">
        <v>1869</v>
      </c>
      <c r="B54" t="s">
        <v>43</v>
      </c>
      <c r="C54" t="s">
        <v>269</v>
      </c>
      <c r="D54" t="s">
        <v>1644</v>
      </c>
      <c r="E54" s="102">
        <v>2.5350925925925925</v>
      </c>
      <c r="F54" s="101">
        <v>63046</v>
      </c>
      <c r="G54" s="102">
        <v>0.23658934051131941</v>
      </c>
      <c r="H54" s="101">
        <v>9919.9775253477655</v>
      </c>
      <c r="I54" s="101">
        <v>2927.0551879145846</v>
      </c>
      <c r="J54" s="101" t="s">
        <v>1867</v>
      </c>
      <c r="K54" t="str">
        <f>VLOOKUP(Historic_BCast_BASE[[#This Row],[Broadcast Market]],Continent_Look_Up[],2,FALSE)</f>
        <v>Europe</v>
      </c>
      <c r="L54" t="str">
        <f>IF(OR(Historic_BCast_BASE[[#This Row],[Broadcast Continent]]="Digital",Historic_BCast_BASE[[#This Row],[Programme Type]]="Digital"),"Y","N")</f>
        <v>N</v>
      </c>
      <c r="M54" s="4" t="str">
        <f>IF(ISNUMBER(SEARCH("Pan ",Historic_BCast_BASE[[#This Row],[Broadcast Market]]))=TRUE,"Y","N")</f>
        <v>N</v>
      </c>
      <c r="N54" t="str">
        <f>VLOOKUP(CONCATENATE(Historic_BCast_BASE[[#This Row],[Broadcast Market]],Historic_BCast_BASE[[#This Row],[Broadcaster]]),Table1[[CC]:[Pay TV vs. Free-to-Air]],3,FALSE)</f>
        <v>Pay TV</v>
      </c>
      <c r="O54" s="1">
        <f>VLOOKUP(CONCATENATE(Historic_BCast_BASE[[#This Row],[Broadcast Market]],Historic_BCast_BASE[[#This Row],[Broadcaster]]),Table1[[CC]:[Pay TV vs. Free-to-Air]],2,FALSE)</f>
        <v>888000</v>
      </c>
      <c r="P54" s="57">
        <f>Historic_BCast_BASE[[#This Row],[Rolex EXP]]*86400</f>
        <v>20441.319020177998</v>
      </c>
      <c r="Q54" s="73" t="str">
        <f>IF(Historic_BCast_BASE[[#This Row],[Dashboard Rated?]]="No","N","Y")</f>
        <v>N</v>
      </c>
      <c r="R54" s="81"/>
      <c r="S54" s="81"/>
    </row>
    <row r="55" spans="1:19" x14ac:dyDescent="0.25">
      <c r="A55" s="72" t="s">
        <v>1869</v>
      </c>
      <c r="B55" t="s">
        <v>44</v>
      </c>
      <c r="C55" t="s">
        <v>268</v>
      </c>
      <c r="D55" t="s">
        <v>1642</v>
      </c>
      <c r="E55" s="102">
        <v>0.38715277777777773</v>
      </c>
      <c r="F55" s="101">
        <v>300</v>
      </c>
      <c r="G55" s="102">
        <v>3.6989002172733633E-2</v>
      </c>
      <c r="H55" s="101">
        <v>57.745599164864693</v>
      </c>
      <c r="I55" s="101">
        <v>16.589227818647572</v>
      </c>
      <c r="J55" s="101" t="s">
        <v>1868</v>
      </c>
      <c r="K55" t="str">
        <f>VLOOKUP(Historic_BCast_BASE[[#This Row],[Broadcast Market]],Continent_Look_Up[],2,FALSE)</f>
        <v>Europe</v>
      </c>
      <c r="L55" t="str">
        <f>IF(OR(Historic_BCast_BASE[[#This Row],[Broadcast Continent]]="Digital",Historic_BCast_BASE[[#This Row],[Programme Type]]="Digital"),"Y","N")</f>
        <v>N</v>
      </c>
      <c r="M55" s="4" t="str">
        <f>IF(ISNUMBER(SEARCH("Pan ",Historic_BCast_BASE[[#This Row],[Broadcast Market]]))=TRUE,"Y","N")</f>
        <v>N</v>
      </c>
      <c r="N55" t="str">
        <f>VLOOKUP(CONCATENATE(Historic_BCast_BASE[[#This Row],[Broadcast Market]],Historic_BCast_BASE[[#This Row],[Broadcaster]]),Table1[[CC]:[Pay TV vs. Free-to-Air]],3,FALSE)</f>
        <v>Pay TV</v>
      </c>
      <c r="O55" s="1">
        <f>VLOOKUP(CONCATENATE(Historic_BCast_BASE[[#This Row],[Broadcast Market]],Historic_BCast_BASE[[#This Row],[Broadcaster]]),Table1[[CC]:[Pay TV vs. Free-to-Air]],2,FALSE)</f>
        <v>1156000</v>
      </c>
      <c r="P55" s="57">
        <f>Historic_BCast_BASE[[#This Row],[Rolex EXP]]*86400</f>
        <v>3195.8497877241857</v>
      </c>
      <c r="Q55" s="73" t="str">
        <f>IF(Historic_BCast_BASE[[#This Row],[Dashboard Rated?]]="No","N","Y")</f>
        <v>Y</v>
      </c>
      <c r="R55" s="81"/>
      <c r="S55" s="81"/>
    </row>
    <row r="56" spans="1:19" x14ac:dyDescent="0.25">
      <c r="A56" s="72" t="s">
        <v>1869</v>
      </c>
      <c r="B56" t="s">
        <v>44</v>
      </c>
      <c r="C56" t="s">
        <v>268</v>
      </c>
      <c r="D56" t="s">
        <v>1643</v>
      </c>
      <c r="E56" s="102">
        <v>4.4212037037037044</v>
      </c>
      <c r="F56" s="101">
        <v>245455</v>
      </c>
      <c r="G56" s="102">
        <v>0.40777913336932342</v>
      </c>
      <c r="H56" s="101">
        <v>36256.889266387996</v>
      </c>
      <c r="I56" s="101">
        <v>10693.185519157576</v>
      </c>
      <c r="J56" s="101" t="s">
        <v>1868</v>
      </c>
      <c r="K56" t="str">
        <f>VLOOKUP(Historic_BCast_BASE[[#This Row],[Broadcast Market]],Continent_Look_Up[],2,FALSE)</f>
        <v>Europe</v>
      </c>
      <c r="L56" t="str">
        <f>IF(OR(Historic_BCast_BASE[[#This Row],[Broadcast Continent]]="Digital",Historic_BCast_BASE[[#This Row],[Programme Type]]="Digital"),"Y","N")</f>
        <v>N</v>
      </c>
      <c r="M56" s="4" t="str">
        <f>IF(ISNUMBER(SEARCH("Pan ",Historic_BCast_BASE[[#This Row],[Broadcast Market]]))=TRUE,"Y","N")</f>
        <v>N</v>
      </c>
      <c r="N56" t="str">
        <f>VLOOKUP(CONCATENATE(Historic_BCast_BASE[[#This Row],[Broadcast Market]],Historic_BCast_BASE[[#This Row],[Broadcaster]]),Table1[[CC]:[Pay TV vs. Free-to-Air]],3,FALSE)</f>
        <v>Pay TV</v>
      </c>
      <c r="O56" s="1">
        <f>VLOOKUP(CONCATENATE(Historic_BCast_BASE[[#This Row],[Broadcast Market]],Historic_BCast_BASE[[#This Row],[Broadcaster]]),Table1[[CC]:[Pay TV vs. Free-to-Air]],2,FALSE)</f>
        <v>1156000</v>
      </c>
      <c r="P56" s="57">
        <f>Historic_BCast_BASE[[#This Row],[Rolex EXP]]*86400</f>
        <v>35232.117123109543</v>
      </c>
      <c r="Q56" s="73" t="str">
        <f>IF(Historic_BCast_BASE[[#This Row],[Dashboard Rated?]]="No","N","Y")</f>
        <v>Y</v>
      </c>
      <c r="R56" s="81"/>
      <c r="S56" s="81"/>
    </row>
    <row r="57" spans="1:19" x14ac:dyDescent="0.25">
      <c r="A57" s="72" t="s">
        <v>1869</v>
      </c>
      <c r="B57" t="s">
        <v>44</v>
      </c>
      <c r="C57" t="s">
        <v>268</v>
      </c>
      <c r="D57" t="s">
        <v>1644</v>
      </c>
      <c r="E57" s="102">
        <v>0.28082175925925928</v>
      </c>
      <c r="F57" s="101">
        <v>2100</v>
      </c>
      <c r="G57" s="102">
        <v>2.683001972248239E-2</v>
      </c>
      <c r="H57" s="101">
        <v>802.49544499782792</v>
      </c>
      <c r="I57" s="101">
        <v>230.54189328762027</v>
      </c>
      <c r="J57" s="101" t="s">
        <v>1868</v>
      </c>
      <c r="K57" t="str">
        <f>VLOOKUP(Historic_BCast_BASE[[#This Row],[Broadcast Market]],Continent_Look_Up[],2,FALSE)</f>
        <v>Europe</v>
      </c>
      <c r="L57" t="str">
        <f>IF(OR(Historic_BCast_BASE[[#This Row],[Broadcast Continent]]="Digital",Historic_BCast_BASE[[#This Row],[Programme Type]]="Digital"),"Y","N")</f>
        <v>N</v>
      </c>
      <c r="M57" s="4" t="str">
        <f>IF(ISNUMBER(SEARCH("Pan ",Historic_BCast_BASE[[#This Row],[Broadcast Market]]))=TRUE,"Y","N")</f>
        <v>N</v>
      </c>
      <c r="N57" t="str">
        <f>VLOOKUP(CONCATENATE(Historic_BCast_BASE[[#This Row],[Broadcast Market]],Historic_BCast_BASE[[#This Row],[Broadcaster]]),Table1[[CC]:[Pay TV vs. Free-to-Air]],3,FALSE)</f>
        <v>Pay TV</v>
      </c>
      <c r="O57" s="1">
        <f>VLOOKUP(CONCATENATE(Historic_BCast_BASE[[#This Row],[Broadcast Market]],Historic_BCast_BASE[[#This Row],[Broadcaster]]),Table1[[CC]:[Pay TV vs. Free-to-Air]],2,FALSE)</f>
        <v>1156000</v>
      </c>
      <c r="P57" s="57">
        <f>Historic_BCast_BASE[[#This Row],[Rolex EXP]]*86400</f>
        <v>2318.1137040224785</v>
      </c>
      <c r="Q57" s="73" t="str">
        <f>IF(Historic_BCast_BASE[[#This Row],[Dashboard Rated?]]="No","N","Y")</f>
        <v>Y</v>
      </c>
      <c r="R57" s="81"/>
      <c r="S57" s="81"/>
    </row>
    <row r="58" spans="1:19" x14ac:dyDescent="0.25">
      <c r="A58" s="72" t="s">
        <v>1869</v>
      </c>
      <c r="B58" t="s">
        <v>44</v>
      </c>
      <c r="C58" t="s">
        <v>269</v>
      </c>
      <c r="D58" t="s">
        <v>1643</v>
      </c>
      <c r="E58" s="102">
        <v>3.4828703703703705</v>
      </c>
      <c r="F58" s="101">
        <v>130300</v>
      </c>
      <c r="G58" s="102">
        <v>0.34988038365246493</v>
      </c>
      <c r="H58" s="101">
        <v>29005.963931333055</v>
      </c>
      <c r="I58" s="101">
        <v>8392.0065358496213</v>
      </c>
      <c r="J58" s="101" t="s">
        <v>1868</v>
      </c>
      <c r="K58" t="str">
        <f>VLOOKUP(Historic_BCast_BASE[[#This Row],[Broadcast Market]],Continent_Look_Up[],2,FALSE)</f>
        <v>Europe</v>
      </c>
      <c r="L58" t="str">
        <f>IF(OR(Historic_BCast_BASE[[#This Row],[Broadcast Continent]]="Digital",Historic_BCast_BASE[[#This Row],[Programme Type]]="Digital"),"Y","N")</f>
        <v>N</v>
      </c>
      <c r="M58" s="4" t="str">
        <f>IF(ISNUMBER(SEARCH("Pan ",Historic_BCast_BASE[[#This Row],[Broadcast Market]]))=TRUE,"Y","N")</f>
        <v>N</v>
      </c>
      <c r="N58" t="str">
        <f>VLOOKUP(CONCATENATE(Historic_BCast_BASE[[#This Row],[Broadcast Market]],Historic_BCast_BASE[[#This Row],[Broadcaster]]),Table1[[CC]:[Pay TV vs. Free-to-Air]],3,FALSE)</f>
        <v>Pay TV</v>
      </c>
      <c r="O58" s="1">
        <f>VLOOKUP(CONCATENATE(Historic_BCast_BASE[[#This Row],[Broadcast Market]],Historic_BCast_BASE[[#This Row],[Broadcaster]]),Table1[[CC]:[Pay TV vs. Free-to-Air]],2,FALSE)</f>
        <v>1156000</v>
      </c>
      <c r="P58" s="57">
        <f>Historic_BCast_BASE[[#This Row],[Rolex EXP]]*86400</f>
        <v>30229.66514757297</v>
      </c>
      <c r="Q58" s="73" t="str">
        <f>IF(Historic_BCast_BASE[[#This Row],[Dashboard Rated?]]="No","N","Y")</f>
        <v>Y</v>
      </c>
      <c r="R58" s="81"/>
      <c r="S58" s="81"/>
    </row>
    <row r="59" spans="1:19" x14ac:dyDescent="0.25">
      <c r="A59" s="72" t="s">
        <v>1869</v>
      </c>
      <c r="B59" t="s">
        <v>44</v>
      </c>
      <c r="C59" t="s">
        <v>269</v>
      </c>
      <c r="D59" t="s">
        <v>1644</v>
      </c>
      <c r="E59" s="102">
        <v>0.72511574074074081</v>
      </c>
      <c r="F59" s="101">
        <v>2300</v>
      </c>
      <c r="G59" s="102">
        <v>6.9278355339962988E-2</v>
      </c>
      <c r="H59" s="101">
        <v>901.45127752896099</v>
      </c>
      <c r="I59" s="101">
        <v>258.97004839526937</v>
      </c>
      <c r="J59" s="101" t="s">
        <v>1868</v>
      </c>
      <c r="K59" t="str">
        <f>VLOOKUP(Historic_BCast_BASE[[#This Row],[Broadcast Market]],Continent_Look_Up[],2,FALSE)</f>
        <v>Europe</v>
      </c>
      <c r="L59" t="str">
        <f>IF(OR(Historic_BCast_BASE[[#This Row],[Broadcast Continent]]="Digital",Historic_BCast_BASE[[#This Row],[Programme Type]]="Digital"),"Y","N")</f>
        <v>N</v>
      </c>
      <c r="M59" s="4" t="str">
        <f>IF(ISNUMBER(SEARCH("Pan ",Historic_BCast_BASE[[#This Row],[Broadcast Market]]))=TRUE,"Y","N")</f>
        <v>N</v>
      </c>
      <c r="N59" t="str">
        <f>VLOOKUP(CONCATENATE(Historic_BCast_BASE[[#This Row],[Broadcast Market]],Historic_BCast_BASE[[#This Row],[Broadcaster]]),Table1[[CC]:[Pay TV vs. Free-to-Air]],3,FALSE)</f>
        <v>Pay TV</v>
      </c>
      <c r="O59" s="1">
        <f>VLOOKUP(CONCATENATE(Historic_BCast_BASE[[#This Row],[Broadcast Market]],Historic_BCast_BASE[[#This Row],[Broadcaster]]),Table1[[CC]:[Pay TV vs. Free-to-Air]],2,FALSE)</f>
        <v>1156000</v>
      </c>
      <c r="P59" s="51">
        <f>Historic_BCast_BASE[[#This Row],[Rolex EXP]]*86400</f>
        <v>5985.6499013728026</v>
      </c>
      <c r="Q59" s="73" t="str">
        <f>IF(Historic_BCast_BASE[[#This Row],[Dashboard Rated?]]="No","N","Y")</f>
        <v>Y</v>
      </c>
      <c r="R59" s="81"/>
      <c r="S59" s="81"/>
    </row>
    <row r="60" spans="1:19" x14ac:dyDescent="0.25">
      <c r="A60" s="72" t="s">
        <v>1869</v>
      </c>
      <c r="B60" t="s">
        <v>54</v>
      </c>
      <c r="C60" t="s">
        <v>268</v>
      </c>
      <c r="D60" t="s">
        <v>1642</v>
      </c>
      <c r="E60" s="102">
        <v>1.2777777777777779</v>
      </c>
      <c r="F60" s="101">
        <v>84973</v>
      </c>
      <c r="G60" s="102">
        <v>0.11208162809662504</v>
      </c>
      <c r="H60" s="101">
        <v>8142.8687434274289</v>
      </c>
      <c r="I60" s="101">
        <v>2387.7945901466642</v>
      </c>
      <c r="J60" s="101" t="s">
        <v>1867</v>
      </c>
      <c r="K60" t="str">
        <f>VLOOKUP(Historic_BCast_BASE[[#This Row],[Broadcast Market]],Continent_Look_Up[],2,FALSE)</f>
        <v>Europe</v>
      </c>
      <c r="L60" t="str">
        <f>IF(OR(Historic_BCast_BASE[[#This Row],[Broadcast Continent]]="Digital",Historic_BCast_BASE[[#This Row],[Programme Type]]="Digital"),"Y","N")</f>
        <v>N</v>
      </c>
      <c r="M60" s="4" t="str">
        <f>IF(ISNUMBER(SEARCH("Pan ",Historic_BCast_BASE[[#This Row],[Broadcast Market]]))=TRUE,"Y","N")</f>
        <v>N</v>
      </c>
      <c r="N60" t="str">
        <f>VLOOKUP(CONCATENATE(Historic_BCast_BASE[[#This Row],[Broadcast Market]],Historic_BCast_BASE[[#This Row],[Broadcaster]]),Table1[[CC]:[Pay TV vs. Free-to-Air]],3,FALSE)</f>
        <v>Pay TV</v>
      </c>
      <c r="O60" s="1">
        <f>VLOOKUP(CONCATENATE(Historic_BCast_BASE[[#This Row],[Broadcast Market]],Historic_BCast_BASE[[#This Row],[Broadcaster]]),Table1[[CC]:[Pay TV vs. Free-to-Air]],2,FALSE)</f>
        <v>7446000</v>
      </c>
      <c r="P60" s="57">
        <f>Historic_BCast_BASE[[#This Row],[Rolex EXP]]*86400</f>
        <v>9683.8526675484045</v>
      </c>
      <c r="Q60" s="73" t="str">
        <f>IF(Historic_BCast_BASE[[#This Row],[Dashboard Rated?]]="No","N","Y")</f>
        <v>N</v>
      </c>
      <c r="R60" s="81"/>
      <c r="S60" s="81"/>
    </row>
    <row r="61" spans="1:19" x14ac:dyDescent="0.25">
      <c r="A61" s="72" t="s">
        <v>1869</v>
      </c>
      <c r="B61" t="s">
        <v>54</v>
      </c>
      <c r="C61" t="s">
        <v>268</v>
      </c>
      <c r="D61" t="s">
        <v>1643</v>
      </c>
      <c r="E61" s="102">
        <v>6.166666666666667</v>
      </c>
      <c r="F61" s="101">
        <v>428574</v>
      </c>
      <c r="G61" s="102">
        <v>0.57144236945972204</v>
      </c>
      <c r="H61" s="101">
        <v>102875.16255425106</v>
      </c>
      <c r="I61" s="101">
        <v>30115.952741910543</v>
      </c>
      <c r="J61" s="101" t="s">
        <v>1867</v>
      </c>
      <c r="K61" t="str">
        <f>VLOOKUP(Historic_BCast_BASE[[#This Row],[Broadcast Market]],Continent_Look_Up[],2,FALSE)</f>
        <v>Europe</v>
      </c>
      <c r="L61" t="str">
        <f>IF(OR(Historic_BCast_BASE[[#This Row],[Broadcast Continent]]="Digital",Historic_BCast_BASE[[#This Row],[Programme Type]]="Digital"),"Y","N")</f>
        <v>N</v>
      </c>
      <c r="M61" s="4" t="str">
        <f>IF(ISNUMBER(SEARCH("Pan ",Historic_BCast_BASE[[#This Row],[Broadcast Market]]))=TRUE,"Y","N")</f>
        <v>N</v>
      </c>
      <c r="N61" t="str">
        <f>VLOOKUP(CONCATENATE(Historic_BCast_BASE[[#This Row],[Broadcast Market]],Historic_BCast_BASE[[#This Row],[Broadcaster]]),Table1[[CC]:[Pay TV vs. Free-to-Air]],3,FALSE)</f>
        <v>Pay TV</v>
      </c>
      <c r="O61" s="1">
        <f>VLOOKUP(CONCATENATE(Historic_BCast_BASE[[#This Row],[Broadcast Market]],Historic_BCast_BASE[[#This Row],[Broadcaster]]),Table1[[CC]:[Pay TV vs. Free-to-Air]],2,FALSE)</f>
        <v>7446000</v>
      </c>
      <c r="P61" s="57">
        <f>Historic_BCast_BASE[[#This Row],[Rolex EXP]]*86400</f>
        <v>49372.620721319981</v>
      </c>
      <c r="Q61" s="73" t="str">
        <f>IF(Historic_BCast_BASE[[#This Row],[Dashboard Rated?]]="No","N","Y")</f>
        <v>N</v>
      </c>
      <c r="R61" s="81"/>
      <c r="S61" s="81"/>
    </row>
    <row r="62" spans="1:19" x14ac:dyDescent="0.25">
      <c r="A62" s="72" t="s">
        <v>1869</v>
      </c>
      <c r="B62" t="s">
        <v>54</v>
      </c>
      <c r="C62" t="s">
        <v>268</v>
      </c>
      <c r="D62" t="s">
        <v>1644</v>
      </c>
      <c r="E62" s="102">
        <v>0.36805555555555558</v>
      </c>
      <c r="F62" s="101">
        <v>13506</v>
      </c>
      <c r="G62" s="102">
        <v>2.751772959070807E-2</v>
      </c>
      <c r="H62" s="101">
        <v>2076.6723984964792</v>
      </c>
      <c r="I62" s="101">
        <v>581.36069935877708</v>
      </c>
      <c r="J62" s="101" t="s">
        <v>1867</v>
      </c>
      <c r="K62" t="str">
        <f>VLOOKUP(Historic_BCast_BASE[[#This Row],[Broadcast Market]],Continent_Look_Up[],2,FALSE)</f>
        <v>Europe</v>
      </c>
      <c r="L62" t="str">
        <f>IF(OR(Historic_BCast_BASE[[#This Row],[Broadcast Continent]]="Digital",Historic_BCast_BASE[[#This Row],[Programme Type]]="Digital"),"Y","N")</f>
        <v>N</v>
      </c>
      <c r="M62" s="4" t="str">
        <f>IF(ISNUMBER(SEARCH("Pan ",Historic_BCast_BASE[[#This Row],[Broadcast Market]]))=TRUE,"Y","N")</f>
        <v>N</v>
      </c>
      <c r="N62" t="str">
        <f>VLOOKUP(CONCATENATE(Historic_BCast_BASE[[#This Row],[Broadcast Market]],Historic_BCast_BASE[[#This Row],[Broadcaster]]),Table1[[CC]:[Pay TV vs. Free-to-Air]],3,FALSE)</f>
        <v>Pay TV</v>
      </c>
      <c r="O62" s="1">
        <f>VLOOKUP(CONCATENATE(Historic_BCast_BASE[[#This Row],[Broadcast Market]],Historic_BCast_BASE[[#This Row],[Broadcaster]]),Table1[[CC]:[Pay TV vs. Free-to-Air]],2,FALSE)</f>
        <v>7446000</v>
      </c>
      <c r="P62" s="57">
        <f>Historic_BCast_BASE[[#This Row],[Rolex EXP]]*86400</f>
        <v>2377.5318366371771</v>
      </c>
      <c r="Q62" s="73" t="str">
        <f>IF(Historic_BCast_BASE[[#This Row],[Dashboard Rated?]]="No","N","Y")</f>
        <v>N</v>
      </c>
      <c r="R62" s="81"/>
      <c r="S62" s="81"/>
    </row>
    <row r="63" spans="1:19" x14ac:dyDescent="0.25">
      <c r="A63" s="72" t="s">
        <v>1869</v>
      </c>
      <c r="B63" t="s">
        <v>54</v>
      </c>
      <c r="C63" t="s">
        <v>269</v>
      </c>
      <c r="D63" t="s">
        <v>1642</v>
      </c>
      <c r="E63" s="102">
        <v>1.7430555555555556</v>
      </c>
      <c r="F63" s="101">
        <v>112060</v>
      </c>
      <c r="G63" s="102">
        <v>0.15840365607488668</v>
      </c>
      <c r="H63" s="101">
        <v>13350.835716002446</v>
      </c>
      <c r="I63" s="101">
        <v>3845.8387884163176</v>
      </c>
      <c r="J63" s="101" t="s">
        <v>1867</v>
      </c>
      <c r="K63" t="str">
        <f>VLOOKUP(Historic_BCast_BASE[[#This Row],[Broadcast Market]],Continent_Look_Up[],2,FALSE)</f>
        <v>Europe</v>
      </c>
      <c r="L63" t="str">
        <f>IF(OR(Historic_BCast_BASE[[#This Row],[Broadcast Continent]]="Digital",Historic_BCast_BASE[[#This Row],[Programme Type]]="Digital"),"Y","N")</f>
        <v>N</v>
      </c>
      <c r="M63" s="4" t="str">
        <f>IF(ISNUMBER(SEARCH("Pan ",Historic_BCast_BASE[[#This Row],[Broadcast Market]]))=TRUE,"Y","N")</f>
        <v>N</v>
      </c>
      <c r="N63" t="str">
        <f>VLOOKUP(CONCATENATE(Historic_BCast_BASE[[#This Row],[Broadcast Market]],Historic_BCast_BASE[[#This Row],[Broadcaster]]),Table1[[CC]:[Pay TV vs. Free-to-Air]],3,FALSE)</f>
        <v>Pay TV</v>
      </c>
      <c r="O63" s="1">
        <f>VLOOKUP(CONCATENATE(Historic_BCast_BASE[[#This Row],[Broadcast Market]],Historic_BCast_BASE[[#This Row],[Broadcaster]]),Table1[[CC]:[Pay TV vs. Free-to-Air]],2,FALSE)</f>
        <v>5286000</v>
      </c>
      <c r="P63" s="57">
        <f>Historic_BCast_BASE[[#This Row],[Rolex EXP]]*86400</f>
        <v>13686.07588487021</v>
      </c>
      <c r="Q63" s="73" t="str">
        <f>IF(Historic_BCast_BASE[[#This Row],[Dashboard Rated?]]="No","N","Y")</f>
        <v>N</v>
      </c>
      <c r="R63" s="81"/>
      <c r="S63" s="81"/>
    </row>
    <row r="64" spans="1:19" x14ac:dyDescent="0.25">
      <c r="A64" s="72" t="s">
        <v>1869</v>
      </c>
      <c r="B64" t="s">
        <v>54</v>
      </c>
      <c r="C64" t="s">
        <v>269</v>
      </c>
      <c r="D64" t="s">
        <v>1643</v>
      </c>
      <c r="E64" s="102">
        <v>4.3819444444444446</v>
      </c>
      <c r="F64" s="101">
        <v>396492</v>
      </c>
      <c r="G64" s="102">
        <v>0.41524289813017473</v>
      </c>
      <c r="H64" s="101">
        <v>100055.85865708522</v>
      </c>
      <c r="I64" s="101">
        <v>28760.673542241231</v>
      </c>
      <c r="J64" s="101" t="s">
        <v>1867</v>
      </c>
      <c r="K64" t="str">
        <f>VLOOKUP(Historic_BCast_BASE[[#This Row],[Broadcast Market]],Continent_Look_Up[],2,FALSE)</f>
        <v>Europe</v>
      </c>
      <c r="L64" t="str">
        <f>IF(OR(Historic_BCast_BASE[[#This Row],[Broadcast Continent]]="Digital",Historic_BCast_BASE[[#This Row],[Programme Type]]="Digital"),"Y","N")</f>
        <v>N</v>
      </c>
      <c r="M64" s="4" t="str">
        <f>IF(ISNUMBER(SEARCH("Pan ",Historic_BCast_BASE[[#This Row],[Broadcast Market]]))=TRUE,"Y","N")</f>
        <v>N</v>
      </c>
      <c r="N64" t="str">
        <f>VLOOKUP(CONCATENATE(Historic_BCast_BASE[[#This Row],[Broadcast Market]],Historic_BCast_BASE[[#This Row],[Broadcaster]]),Table1[[CC]:[Pay TV vs. Free-to-Air]],3,FALSE)</f>
        <v>Pay TV</v>
      </c>
      <c r="O64" s="1">
        <f>VLOOKUP(CONCATENATE(Historic_BCast_BASE[[#This Row],[Broadcast Market]],Historic_BCast_BASE[[#This Row],[Broadcaster]]),Table1[[CC]:[Pay TV vs. Free-to-Air]],2,FALSE)</f>
        <v>5286000</v>
      </c>
      <c r="P64" s="57">
        <f>Historic_BCast_BASE[[#This Row],[Rolex EXP]]*86400</f>
        <v>35876.986398447094</v>
      </c>
      <c r="Q64" s="73" t="str">
        <f>IF(Historic_BCast_BASE[[#This Row],[Dashboard Rated?]]="No","N","Y")</f>
        <v>N</v>
      </c>
      <c r="R64" s="81"/>
      <c r="S64" s="81"/>
    </row>
    <row r="65" spans="1:19" x14ac:dyDescent="0.25">
      <c r="A65" s="72" t="s">
        <v>1869</v>
      </c>
      <c r="B65" t="s">
        <v>54</v>
      </c>
      <c r="C65" t="s">
        <v>269</v>
      </c>
      <c r="D65" t="s">
        <v>1644</v>
      </c>
      <c r="E65" s="102">
        <v>1.0666666666666667</v>
      </c>
      <c r="F65" s="101">
        <v>54986</v>
      </c>
      <c r="G65" s="102">
        <v>9.0923886748734375E-2</v>
      </c>
      <c r="H65" s="101">
        <v>8821.7839226892957</v>
      </c>
      <c r="I65" s="101">
        <v>2520.0275327221971</v>
      </c>
      <c r="J65" s="101" t="s">
        <v>1867</v>
      </c>
      <c r="K65" t="str">
        <f>VLOOKUP(Historic_BCast_BASE[[#This Row],[Broadcast Market]],Continent_Look_Up[],2,FALSE)</f>
        <v>Europe</v>
      </c>
      <c r="L65" t="str">
        <f>IF(OR(Historic_BCast_BASE[[#This Row],[Broadcast Continent]]="Digital",Historic_BCast_BASE[[#This Row],[Programme Type]]="Digital"),"Y","N")</f>
        <v>N</v>
      </c>
      <c r="M65" s="4" t="str">
        <f>IF(ISNUMBER(SEARCH("Pan ",Historic_BCast_BASE[[#This Row],[Broadcast Market]]))=TRUE,"Y","N")</f>
        <v>N</v>
      </c>
      <c r="N65" t="str">
        <f>VLOOKUP(CONCATENATE(Historic_BCast_BASE[[#This Row],[Broadcast Market]],Historic_BCast_BASE[[#This Row],[Broadcaster]]),Table1[[CC]:[Pay TV vs. Free-to-Air]],3,FALSE)</f>
        <v>Pay TV</v>
      </c>
      <c r="O65" s="1">
        <f>VLOOKUP(CONCATENATE(Historic_BCast_BASE[[#This Row],[Broadcast Market]],Historic_BCast_BASE[[#This Row],[Broadcaster]]),Table1[[CC]:[Pay TV vs. Free-to-Air]],2,FALSE)</f>
        <v>5286000</v>
      </c>
      <c r="P65" s="51">
        <f>Historic_BCast_BASE[[#This Row],[Rolex EXP]]*86400</f>
        <v>7855.82381509065</v>
      </c>
      <c r="Q65" s="73" t="str">
        <f>IF(Historic_BCast_BASE[[#This Row],[Dashboard Rated?]]="No","N","Y")</f>
        <v>N</v>
      </c>
      <c r="R65" s="81"/>
      <c r="S65" s="81"/>
    </row>
    <row r="66" spans="1:19" x14ac:dyDescent="0.25">
      <c r="A66" s="72" t="s">
        <v>1869</v>
      </c>
      <c r="B66" t="s">
        <v>56</v>
      </c>
      <c r="C66" t="s">
        <v>221</v>
      </c>
      <c r="D66" t="s">
        <v>1642</v>
      </c>
      <c r="E66" s="102">
        <v>2.0504976851851855</v>
      </c>
      <c r="F66" s="101">
        <v>5727500</v>
      </c>
      <c r="G66" s="102">
        <v>0.19191589499637898</v>
      </c>
      <c r="H66" s="101">
        <v>493619.41316609923</v>
      </c>
      <c r="I66" s="101">
        <v>144480.86991196539</v>
      </c>
      <c r="J66" s="101" t="s">
        <v>1868</v>
      </c>
      <c r="K66" t="str">
        <f>VLOOKUP(Historic_BCast_BASE[[#This Row],[Broadcast Market]],Continent_Look_Up[],2,FALSE)</f>
        <v>Europe</v>
      </c>
      <c r="L66" t="str">
        <f>IF(OR(Historic_BCast_BASE[[#This Row],[Broadcast Continent]]="Digital",Historic_BCast_BASE[[#This Row],[Programme Type]]="Digital"),"Y","N")</f>
        <v>N</v>
      </c>
      <c r="M66" s="4" t="str">
        <f>IF(ISNUMBER(SEARCH("Pan ",Historic_BCast_BASE[[#This Row],[Broadcast Market]]))=TRUE,"Y","N")</f>
        <v>N</v>
      </c>
      <c r="N66" t="str">
        <f>VLOOKUP(CONCATENATE(Historic_BCast_BASE[[#This Row],[Broadcast Market]],Historic_BCast_BASE[[#This Row],[Broadcaster]]),Table1[[CC]:[Pay TV vs. Free-to-Air]],3,FALSE)</f>
        <v>Free-to-Air</v>
      </c>
      <c r="O66" s="1">
        <f>VLOOKUP(CONCATENATE(Historic_BCast_BASE[[#This Row],[Broadcast Market]],Historic_BCast_BASE[[#This Row],[Broadcaster]]),Table1[[CC]:[Pay TV vs. Free-to-Air]],2,FALSE)</f>
        <v>33338000</v>
      </c>
      <c r="P66" s="57">
        <f>Historic_BCast_BASE[[#This Row],[Rolex EXP]]*86400</f>
        <v>16581.533327687142</v>
      </c>
      <c r="Q66" s="73" t="str">
        <f>IF(Historic_BCast_BASE[[#This Row],[Dashboard Rated?]]="No","N","Y")</f>
        <v>Y</v>
      </c>
      <c r="R66" s="81"/>
      <c r="S66" s="81"/>
    </row>
    <row r="67" spans="1:19" x14ac:dyDescent="0.25">
      <c r="A67" s="72" t="s">
        <v>1869</v>
      </c>
      <c r="B67" t="s">
        <v>56</v>
      </c>
      <c r="C67" t="s">
        <v>221</v>
      </c>
      <c r="D67" t="s">
        <v>1643</v>
      </c>
      <c r="E67" s="102">
        <v>5.1735185185185184</v>
      </c>
      <c r="F67" s="101">
        <v>9237925</v>
      </c>
      <c r="G67" s="102">
        <v>0.49315911155091913</v>
      </c>
      <c r="H67" s="101">
        <v>3321998.8808372486</v>
      </c>
      <c r="I67" s="101">
        <v>1009488.9712186222</v>
      </c>
      <c r="J67" s="101" t="s">
        <v>1868</v>
      </c>
      <c r="K67" t="str">
        <f>VLOOKUP(Historic_BCast_BASE[[#This Row],[Broadcast Market]],Continent_Look_Up[],2,FALSE)</f>
        <v>Europe</v>
      </c>
      <c r="L67" t="str">
        <f>IF(OR(Historic_BCast_BASE[[#This Row],[Broadcast Continent]]="Digital",Historic_BCast_BASE[[#This Row],[Programme Type]]="Digital"),"Y","N")</f>
        <v>N</v>
      </c>
      <c r="M67" s="4" t="str">
        <f>IF(ISNUMBER(SEARCH("Pan ",Historic_BCast_BASE[[#This Row],[Broadcast Market]]))=TRUE,"Y","N")</f>
        <v>N</v>
      </c>
      <c r="N67" t="str">
        <f>VLOOKUP(CONCATENATE(Historic_BCast_BASE[[#This Row],[Broadcast Market]],Historic_BCast_BASE[[#This Row],[Broadcaster]]),Table1[[CC]:[Pay TV vs. Free-to-Air]],3,FALSE)</f>
        <v>Free-to-Air</v>
      </c>
      <c r="O67" s="1">
        <f>VLOOKUP(CONCATENATE(Historic_BCast_BASE[[#This Row],[Broadcast Market]],Historic_BCast_BASE[[#This Row],[Broadcaster]]),Table1[[CC]:[Pay TV vs. Free-to-Air]],2,FALSE)</f>
        <v>33338000</v>
      </c>
      <c r="P67" s="51">
        <f>Historic_BCast_BASE[[#This Row],[Rolex EXP]]*86400</f>
        <v>42608.947237999411</v>
      </c>
      <c r="Q67" s="73" t="str">
        <f>IF(Historic_BCast_BASE[[#This Row],[Dashboard Rated?]]="No","N","Y")</f>
        <v>Y</v>
      </c>
      <c r="R67" s="81"/>
      <c r="S67" s="81"/>
    </row>
    <row r="68" spans="1:19" x14ac:dyDescent="0.25">
      <c r="A68" s="72" t="s">
        <v>1869</v>
      </c>
      <c r="B68" t="s">
        <v>56</v>
      </c>
      <c r="C68" t="s">
        <v>221</v>
      </c>
      <c r="D68" t="s">
        <v>1644</v>
      </c>
      <c r="E68" s="102">
        <v>1.0440856481481482</v>
      </c>
      <c r="F68" s="101">
        <v>501776</v>
      </c>
      <c r="G68" s="102">
        <v>7.3281004260454363E-2</v>
      </c>
      <c r="H68" s="101">
        <v>103254.57659439032</v>
      </c>
      <c r="I68" s="101">
        <v>31022.215723468638</v>
      </c>
      <c r="J68" s="101" t="s">
        <v>1868</v>
      </c>
      <c r="K68" t="str">
        <f>VLOOKUP(Historic_BCast_BASE[[#This Row],[Broadcast Market]],Continent_Look_Up[],2,FALSE)</f>
        <v>Europe</v>
      </c>
      <c r="L68" t="str">
        <f>IF(OR(Historic_BCast_BASE[[#This Row],[Broadcast Continent]]="Digital",Historic_BCast_BASE[[#This Row],[Programme Type]]="Digital"),"Y","N")</f>
        <v>N</v>
      </c>
      <c r="M68" s="4" t="str">
        <f>IF(ISNUMBER(SEARCH("Pan ",Historic_BCast_BASE[[#This Row],[Broadcast Market]]))=TRUE,"Y","N")</f>
        <v>N</v>
      </c>
      <c r="N68" t="str">
        <f>VLOOKUP(CONCATENATE(Historic_BCast_BASE[[#This Row],[Broadcast Market]],Historic_BCast_BASE[[#This Row],[Broadcaster]]),Table1[[CC]:[Pay TV vs. Free-to-Air]],3,FALSE)</f>
        <v>Free-to-Air</v>
      </c>
      <c r="O68" s="1">
        <f>VLOOKUP(CONCATENATE(Historic_BCast_BASE[[#This Row],[Broadcast Market]],Historic_BCast_BASE[[#This Row],[Broadcaster]]),Table1[[CC]:[Pay TV vs. Free-to-Air]],2,FALSE)</f>
        <v>33338000</v>
      </c>
      <c r="P68" s="51">
        <f>Historic_BCast_BASE[[#This Row],[Rolex EXP]]*86400</f>
        <v>6331.4787681032567</v>
      </c>
      <c r="Q68" s="73" t="str">
        <f>IF(Historic_BCast_BASE[[#This Row],[Dashboard Rated?]]="No","N","Y")</f>
        <v>Y</v>
      </c>
      <c r="R68" s="81"/>
      <c r="S68" s="81"/>
    </row>
    <row r="69" spans="1:19" x14ac:dyDescent="0.25">
      <c r="A69" s="72" t="s">
        <v>1869</v>
      </c>
      <c r="B69" t="s">
        <v>56</v>
      </c>
      <c r="C69" t="s">
        <v>269</v>
      </c>
      <c r="D69" t="s">
        <v>1642</v>
      </c>
      <c r="E69" s="102">
        <v>1.1555555555555557</v>
      </c>
      <c r="F69" s="101">
        <v>528776</v>
      </c>
      <c r="G69" s="102">
        <v>0.11839960800836975</v>
      </c>
      <c r="H69" s="101">
        <v>70074.237109146969</v>
      </c>
      <c r="I69" s="101">
        <v>21579.581847739977</v>
      </c>
      <c r="J69" s="101" t="s">
        <v>1867</v>
      </c>
      <c r="K69" t="str">
        <f>VLOOKUP(Historic_BCast_BASE[[#This Row],[Broadcast Market]],Continent_Look_Up[],2,FALSE)</f>
        <v>Europe</v>
      </c>
      <c r="L69" t="str">
        <f>IF(OR(Historic_BCast_BASE[[#This Row],[Broadcast Continent]]="Digital",Historic_BCast_BASE[[#This Row],[Programme Type]]="Digital"),"Y","N")</f>
        <v>N</v>
      </c>
      <c r="M69" s="4" t="str">
        <f>IF(ISNUMBER(SEARCH("Pan ",Historic_BCast_BASE[[#This Row],[Broadcast Market]]))=TRUE,"Y","N")</f>
        <v>N</v>
      </c>
      <c r="N69" t="str">
        <f>VLOOKUP(CONCATENATE(Historic_BCast_BASE[[#This Row],[Broadcast Market]],Historic_BCast_BASE[[#This Row],[Broadcaster]]),Table1[[CC]:[Pay TV vs. Free-to-Air]],3,FALSE)</f>
        <v>Pay TV</v>
      </c>
      <c r="O69" s="1">
        <f>VLOOKUP(CONCATENATE(Historic_BCast_BASE[[#This Row],[Broadcast Market]],Historic_BCast_BASE[[#This Row],[Broadcaster]]),Table1[[CC]:[Pay TV vs. Free-to-Air]],2,FALSE)</f>
        <v>4469000</v>
      </c>
      <c r="P69" s="51">
        <f>Historic_BCast_BASE[[#This Row],[Rolex EXP]]*86400</f>
        <v>10229.726131923147</v>
      </c>
      <c r="Q69" s="73" t="str">
        <f>IF(Historic_BCast_BASE[[#This Row],[Dashboard Rated?]]="No","N","Y")</f>
        <v>N</v>
      </c>
      <c r="R69" s="81"/>
      <c r="S69" s="81"/>
    </row>
    <row r="70" spans="1:19" x14ac:dyDescent="0.25">
      <c r="A70" s="72" t="s">
        <v>1869</v>
      </c>
      <c r="B70" t="s">
        <v>56</v>
      </c>
      <c r="C70" t="s">
        <v>269</v>
      </c>
      <c r="D70" t="s">
        <v>1643</v>
      </c>
      <c r="E70" s="102">
        <v>2.9608333333333334</v>
      </c>
      <c r="F70" s="101">
        <v>1769909</v>
      </c>
      <c r="G70" s="102">
        <v>0.34654565009975319</v>
      </c>
      <c r="H70" s="101">
        <v>595898.30113143579</v>
      </c>
      <c r="I70" s="101">
        <v>172482.70317004653</v>
      </c>
      <c r="J70" s="101" t="s">
        <v>1867</v>
      </c>
      <c r="K70" t="str">
        <f>VLOOKUP(Historic_BCast_BASE[[#This Row],[Broadcast Market]],Continent_Look_Up[],2,FALSE)</f>
        <v>Europe</v>
      </c>
      <c r="L70" t="str">
        <f>IF(OR(Historic_BCast_BASE[[#This Row],[Broadcast Continent]]="Digital",Historic_BCast_BASE[[#This Row],[Programme Type]]="Digital"),"Y","N")</f>
        <v>N</v>
      </c>
      <c r="M70" s="4" t="str">
        <f>IF(ISNUMBER(SEARCH("Pan ",Historic_BCast_BASE[[#This Row],[Broadcast Market]]))=TRUE,"Y","N")</f>
        <v>N</v>
      </c>
      <c r="N70" t="str">
        <f>VLOOKUP(CONCATENATE(Historic_BCast_BASE[[#This Row],[Broadcast Market]],Historic_BCast_BASE[[#This Row],[Broadcaster]]),Table1[[CC]:[Pay TV vs. Free-to-Air]],3,FALSE)</f>
        <v>Pay TV</v>
      </c>
      <c r="O70" s="1">
        <f>VLOOKUP(CONCATENATE(Historic_BCast_BASE[[#This Row],[Broadcast Market]],Historic_BCast_BASE[[#This Row],[Broadcaster]]),Table1[[CC]:[Pay TV vs. Free-to-Air]],2,FALSE)</f>
        <v>4469000</v>
      </c>
      <c r="P70" s="51">
        <f>Historic_BCast_BASE[[#This Row],[Rolex EXP]]*86400</f>
        <v>29941.544168618675</v>
      </c>
      <c r="Q70" s="73" t="str">
        <f>IF(Historic_BCast_BASE[[#This Row],[Dashboard Rated?]]="No","N","Y")</f>
        <v>N</v>
      </c>
      <c r="R70" s="81"/>
      <c r="S70" s="81"/>
    </row>
    <row r="71" spans="1:19" x14ac:dyDescent="0.25">
      <c r="A71" s="72" t="s">
        <v>1869</v>
      </c>
      <c r="B71" t="s">
        <v>56</v>
      </c>
      <c r="C71" t="s">
        <v>269</v>
      </c>
      <c r="D71" t="s">
        <v>1644</v>
      </c>
      <c r="E71" s="102">
        <v>2.5350925925925925</v>
      </c>
      <c r="F71" s="101">
        <v>648310</v>
      </c>
      <c r="G71" s="102">
        <v>0.23658934051131941</v>
      </c>
      <c r="H71" s="101">
        <v>158996.4934767299</v>
      </c>
      <c r="I71" s="101">
        <v>46914.550774656411</v>
      </c>
      <c r="J71" s="101" t="s">
        <v>1867</v>
      </c>
      <c r="K71" t="str">
        <f>VLOOKUP(Historic_BCast_BASE[[#This Row],[Broadcast Market]],Continent_Look_Up[],2,FALSE)</f>
        <v>Europe</v>
      </c>
      <c r="L71" t="str">
        <f>IF(OR(Historic_BCast_BASE[[#This Row],[Broadcast Continent]]="Digital",Historic_BCast_BASE[[#This Row],[Programme Type]]="Digital"),"Y","N")</f>
        <v>N</v>
      </c>
      <c r="M71" s="4" t="str">
        <f>IF(ISNUMBER(SEARCH("Pan ",Historic_BCast_BASE[[#This Row],[Broadcast Market]]))=TRUE,"Y","N")</f>
        <v>N</v>
      </c>
      <c r="N71" t="str">
        <f>VLOOKUP(CONCATENATE(Historic_BCast_BASE[[#This Row],[Broadcast Market]],Historic_BCast_BASE[[#This Row],[Broadcaster]]),Table1[[CC]:[Pay TV vs. Free-to-Air]],3,FALSE)</f>
        <v>Pay TV</v>
      </c>
      <c r="O71" s="1">
        <f>VLOOKUP(CONCATENATE(Historic_BCast_BASE[[#This Row],[Broadcast Market]],Historic_BCast_BASE[[#This Row],[Broadcaster]]),Table1[[CC]:[Pay TV vs. Free-to-Air]],2,FALSE)</f>
        <v>4469000</v>
      </c>
      <c r="P71" s="51">
        <f>Historic_BCast_BASE[[#This Row],[Rolex EXP]]*86400</f>
        <v>20441.319020177998</v>
      </c>
      <c r="Q71" s="73" t="str">
        <f>IF(Historic_BCast_BASE[[#This Row],[Dashboard Rated?]]="No","N","Y")</f>
        <v>N</v>
      </c>
      <c r="R71" s="81"/>
      <c r="S71" s="81"/>
    </row>
    <row r="72" spans="1:19" x14ac:dyDescent="0.25">
      <c r="A72" s="72" t="s">
        <v>1869</v>
      </c>
      <c r="B72" t="s">
        <v>59</v>
      </c>
      <c r="C72" t="s">
        <v>194</v>
      </c>
      <c r="D72" t="s">
        <v>1642</v>
      </c>
      <c r="E72" s="102">
        <v>2.8541666666666665</v>
      </c>
      <c r="F72" s="101">
        <v>128667</v>
      </c>
      <c r="G72" s="102">
        <v>0.25753005398437262</v>
      </c>
      <c r="H72" s="101">
        <v>17165.734151714878</v>
      </c>
      <c r="I72" s="101">
        <v>5025.7562895563806</v>
      </c>
      <c r="J72" s="101" t="s">
        <v>1867</v>
      </c>
      <c r="K72" t="str">
        <f>VLOOKUP(Historic_BCast_BASE[[#This Row],[Broadcast Market]],Continent_Look_Up[],2,FALSE)</f>
        <v>Asia Pacific</v>
      </c>
      <c r="L72" t="str">
        <f>IF(OR(Historic_BCast_BASE[[#This Row],[Broadcast Continent]]="Digital",Historic_BCast_BASE[[#This Row],[Programme Type]]="Digital"),"Y","N")</f>
        <v>N</v>
      </c>
      <c r="M72" s="4" t="str">
        <f>IF(ISNUMBER(SEARCH("Pan ",Historic_BCast_BASE[[#This Row],[Broadcast Market]]))=TRUE,"Y","N")</f>
        <v>N</v>
      </c>
      <c r="N72" t="str">
        <f>VLOOKUP(CONCATENATE(Historic_BCast_BASE[[#This Row],[Broadcast Market]],Historic_BCast_BASE[[#This Row],[Broadcaster]]),Table1[[CC]:[Pay TV vs. Free-to-Air]],3,FALSE)</f>
        <v>Pay TV</v>
      </c>
      <c r="O72" s="1">
        <f>VLOOKUP(CONCATENATE(Historic_BCast_BASE[[#This Row],[Broadcast Market]],Historic_BCast_BASE[[#This Row],[Broadcaster]]),Table1[[CC]:[Pay TV vs. Free-to-Air]],2,FALSE)</f>
        <v>1269000</v>
      </c>
      <c r="P72" s="57">
        <f>Historic_BCast_BASE[[#This Row],[Rolex EXP]]*86400</f>
        <v>22250.596664249795</v>
      </c>
      <c r="Q72" s="73" t="str">
        <f>IF(Historic_BCast_BASE[[#This Row],[Dashboard Rated?]]="No","N","Y")</f>
        <v>N</v>
      </c>
      <c r="R72" s="81"/>
      <c r="S72" s="81"/>
    </row>
    <row r="73" spans="1:19" x14ac:dyDescent="0.25">
      <c r="A73" s="72" t="s">
        <v>1869</v>
      </c>
      <c r="B73" t="s">
        <v>59</v>
      </c>
      <c r="C73" t="s">
        <v>194</v>
      </c>
      <c r="D73" t="s">
        <v>1643</v>
      </c>
      <c r="E73" s="102">
        <v>5.9097222222222223</v>
      </c>
      <c r="F73" s="101">
        <v>37184</v>
      </c>
      <c r="G73" s="102">
        <v>0.56268503414214155</v>
      </c>
      <c r="H73" s="101">
        <v>66745.0425350265</v>
      </c>
      <c r="I73" s="101">
        <v>19200.472688031725</v>
      </c>
      <c r="J73" s="101" t="s">
        <v>1867</v>
      </c>
      <c r="K73" t="str">
        <f>VLOOKUP(Historic_BCast_BASE[[#This Row],[Broadcast Market]],Continent_Look_Up[],2,FALSE)</f>
        <v>Asia Pacific</v>
      </c>
      <c r="L73" t="str">
        <f>IF(OR(Historic_BCast_BASE[[#This Row],[Broadcast Continent]]="Digital",Historic_BCast_BASE[[#This Row],[Programme Type]]="Digital"),"Y","N")</f>
        <v>N</v>
      </c>
      <c r="M73" s="4" t="str">
        <f>IF(ISNUMBER(SEARCH("Pan ",Historic_BCast_BASE[[#This Row],[Broadcast Market]]))=TRUE,"Y","N")</f>
        <v>N</v>
      </c>
      <c r="N73" t="str">
        <f>VLOOKUP(CONCATENATE(Historic_BCast_BASE[[#This Row],[Broadcast Market]],Historic_BCast_BASE[[#This Row],[Broadcaster]]),Table1[[CC]:[Pay TV vs. Free-to-Air]],3,FALSE)</f>
        <v>Pay TV</v>
      </c>
      <c r="O73" s="1">
        <f>VLOOKUP(CONCATENATE(Historic_BCast_BASE[[#This Row],[Broadcast Market]],Historic_BCast_BASE[[#This Row],[Broadcaster]]),Table1[[CC]:[Pay TV vs. Free-to-Air]],2,FALSE)</f>
        <v>1269000</v>
      </c>
      <c r="P73" s="57">
        <f>Historic_BCast_BASE[[#This Row],[Rolex EXP]]*86400</f>
        <v>48615.986949881029</v>
      </c>
      <c r="Q73" s="73" t="str">
        <f>IF(Historic_BCast_BASE[[#This Row],[Dashboard Rated?]]="No","N","Y")</f>
        <v>N</v>
      </c>
      <c r="R73" s="81"/>
      <c r="S73" s="81"/>
    </row>
    <row r="74" spans="1:19" x14ac:dyDescent="0.25">
      <c r="A74" s="72" t="s">
        <v>1869</v>
      </c>
      <c r="B74" t="s">
        <v>59</v>
      </c>
      <c r="C74" t="s">
        <v>225</v>
      </c>
      <c r="D74" t="s">
        <v>1642</v>
      </c>
      <c r="E74" s="102">
        <v>0.20833333333333334</v>
      </c>
      <c r="F74" s="101">
        <v>18400</v>
      </c>
      <c r="G74" s="102">
        <v>1.58097502594658E-2</v>
      </c>
      <c r="H74" s="101">
        <v>2049.984075776687</v>
      </c>
      <c r="I74" s="101">
        <v>586.46484128613315</v>
      </c>
      <c r="J74" s="101" t="s">
        <v>1867</v>
      </c>
      <c r="K74" t="str">
        <f>VLOOKUP(Historic_BCast_BASE[[#This Row],[Broadcast Market]],Continent_Look_Up[],2,FALSE)</f>
        <v>Asia Pacific</v>
      </c>
      <c r="L74" t="str">
        <f>IF(OR(Historic_BCast_BASE[[#This Row],[Broadcast Continent]]="Digital",Historic_BCast_BASE[[#This Row],[Programme Type]]="Digital"),"Y","N")</f>
        <v>N</v>
      </c>
      <c r="M74" s="4" t="str">
        <f>IF(ISNUMBER(SEARCH("Pan ",Historic_BCast_BASE[[#This Row],[Broadcast Market]]))=TRUE,"Y","N")</f>
        <v>N</v>
      </c>
      <c r="N74" t="str">
        <f>VLOOKUP(CONCATENATE(Historic_BCast_BASE[[#This Row],[Broadcast Market]],Historic_BCast_BASE[[#This Row],[Broadcaster]]),Table1[[CC]:[Pay TV vs. Free-to-Air]],3,FALSE)</f>
        <v>Pay TV</v>
      </c>
      <c r="O74" s="1">
        <f>VLOOKUP(CONCATENATE(Historic_BCast_BASE[[#This Row],[Broadcast Market]],Historic_BCast_BASE[[#This Row],[Broadcaster]]),Table1[[CC]:[Pay TV vs. Free-to-Air]],2,FALSE)</f>
        <v>1269000</v>
      </c>
      <c r="P74" s="57">
        <f>Historic_BCast_BASE[[#This Row],[Rolex EXP]]*86400</f>
        <v>1365.9624224178451</v>
      </c>
      <c r="Q74" s="73" t="str">
        <f>IF(Historic_BCast_BASE[[#This Row],[Dashboard Rated?]]="No","N","Y")</f>
        <v>N</v>
      </c>
      <c r="R74" s="81"/>
      <c r="S74" s="81"/>
    </row>
    <row r="75" spans="1:19" x14ac:dyDescent="0.25">
      <c r="A75" s="72" t="s">
        <v>1869</v>
      </c>
      <c r="B75" t="s">
        <v>59</v>
      </c>
      <c r="C75" t="s">
        <v>225</v>
      </c>
      <c r="D75" t="s">
        <v>1643</v>
      </c>
      <c r="E75" s="102">
        <v>2.7291666666666665</v>
      </c>
      <c r="F75" s="101">
        <v>25886</v>
      </c>
      <c r="G75" s="102">
        <v>0.26074758482303712</v>
      </c>
      <c r="H75" s="101">
        <v>43063.84270118866</v>
      </c>
      <c r="I75" s="101">
        <v>12371.434492814065</v>
      </c>
      <c r="J75" s="101" t="s">
        <v>1867</v>
      </c>
      <c r="K75" t="str">
        <f>VLOOKUP(Historic_BCast_BASE[[#This Row],[Broadcast Market]],Continent_Look_Up[],2,FALSE)</f>
        <v>Asia Pacific</v>
      </c>
      <c r="L75" t="str">
        <f>IF(OR(Historic_BCast_BASE[[#This Row],[Broadcast Continent]]="Digital",Historic_BCast_BASE[[#This Row],[Programme Type]]="Digital"),"Y","N")</f>
        <v>N</v>
      </c>
      <c r="M75" s="4" t="str">
        <f>IF(ISNUMBER(SEARCH("Pan ",Historic_BCast_BASE[[#This Row],[Broadcast Market]]))=TRUE,"Y","N")</f>
        <v>N</v>
      </c>
      <c r="N75" t="str">
        <f>VLOOKUP(CONCATENATE(Historic_BCast_BASE[[#This Row],[Broadcast Market]],Historic_BCast_BASE[[#This Row],[Broadcaster]]),Table1[[CC]:[Pay TV vs. Free-to-Air]],3,FALSE)</f>
        <v>Pay TV</v>
      </c>
      <c r="O75" s="1">
        <f>VLOOKUP(CONCATENATE(Historic_BCast_BASE[[#This Row],[Broadcast Market]],Historic_BCast_BASE[[#This Row],[Broadcaster]]),Table1[[CC]:[Pay TV vs. Free-to-Air]],2,FALSE)</f>
        <v>1269000</v>
      </c>
      <c r="P75" s="57">
        <f>Historic_BCast_BASE[[#This Row],[Rolex EXP]]*86400</f>
        <v>22528.591328710409</v>
      </c>
      <c r="Q75" s="73" t="str">
        <f>IF(Historic_BCast_BASE[[#This Row],[Dashboard Rated?]]="No","N","Y")</f>
        <v>N</v>
      </c>
      <c r="R75" s="81"/>
      <c r="S75" s="81"/>
    </row>
    <row r="76" spans="1:19" x14ac:dyDescent="0.25">
      <c r="A76" s="72" t="s">
        <v>1869</v>
      </c>
      <c r="B76" t="s">
        <v>59</v>
      </c>
      <c r="C76" t="s">
        <v>197</v>
      </c>
      <c r="D76" t="s">
        <v>1642</v>
      </c>
      <c r="E76" s="102">
        <v>2.0833333333333332E-2</v>
      </c>
      <c r="F76" s="101">
        <v>4402</v>
      </c>
      <c r="G76" s="102">
        <v>1.9904395788018095E-3</v>
      </c>
      <c r="H76" s="101">
        <v>391.31330649253908</v>
      </c>
      <c r="I76" s="101">
        <v>112.41697521120878</v>
      </c>
      <c r="J76" s="101" t="s">
        <v>1867</v>
      </c>
      <c r="K76" t="str">
        <f>VLOOKUP(Historic_BCast_BASE[[#This Row],[Broadcast Market]],Continent_Look_Up[],2,FALSE)</f>
        <v>Asia Pacific</v>
      </c>
      <c r="L76" t="str">
        <f>IF(OR(Historic_BCast_BASE[[#This Row],[Broadcast Continent]]="Digital",Historic_BCast_BASE[[#This Row],[Programme Type]]="Digital"),"Y","N")</f>
        <v>N</v>
      </c>
      <c r="M76" s="4" t="str">
        <f>IF(ISNUMBER(SEARCH("Pan ",Historic_BCast_BASE[[#This Row],[Broadcast Market]]))=TRUE,"Y","N")</f>
        <v>N</v>
      </c>
      <c r="N76" t="str">
        <f>VLOOKUP(CONCATENATE(Historic_BCast_BASE[[#This Row],[Broadcast Market]],Historic_BCast_BASE[[#This Row],[Broadcaster]]),Table1[[CC]:[Pay TV vs. Free-to-Air]],3,FALSE)</f>
        <v>Pay TV</v>
      </c>
      <c r="O76" s="1">
        <f>VLOOKUP(CONCATENATE(Historic_BCast_BASE[[#This Row],[Broadcast Market]],Historic_BCast_BASE[[#This Row],[Broadcaster]]),Table1[[CC]:[Pay TV vs. Free-to-Air]],2,FALSE)</f>
        <v>1269000</v>
      </c>
      <c r="P76" s="51">
        <f>Historic_BCast_BASE[[#This Row],[Rolex EXP]]*86400</f>
        <v>171.97397960847636</v>
      </c>
      <c r="Q76" s="73" t="str">
        <f>IF(Historic_BCast_BASE[[#This Row],[Dashboard Rated?]]="No","N","Y")</f>
        <v>N</v>
      </c>
      <c r="R76" s="81"/>
      <c r="S76" s="81"/>
    </row>
    <row r="77" spans="1:19" x14ac:dyDescent="0.25">
      <c r="A77" s="72" t="s">
        <v>1869</v>
      </c>
      <c r="B77" t="s">
        <v>59</v>
      </c>
      <c r="C77" t="s">
        <v>197</v>
      </c>
      <c r="D77" t="s">
        <v>1643</v>
      </c>
      <c r="E77" s="102">
        <v>0.5</v>
      </c>
      <c r="F77" s="101">
        <v>3698</v>
      </c>
      <c r="G77" s="102">
        <v>4.7770549891243429E-2</v>
      </c>
      <c r="H77" s="101">
        <v>7889.5589681566998</v>
      </c>
      <c r="I77" s="101">
        <v>2266.5223498285304</v>
      </c>
      <c r="J77" s="101" t="s">
        <v>1867</v>
      </c>
      <c r="K77" t="str">
        <f>VLOOKUP(Historic_BCast_BASE[[#This Row],[Broadcast Market]],Continent_Look_Up[],2,FALSE)</f>
        <v>Asia Pacific</v>
      </c>
      <c r="L77" t="str">
        <f>IF(OR(Historic_BCast_BASE[[#This Row],[Broadcast Continent]]="Digital",Historic_BCast_BASE[[#This Row],[Programme Type]]="Digital"),"Y","N")</f>
        <v>N</v>
      </c>
      <c r="M77" s="4" t="str">
        <f>IF(ISNUMBER(SEARCH("Pan ",Historic_BCast_BASE[[#This Row],[Broadcast Market]]))=TRUE,"Y","N")</f>
        <v>N</v>
      </c>
      <c r="N77" t="str">
        <f>VLOOKUP(CONCATENATE(Historic_BCast_BASE[[#This Row],[Broadcast Market]],Historic_BCast_BASE[[#This Row],[Broadcaster]]),Table1[[CC]:[Pay TV vs. Free-to-Air]],3,FALSE)</f>
        <v>Pay TV</v>
      </c>
      <c r="O77" s="1">
        <f>VLOOKUP(CONCATENATE(Historic_BCast_BASE[[#This Row],[Broadcast Market]],Historic_BCast_BASE[[#This Row],[Broadcaster]]),Table1[[CC]:[Pay TV vs. Free-to-Air]],2,FALSE)</f>
        <v>1269000</v>
      </c>
      <c r="P77" s="51">
        <f>Historic_BCast_BASE[[#This Row],[Rolex EXP]]*86400</f>
        <v>4127.3755106034323</v>
      </c>
      <c r="Q77" s="73" t="str">
        <f>IF(Historic_BCast_BASE[[#This Row],[Dashboard Rated?]]="No","N","Y")</f>
        <v>N</v>
      </c>
      <c r="R77" s="81"/>
      <c r="S77" s="81"/>
    </row>
    <row r="78" spans="1:19" x14ac:dyDescent="0.25">
      <c r="A78" s="72" t="s">
        <v>1869</v>
      </c>
      <c r="B78" t="s">
        <v>60</v>
      </c>
      <c r="C78" t="s">
        <v>221</v>
      </c>
      <c r="D78" t="s">
        <v>1642</v>
      </c>
      <c r="E78" s="102">
        <v>1.9950231481481484</v>
      </c>
      <c r="F78" s="101">
        <v>98600</v>
      </c>
      <c r="G78" s="102">
        <v>0.17986720666109213</v>
      </c>
      <c r="H78" s="101">
        <v>21042.238491416745</v>
      </c>
      <c r="I78" s="101">
        <v>6293.0369871026005</v>
      </c>
      <c r="J78" s="101" t="s">
        <v>1868</v>
      </c>
      <c r="K78" t="str">
        <f>VLOOKUP(Historic_BCast_BASE[[#This Row],[Broadcast Market]],Continent_Look_Up[],2,FALSE)</f>
        <v>Europe</v>
      </c>
      <c r="L78" t="str">
        <f>IF(OR(Historic_BCast_BASE[[#This Row],[Broadcast Continent]]="Digital",Historic_BCast_BASE[[#This Row],[Programme Type]]="Digital"),"Y","N")</f>
        <v>N</v>
      </c>
      <c r="M78" s="4" t="str">
        <f>IF(ISNUMBER(SEARCH("Pan ",Historic_BCast_BASE[[#This Row],[Broadcast Market]]))=TRUE,"Y","N")</f>
        <v>N</v>
      </c>
      <c r="N78" t="str">
        <f>VLOOKUP(CONCATENATE(Historic_BCast_BASE[[#This Row],[Broadcast Market]],Historic_BCast_BASE[[#This Row],[Broadcaster]]),Table1[[CC]:[Pay TV vs. Free-to-Air]],3,FALSE)</f>
        <v>Pay TV</v>
      </c>
      <c r="O78" s="1">
        <f>VLOOKUP(CONCATENATE(Historic_BCast_BASE[[#This Row],[Broadcast Market]],Historic_BCast_BASE[[#This Row],[Broadcaster]]),Table1[[CC]:[Pay TV vs. Free-to-Air]],2,FALSE)</f>
        <v>832000</v>
      </c>
      <c r="P78" s="57">
        <f>Historic_BCast_BASE[[#This Row],[Rolex EXP]]*86400</f>
        <v>15540.526655518359</v>
      </c>
      <c r="Q78" s="73" t="str">
        <f>IF(Historic_BCast_BASE[[#This Row],[Dashboard Rated?]]="No","N","Y")</f>
        <v>Y</v>
      </c>
      <c r="R78" s="81"/>
      <c r="S78" s="81"/>
    </row>
    <row r="79" spans="1:19" x14ac:dyDescent="0.25">
      <c r="A79" s="72" t="s">
        <v>1869</v>
      </c>
      <c r="B79" t="s">
        <v>60</v>
      </c>
      <c r="C79" t="s">
        <v>221</v>
      </c>
      <c r="D79" t="s">
        <v>1643</v>
      </c>
      <c r="E79" s="102">
        <v>5.7605555555555563</v>
      </c>
      <c r="F79" s="101">
        <v>206019</v>
      </c>
      <c r="G79" s="102">
        <v>0.53442102742028152</v>
      </c>
      <c r="H79" s="101">
        <v>124736.01202204016</v>
      </c>
      <c r="I79" s="101">
        <v>37342.536923689768</v>
      </c>
      <c r="J79" s="101" t="s">
        <v>1868</v>
      </c>
      <c r="K79" t="str">
        <f>VLOOKUP(Historic_BCast_BASE[[#This Row],[Broadcast Market]],Continent_Look_Up[],2,FALSE)</f>
        <v>Europe</v>
      </c>
      <c r="L79" t="str">
        <f>IF(OR(Historic_BCast_BASE[[#This Row],[Broadcast Continent]]="Digital",Historic_BCast_BASE[[#This Row],[Programme Type]]="Digital"),"Y","N")</f>
        <v>N</v>
      </c>
      <c r="M79" s="4" t="str">
        <f>IF(ISNUMBER(SEARCH("Pan ",Historic_BCast_BASE[[#This Row],[Broadcast Market]]))=TRUE,"Y","N")</f>
        <v>N</v>
      </c>
      <c r="N79" t="str">
        <f>VLOOKUP(CONCATENATE(Historic_BCast_BASE[[#This Row],[Broadcast Market]],Historic_BCast_BASE[[#This Row],[Broadcaster]]),Table1[[CC]:[Pay TV vs. Free-to-Air]],3,FALSE)</f>
        <v>Pay TV</v>
      </c>
      <c r="O79" s="1">
        <f>VLOOKUP(CONCATENATE(Historic_BCast_BASE[[#This Row],[Broadcast Market]],Historic_BCast_BASE[[#This Row],[Broadcaster]]),Table1[[CC]:[Pay TV vs. Free-to-Air]],2,FALSE)</f>
        <v>832000</v>
      </c>
      <c r="P79" s="57">
        <f>Historic_BCast_BASE[[#This Row],[Rolex EXP]]*86400</f>
        <v>46173.976769112327</v>
      </c>
      <c r="Q79" s="73" t="str">
        <f>IF(Historic_BCast_BASE[[#This Row],[Dashboard Rated?]]="No","N","Y")</f>
        <v>Y</v>
      </c>
      <c r="R79" s="81"/>
      <c r="S79" s="81"/>
    </row>
    <row r="80" spans="1:19" x14ac:dyDescent="0.25">
      <c r="A80" s="72" t="s">
        <v>1869</v>
      </c>
      <c r="B80" t="s">
        <v>60</v>
      </c>
      <c r="C80" t="s">
        <v>221</v>
      </c>
      <c r="D80" t="s">
        <v>1644</v>
      </c>
      <c r="E80" s="102">
        <v>0.50678240740740743</v>
      </c>
      <c r="F80" s="101">
        <v>7400</v>
      </c>
      <c r="G80" s="102">
        <v>3.7156473761276898E-2</v>
      </c>
      <c r="H80" s="101">
        <v>2090.5484312823669</v>
      </c>
      <c r="I80" s="101">
        <v>625.74799216815097</v>
      </c>
      <c r="J80" s="101" t="s">
        <v>1868</v>
      </c>
      <c r="K80" t="str">
        <f>VLOOKUP(Historic_BCast_BASE[[#This Row],[Broadcast Market]],Continent_Look_Up[],2,FALSE)</f>
        <v>Europe</v>
      </c>
      <c r="L80" t="str">
        <f>IF(OR(Historic_BCast_BASE[[#This Row],[Broadcast Continent]]="Digital",Historic_BCast_BASE[[#This Row],[Programme Type]]="Digital"),"Y","N")</f>
        <v>N</v>
      </c>
      <c r="M80" s="4" t="str">
        <f>IF(ISNUMBER(SEARCH("Pan ",Historic_BCast_BASE[[#This Row],[Broadcast Market]]))=TRUE,"Y","N")</f>
        <v>N</v>
      </c>
      <c r="N80" t="str">
        <f>VLOOKUP(CONCATENATE(Historic_BCast_BASE[[#This Row],[Broadcast Market]],Historic_BCast_BASE[[#This Row],[Broadcaster]]),Table1[[CC]:[Pay TV vs. Free-to-Air]],3,FALSE)</f>
        <v>Pay TV</v>
      </c>
      <c r="O80" s="1">
        <f>VLOOKUP(CONCATENATE(Historic_BCast_BASE[[#This Row],[Broadcast Market]],Historic_BCast_BASE[[#This Row],[Broadcaster]]),Table1[[CC]:[Pay TV vs. Free-to-Air]],2,FALSE)</f>
        <v>832000</v>
      </c>
      <c r="P80" s="51">
        <f>Historic_BCast_BASE[[#This Row],[Rolex EXP]]*86400</f>
        <v>3210.319332974324</v>
      </c>
      <c r="Q80" s="73" t="str">
        <f>IF(Historic_BCast_BASE[[#This Row],[Dashboard Rated?]]="No","N","Y")</f>
        <v>Y</v>
      </c>
      <c r="R80" s="81"/>
      <c r="S80" s="81"/>
    </row>
    <row r="81" spans="1:19" x14ac:dyDescent="0.25">
      <c r="A81" s="72" t="s">
        <v>1869</v>
      </c>
      <c r="B81" t="s">
        <v>60</v>
      </c>
      <c r="C81" t="s">
        <v>269</v>
      </c>
      <c r="D81" t="s">
        <v>1642</v>
      </c>
      <c r="E81" s="102">
        <v>1.1555555555555557</v>
      </c>
      <c r="F81" s="101">
        <v>120019</v>
      </c>
      <c r="G81" s="102">
        <v>0.11839960800836978</v>
      </c>
      <c r="H81" s="101">
        <v>20285.720961816955</v>
      </c>
      <c r="I81" s="101">
        <v>6247.056573208999</v>
      </c>
      <c r="J81" s="101" t="s">
        <v>1867</v>
      </c>
      <c r="K81" t="str">
        <f>VLOOKUP(Historic_BCast_BASE[[#This Row],[Broadcast Market]],Continent_Look_Up[],2,FALSE)</f>
        <v>Europe</v>
      </c>
      <c r="L81" t="str">
        <f>IF(OR(Historic_BCast_BASE[[#This Row],[Broadcast Continent]]="Digital",Historic_BCast_BASE[[#This Row],[Programme Type]]="Digital"),"Y","N")</f>
        <v>N</v>
      </c>
      <c r="M81" s="4" t="str">
        <f>IF(ISNUMBER(SEARCH("Pan ",Historic_BCast_BASE[[#This Row],[Broadcast Market]]))=TRUE,"Y","N")</f>
        <v>N</v>
      </c>
      <c r="N81" t="str">
        <f>VLOOKUP(CONCATENATE(Historic_BCast_BASE[[#This Row],[Broadcast Market]],Historic_BCast_BASE[[#This Row],[Broadcaster]]),Table1[[CC]:[Pay TV vs. Free-to-Air]],3,FALSE)</f>
        <v>Pay TV</v>
      </c>
      <c r="O81" s="1">
        <f>VLOOKUP(CONCATENATE(Historic_BCast_BASE[[#This Row],[Broadcast Market]],Historic_BCast_BASE[[#This Row],[Broadcaster]]),Table1[[CC]:[Pay TV vs. Free-to-Air]],2,FALSE)</f>
        <v>2098000</v>
      </c>
      <c r="P81" s="51">
        <f>Historic_BCast_BASE[[#This Row],[Rolex EXP]]*86400</f>
        <v>10229.726131923149</v>
      </c>
      <c r="Q81" s="73" t="str">
        <f>IF(Historic_BCast_BASE[[#This Row],[Dashboard Rated?]]="No","N","Y")</f>
        <v>N</v>
      </c>
      <c r="R81" s="81"/>
      <c r="S81" s="81"/>
    </row>
    <row r="82" spans="1:19" x14ac:dyDescent="0.25">
      <c r="A82" s="72" t="s">
        <v>1869</v>
      </c>
      <c r="B82" t="s">
        <v>60</v>
      </c>
      <c r="C82" t="s">
        <v>269</v>
      </c>
      <c r="D82" t="s">
        <v>1643</v>
      </c>
      <c r="E82" s="102">
        <v>2.9608333333333334</v>
      </c>
      <c r="F82" s="101">
        <v>401725</v>
      </c>
      <c r="G82" s="102">
        <v>0.34654565009975319</v>
      </c>
      <c r="H82" s="101">
        <v>172503.53064016541</v>
      </c>
      <c r="I82" s="101">
        <v>49931.13265920656</v>
      </c>
      <c r="J82" s="101" t="s">
        <v>1867</v>
      </c>
      <c r="K82" t="str">
        <f>VLOOKUP(Historic_BCast_BASE[[#This Row],[Broadcast Market]],Continent_Look_Up[],2,FALSE)</f>
        <v>Europe</v>
      </c>
      <c r="L82" t="str">
        <f>IF(OR(Historic_BCast_BASE[[#This Row],[Broadcast Continent]]="Digital",Historic_BCast_BASE[[#This Row],[Programme Type]]="Digital"),"Y","N")</f>
        <v>N</v>
      </c>
      <c r="M82" s="4" t="str">
        <f>IF(ISNUMBER(SEARCH("Pan ",Historic_BCast_BASE[[#This Row],[Broadcast Market]]))=TRUE,"Y","N")</f>
        <v>N</v>
      </c>
      <c r="N82" t="str">
        <f>VLOOKUP(CONCATENATE(Historic_BCast_BASE[[#This Row],[Broadcast Market]],Historic_BCast_BASE[[#This Row],[Broadcaster]]),Table1[[CC]:[Pay TV vs. Free-to-Air]],3,FALSE)</f>
        <v>Pay TV</v>
      </c>
      <c r="O82" s="1">
        <f>VLOOKUP(CONCATENATE(Historic_BCast_BASE[[#This Row],[Broadcast Market]],Historic_BCast_BASE[[#This Row],[Broadcaster]]),Table1[[CC]:[Pay TV vs. Free-to-Air]],2,FALSE)</f>
        <v>2098000</v>
      </c>
      <c r="P82" s="51">
        <f>Historic_BCast_BASE[[#This Row],[Rolex EXP]]*86400</f>
        <v>29941.544168618675</v>
      </c>
      <c r="Q82" s="73" t="str">
        <f>IF(Historic_BCast_BASE[[#This Row],[Dashboard Rated?]]="No","N","Y")</f>
        <v>N</v>
      </c>
      <c r="R82" s="81"/>
      <c r="S82" s="81"/>
    </row>
    <row r="83" spans="1:19" x14ac:dyDescent="0.25">
      <c r="A83" s="72" t="s">
        <v>1869</v>
      </c>
      <c r="B83" t="s">
        <v>60</v>
      </c>
      <c r="C83" t="s">
        <v>269</v>
      </c>
      <c r="D83" t="s">
        <v>1644</v>
      </c>
      <c r="E83" s="102">
        <v>2.5350925925925925</v>
      </c>
      <c r="F83" s="101">
        <v>147136</v>
      </c>
      <c r="G83" s="102">
        <v>0.23658934051131941</v>
      </c>
      <c r="H83" s="101">
        <v>46022.513250498225</v>
      </c>
      <c r="I83" s="101">
        <v>13579.707394203235</v>
      </c>
      <c r="J83" s="101" t="s">
        <v>1867</v>
      </c>
      <c r="K83" t="str">
        <f>VLOOKUP(Historic_BCast_BASE[[#This Row],[Broadcast Market]],Continent_Look_Up[],2,FALSE)</f>
        <v>Europe</v>
      </c>
      <c r="L83" t="str">
        <f>IF(OR(Historic_BCast_BASE[[#This Row],[Broadcast Continent]]="Digital",Historic_BCast_BASE[[#This Row],[Programme Type]]="Digital"),"Y","N")</f>
        <v>N</v>
      </c>
      <c r="M83" s="4" t="str">
        <f>IF(ISNUMBER(SEARCH("Pan ",Historic_BCast_BASE[[#This Row],[Broadcast Market]]))=TRUE,"Y","N")</f>
        <v>N</v>
      </c>
      <c r="N83" t="str">
        <f>VLOOKUP(CONCATENATE(Historic_BCast_BASE[[#This Row],[Broadcast Market]],Historic_BCast_BASE[[#This Row],[Broadcaster]]),Table1[[CC]:[Pay TV vs. Free-to-Air]],3,FALSE)</f>
        <v>Pay TV</v>
      </c>
      <c r="O83" s="1">
        <f>VLOOKUP(CONCATENATE(Historic_BCast_BASE[[#This Row],[Broadcast Market]],Historic_BCast_BASE[[#This Row],[Broadcaster]]),Table1[[CC]:[Pay TV vs. Free-to-Air]],2,FALSE)</f>
        <v>2098000</v>
      </c>
      <c r="P83" s="51">
        <f>Historic_BCast_BASE[[#This Row],[Rolex EXP]]*86400</f>
        <v>20441.319020177998</v>
      </c>
      <c r="Q83" s="73" t="str">
        <f>IF(Historic_BCast_BASE[[#This Row],[Dashboard Rated?]]="No","N","Y")</f>
        <v>N</v>
      </c>
      <c r="R83" s="81"/>
      <c r="S83" s="81"/>
    </row>
    <row r="84" spans="1:19" x14ac:dyDescent="0.25">
      <c r="A84" s="72" t="s">
        <v>1869</v>
      </c>
      <c r="B84" t="s">
        <v>62</v>
      </c>
      <c r="C84" t="s">
        <v>1646</v>
      </c>
      <c r="D84" t="s">
        <v>1642</v>
      </c>
      <c r="E84" s="102">
        <v>0.96915509259259247</v>
      </c>
      <c r="F84" s="101">
        <v>84870</v>
      </c>
      <c r="G84" s="102">
        <v>9.2594143406094176E-2</v>
      </c>
      <c r="H84" s="101">
        <v>6674.7154519013357</v>
      </c>
      <c r="I84" s="101">
        <v>1917.5205878478639</v>
      </c>
      <c r="J84" s="101" t="s">
        <v>1868</v>
      </c>
      <c r="K84" t="str">
        <f>VLOOKUP(Historic_BCast_BASE[[#This Row],[Broadcast Market]],Continent_Look_Up[],2,FALSE)</f>
        <v>Asia Pacific</v>
      </c>
      <c r="L84" t="str">
        <f>IF(OR(Historic_BCast_BASE[[#This Row],[Broadcast Continent]]="Digital",Historic_BCast_BASE[[#This Row],[Programme Type]]="Digital"),"Y","N")</f>
        <v>N</v>
      </c>
      <c r="M84" s="4" t="str">
        <f>IF(ISNUMBER(SEARCH("Pan ",Historic_BCast_BASE[[#This Row],[Broadcast Market]]))=TRUE,"Y","N")</f>
        <v>N</v>
      </c>
      <c r="N84" t="str">
        <f>VLOOKUP(CONCATENATE(Historic_BCast_BASE[[#This Row],[Broadcast Market]],Historic_BCast_BASE[[#This Row],[Broadcaster]]),Table1[[CC]:[Pay TV vs. Free-to-Air]],3,FALSE)</f>
        <v>Pay TV</v>
      </c>
      <c r="O84" s="1">
        <f>VLOOKUP(CONCATENATE(Historic_BCast_BASE[[#This Row],[Broadcast Market]],Historic_BCast_BASE[[#This Row],[Broadcaster]]),Table1[[CC]:[Pay TV vs. Free-to-Air]],2,FALSE)</f>
        <v>5000000</v>
      </c>
      <c r="P84" s="51">
        <f>Historic_BCast_BASE[[#This Row],[Rolex EXP]]*86400</f>
        <v>8000.1339902865366</v>
      </c>
      <c r="Q84" s="73" t="str">
        <f>IF(Historic_BCast_BASE[[#This Row],[Dashboard Rated?]]="No","N","Y")</f>
        <v>Y</v>
      </c>
      <c r="R84" s="81"/>
      <c r="S84" s="81"/>
    </row>
    <row r="85" spans="1:19" x14ac:dyDescent="0.25">
      <c r="A85" s="72" t="s">
        <v>1869</v>
      </c>
      <c r="B85" t="s">
        <v>62</v>
      </c>
      <c r="C85" t="s">
        <v>1646</v>
      </c>
      <c r="D85" t="s">
        <v>1643</v>
      </c>
      <c r="E85" s="102">
        <v>5.0412731481481483</v>
      </c>
      <c r="F85" s="101">
        <v>70390</v>
      </c>
      <c r="G85" s="102">
        <v>0.47818327860707882</v>
      </c>
      <c r="H85" s="101">
        <v>76506.622306974154</v>
      </c>
      <c r="I85" s="101">
        <v>22550.414350451352</v>
      </c>
      <c r="J85" s="101" t="s">
        <v>1868</v>
      </c>
      <c r="K85" t="str">
        <f>VLOOKUP(Historic_BCast_BASE[[#This Row],[Broadcast Market]],Continent_Look_Up[],2,FALSE)</f>
        <v>Asia Pacific</v>
      </c>
      <c r="L85" t="str">
        <f>IF(OR(Historic_BCast_BASE[[#This Row],[Broadcast Continent]]="Digital",Historic_BCast_BASE[[#This Row],[Programme Type]]="Digital"),"Y","N")</f>
        <v>N</v>
      </c>
      <c r="M85" s="4" t="str">
        <f>IF(ISNUMBER(SEARCH("Pan ",Historic_BCast_BASE[[#This Row],[Broadcast Market]]))=TRUE,"Y","N")</f>
        <v>N</v>
      </c>
      <c r="N85" t="str">
        <f>VLOOKUP(CONCATENATE(Historic_BCast_BASE[[#This Row],[Broadcast Market]],Historic_BCast_BASE[[#This Row],[Broadcaster]]),Table1[[CC]:[Pay TV vs. Free-to-Air]],3,FALSE)</f>
        <v>Pay TV</v>
      </c>
      <c r="O85" s="1">
        <f>VLOOKUP(CONCATENATE(Historic_BCast_BASE[[#This Row],[Broadcast Market]],Historic_BCast_BASE[[#This Row],[Broadcaster]]),Table1[[CC]:[Pay TV vs. Free-to-Air]],2,FALSE)</f>
        <v>5000000</v>
      </c>
      <c r="P85" s="51">
        <f>Historic_BCast_BASE[[#This Row],[Rolex EXP]]*86400</f>
        <v>41315.035271651614</v>
      </c>
      <c r="Q85" s="73" t="str">
        <f>IF(Historic_BCast_BASE[[#This Row],[Dashboard Rated?]]="No","N","Y")</f>
        <v>Y</v>
      </c>
      <c r="R85" s="81"/>
      <c r="S85" s="81"/>
    </row>
    <row r="86" spans="1:19" x14ac:dyDescent="0.25">
      <c r="A86" s="72" t="s">
        <v>1869</v>
      </c>
      <c r="B86" t="s">
        <v>62</v>
      </c>
      <c r="C86" t="s">
        <v>868</v>
      </c>
      <c r="D86" t="s">
        <v>1642</v>
      </c>
      <c r="E86" s="102">
        <v>0.97233796296296304</v>
      </c>
      <c r="F86" s="101">
        <v>220220</v>
      </c>
      <c r="G86" s="102">
        <v>9.2898238341744446E-2</v>
      </c>
      <c r="H86" s="101">
        <v>19696.780370096483</v>
      </c>
      <c r="I86" s="101">
        <v>5658.5156545091286</v>
      </c>
      <c r="J86" s="101" t="s">
        <v>1868</v>
      </c>
      <c r="K86" t="str">
        <f>VLOOKUP(Historic_BCast_BASE[[#This Row],[Broadcast Market]],Continent_Look_Up[],2,FALSE)</f>
        <v>Asia Pacific</v>
      </c>
      <c r="L86" t="str">
        <f>IF(OR(Historic_BCast_BASE[[#This Row],[Broadcast Continent]]="Digital",Historic_BCast_BASE[[#This Row],[Programme Type]]="Digital"),"Y","N")</f>
        <v>N</v>
      </c>
      <c r="M86" s="4" t="str">
        <f>IF(ISNUMBER(SEARCH("Pan ",Historic_BCast_BASE[[#This Row],[Broadcast Market]]))=TRUE,"Y","N")</f>
        <v>N</v>
      </c>
      <c r="N86" t="str">
        <f>VLOOKUP(CONCATENATE(Historic_BCast_BASE[[#This Row],[Broadcast Market]],Historic_BCast_BASE[[#This Row],[Broadcaster]]),Table1[[CC]:[Pay TV vs. Free-to-Air]],3,FALSE)</f>
        <v>Pay TV</v>
      </c>
      <c r="O86" s="1">
        <f>VLOOKUP(CONCATENATE(Historic_BCast_BASE[[#This Row],[Broadcast Market]],Historic_BCast_BASE[[#This Row],[Broadcaster]]),Table1[[CC]:[Pay TV vs. Free-to-Air]],2,FALSE)</f>
        <v>40000000</v>
      </c>
      <c r="P86" s="57">
        <f>Historic_BCast_BASE[[#This Row],[Rolex EXP]]*86400</f>
        <v>8026.4077927267199</v>
      </c>
      <c r="Q86" s="73" t="str">
        <f>IF(Historic_BCast_BASE[[#This Row],[Dashboard Rated?]]="No","N","Y")</f>
        <v>Y</v>
      </c>
      <c r="R86" s="81"/>
      <c r="S86" s="81"/>
    </row>
    <row r="87" spans="1:19" x14ac:dyDescent="0.25">
      <c r="A87" s="72" t="s">
        <v>1869</v>
      </c>
      <c r="B87" t="s">
        <v>62</v>
      </c>
      <c r="C87" t="s">
        <v>868</v>
      </c>
      <c r="D87" t="s">
        <v>1643</v>
      </c>
      <c r="E87" s="102">
        <v>5.0405671296296299</v>
      </c>
      <c r="F87" s="101">
        <v>85500</v>
      </c>
      <c r="G87" s="102">
        <v>0.4780377570187424</v>
      </c>
      <c r="H87" s="101">
        <v>75989.886175969936</v>
      </c>
      <c r="I87" s="101">
        <v>22397.835829458287</v>
      </c>
      <c r="J87" s="101" t="s">
        <v>1868</v>
      </c>
      <c r="K87" t="str">
        <f>VLOOKUP(Historic_BCast_BASE[[#This Row],[Broadcast Market]],Continent_Look_Up[],2,FALSE)</f>
        <v>Asia Pacific</v>
      </c>
      <c r="L87" t="str">
        <f>IF(OR(Historic_BCast_BASE[[#This Row],[Broadcast Continent]]="Digital",Historic_BCast_BASE[[#This Row],[Programme Type]]="Digital"),"Y","N")</f>
        <v>N</v>
      </c>
      <c r="M87" s="4" t="str">
        <f>IF(ISNUMBER(SEARCH("Pan ",Historic_BCast_BASE[[#This Row],[Broadcast Market]]))=TRUE,"Y","N")</f>
        <v>N</v>
      </c>
      <c r="N87" t="str">
        <f>VLOOKUP(CONCATENATE(Historic_BCast_BASE[[#This Row],[Broadcast Market]],Historic_BCast_BASE[[#This Row],[Broadcaster]]),Table1[[CC]:[Pay TV vs. Free-to-Air]],3,FALSE)</f>
        <v>Pay TV</v>
      </c>
      <c r="O87" s="1">
        <f>VLOOKUP(CONCATENATE(Historic_BCast_BASE[[#This Row],[Broadcast Market]],Historic_BCast_BASE[[#This Row],[Broadcaster]]),Table1[[CC]:[Pay TV vs. Free-to-Air]],2,FALSE)</f>
        <v>40000000</v>
      </c>
      <c r="P87" s="51">
        <f>Historic_BCast_BASE[[#This Row],[Rolex EXP]]*86400</f>
        <v>41302.462206419346</v>
      </c>
      <c r="Q87" s="73" t="str">
        <f>IF(Historic_BCast_BASE[[#This Row],[Dashboard Rated?]]="No","N","Y")</f>
        <v>Y</v>
      </c>
      <c r="R87" s="81"/>
      <c r="S87" s="81"/>
    </row>
    <row r="88" spans="1:19" x14ac:dyDescent="0.25">
      <c r="A88" s="72" t="s">
        <v>1869</v>
      </c>
      <c r="B88" t="s">
        <v>62</v>
      </c>
      <c r="C88" t="s">
        <v>1645</v>
      </c>
      <c r="D88" t="s">
        <v>1642</v>
      </c>
      <c r="E88" s="102">
        <v>2.6621180555555557</v>
      </c>
      <c r="F88" s="101">
        <v>158640</v>
      </c>
      <c r="G88" s="102">
        <v>0.25434168677859309</v>
      </c>
      <c r="H88" s="101">
        <v>16076.900655328311</v>
      </c>
      <c r="I88" s="101">
        <v>4618.5920909325596</v>
      </c>
      <c r="J88" s="101" t="s">
        <v>1868</v>
      </c>
      <c r="K88" t="str">
        <f>VLOOKUP(Historic_BCast_BASE[[#This Row],[Broadcast Market]],Continent_Look_Up[],2,FALSE)</f>
        <v>Asia Pacific</v>
      </c>
      <c r="L88" t="str">
        <f>IF(OR(Historic_BCast_BASE[[#This Row],[Broadcast Continent]]="Digital",Historic_BCast_BASE[[#This Row],[Programme Type]]="Digital"),"Y","N")</f>
        <v>N</v>
      </c>
      <c r="M88" s="4" t="str">
        <f>IF(ISNUMBER(SEARCH("Pan ",Historic_BCast_BASE[[#This Row],[Broadcast Market]]))=TRUE,"Y","N")</f>
        <v>N</v>
      </c>
      <c r="N88" t="str">
        <f>VLOOKUP(CONCATENATE(Historic_BCast_BASE[[#This Row],[Broadcast Market]],Historic_BCast_BASE[[#This Row],[Broadcaster]]),Table1[[CC]:[Pay TV vs. Free-to-Air]],3,FALSE)</f>
        <v>Pay TV</v>
      </c>
      <c r="O88" s="1">
        <f>VLOOKUP(CONCATENATE(Historic_BCast_BASE[[#This Row],[Broadcast Market]],Historic_BCast_BASE[[#This Row],[Broadcaster]]),Table1[[CC]:[Pay TV vs. Free-to-Air]],2,FALSE)</f>
        <v>5000000</v>
      </c>
      <c r="P88" s="57">
        <f>Historic_BCast_BASE[[#This Row],[Rolex EXP]]*86400</f>
        <v>21975.121737670444</v>
      </c>
      <c r="Q88" s="73" t="str">
        <f>IF(Historic_BCast_BASE[[#This Row],[Dashboard Rated?]]="No","N","Y")</f>
        <v>Y</v>
      </c>
      <c r="R88" s="81"/>
      <c r="S88" s="81"/>
    </row>
    <row r="89" spans="1:19" x14ac:dyDescent="0.25">
      <c r="A89" s="72" t="s">
        <v>1869</v>
      </c>
      <c r="B89" t="s">
        <v>62</v>
      </c>
      <c r="C89" t="s">
        <v>1645</v>
      </c>
      <c r="D89" t="s">
        <v>1643</v>
      </c>
      <c r="E89" s="102">
        <v>5.1912499999999993</v>
      </c>
      <c r="F89" s="101">
        <v>97500</v>
      </c>
      <c r="G89" s="102">
        <v>0.47988729266903646</v>
      </c>
      <c r="H89" s="101">
        <v>80589.339752432075</v>
      </c>
      <c r="I89" s="101">
        <v>23154.319114794329</v>
      </c>
      <c r="J89" s="101" t="s">
        <v>1868</v>
      </c>
      <c r="K89" t="str">
        <f>VLOOKUP(Historic_BCast_BASE[[#This Row],[Broadcast Market]],Continent_Look_Up[],2,FALSE)</f>
        <v>Asia Pacific</v>
      </c>
      <c r="L89" t="str">
        <f>IF(OR(Historic_BCast_BASE[[#This Row],[Broadcast Continent]]="Digital",Historic_BCast_BASE[[#This Row],[Programme Type]]="Digital"),"Y","N")</f>
        <v>N</v>
      </c>
      <c r="M89" s="4" t="str">
        <f>IF(ISNUMBER(SEARCH("Pan ",Historic_BCast_BASE[[#This Row],[Broadcast Market]]))=TRUE,"Y","N")</f>
        <v>N</v>
      </c>
      <c r="N89" t="str">
        <f>VLOOKUP(CONCATENATE(Historic_BCast_BASE[[#This Row],[Broadcast Market]],Historic_BCast_BASE[[#This Row],[Broadcaster]]),Table1[[CC]:[Pay TV vs. Free-to-Air]],3,FALSE)</f>
        <v>Pay TV</v>
      </c>
      <c r="O89" s="1">
        <f>VLOOKUP(CONCATENATE(Historic_BCast_BASE[[#This Row],[Broadcast Market]],Historic_BCast_BASE[[#This Row],[Broadcaster]]),Table1[[CC]:[Pay TV vs. Free-to-Air]],2,FALSE)</f>
        <v>5000000</v>
      </c>
      <c r="P89" s="51">
        <f>Historic_BCast_BASE[[#This Row],[Rolex EXP]]*86400</f>
        <v>41462.262086604751</v>
      </c>
      <c r="Q89" s="73" t="str">
        <f>IF(Historic_BCast_BASE[[#This Row],[Dashboard Rated?]]="No","N","Y")</f>
        <v>Y</v>
      </c>
      <c r="R89" s="81"/>
      <c r="S89" s="81"/>
    </row>
    <row r="90" spans="1:19" x14ac:dyDescent="0.25">
      <c r="A90" s="72" t="s">
        <v>1869</v>
      </c>
      <c r="B90" t="s">
        <v>62</v>
      </c>
      <c r="C90" t="s">
        <v>871</v>
      </c>
      <c r="D90" t="s">
        <v>1642</v>
      </c>
      <c r="E90" s="102">
        <v>2.6579976851851854</v>
      </c>
      <c r="F90" s="101">
        <v>487050</v>
      </c>
      <c r="G90" s="102">
        <v>0.25394802206189682</v>
      </c>
      <c r="H90" s="101">
        <v>42012.824649137619</v>
      </c>
      <c r="I90" s="101">
        <v>12069.496714712452</v>
      </c>
      <c r="J90" s="101" t="s">
        <v>1868</v>
      </c>
      <c r="K90" t="str">
        <f>VLOOKUP(Historic_BCast_BASE[[#This Row],[Broadcast Market]],Continent_Look_Up[],2,FALSE)</f>
        <v>Asia Pacific</v>
      </c>
      <c r="L90" t="str">
        <f>IF(OR(Historic_BCast_BASE[[#This Row],[Broadcast Continent]]="Digital",Historic_BCast_BASE[[#This Row],[Programme Type]]="Digital"),"Y","N")</f>
        <v>N</v>
      </c>
      <c r="M90" s="4" t="str">
        <f>IF(ISNUMBER(SEARCH("Pan ",Historic_BCast_BASE[[#This Row],[Broadcast Market]]))=TRUE,"Y","N")</f>
        <v>N</v>
      </c>
      <c r="N90" t="str">
        <f>VLOOKUP(CONCATENATE(Historic_BCast_BASE[[#This Row],[Broadcast Market]],Historic_BCast_BASE[[#This Row],[Broadcaster]]),Table1[[CC]:[Pay TV vs. Free-to-Air]],3,FALSE)</f>
        <v>Pay TV</v>
      </c>
      <c r="O90" s="1">
        <f>VLOOKUP(CONCATENATE(Historic_BCast_BASE[[#This Row],[Broadcast Market]],Historic_BCast_BASE[[#This Row],[Broadcaster]]),Table1[[CC]:[Pay TV vs. Free-to-Air]],2,FALSE)</f>
        <v>29000000</v>
      </c>
      <c r="P90" s="57">
        <f>Historic_BCast_BASE[[#This Row],[Rolex EXP]]*86400</f>
        <v>21941.109106147884</v>
      </c>
      <c r="Q90" s="73" t="str">
        <f>IF(Historic_BCast_BASE[[#This Row],[Dashboard Rated?]]="No","N","Y")</f>
        <v>Y</v>
      </c>
      <c r="R90" s="81"/>
      <c r="S90" s="81"/>
    </row>
    <row r="91" spans="1:19" x14ac:dyDescent="0.25">
      <c r="A91" s="72" t="s">
        <v>1869</v>
      </c>
      <c r="B91" t="s">
        <v>62</v>
      </c>
      <c r="C91" t="s">
        <v>871</v>
      </c>
      <c r="D91" t="s">
        <v>1643</v>
      </c>
      <c r="E91" s="102">
        <v>5.1934953703703703</v>
      </c>
      <c r="F91" s="101">
        <v>144290</v>
      </c>
      <c r="G91" s="102">
        <v>0.48017694816975243</v>
      </c>
      <c r="H91" s="101">
        <v>78398.367706665158</v>
      </c>
      <c r="I91" s="101">
        <v>23283.191472448081</v>
      </c>
      <c r="J91" s="101" t="s">
        <v>1868</v>
      </c>
      <c r="K91" t="str">
        <f>VLOOKUP(Historic_BCast_BASE[[#This Row],[Broadcast Market]],Continent_Look_Up[],2,FALSE)</f>
        <v>Asia Pacific</v>
      </c>
      <c r="L91" t="str">
        <f>IF(OR(Historic_BCast_BASE[[#This Row],[Broadcast Continent]]="Digital",Historic_BCast_BASE[[#This Row],[Programme Type]]="Digital"),"Y","N")</f>
        <v>N</v>
      </c>
      <c r="M91" s="4" t="str">
        <f>IF(ISNUMBER(SEARCH("Pan ",Historic_BCast_BASE[[#This Row],[Broadcast Market]]))=TRUE,"Y","N")</f>
        <v>N</v>
      </c>
      <c r="N91" t="str">
        <f>VLOOKUP(CONCATENATE(Historic_BCast_BASE[[#This Row],[Broadcast Market]],Historic_BCast_BASE[[#This Row],[Broadcaster]]),Table1[[CC]:[Pay TV vs. Free-to-Air]],3,FALSE)</f>
        <v>Pay TV</v>
      </c>
      <c r="O91" s="1">
        <f>VLOOKUP(CONCATENATE(Historic_BCast_BASE[[#This Row],[Broadcast Market]],Historic_BCast_BASE[[#This Row],[Broadcaster]]),Table1[[CC]:[Pay TV vs. Free-to-Air]],2,FALSE)</f>
        <v>29000000</v>
      </c>
      <c r="P91" s="51">
        <f>Historic_BCast_BASE[[#This Row],[Rolex EXP]]*86400</f>
        <v>41487.28832186661</v>
      </c>
      <c r="Q91" s="73" t="str">
        <f>IF(Historic_BCast_BASE[[#This Row],[Dashboard Rated?]]="No","N","Y")</f>
        <v>Y</v>
      </c>
      <c r="R91" s="81"/>
      <c r="S91" s="81"/>
    </row>
    <row r="92" spans="1:19" x14ac:dyDescent="0.25">
      <c r="A92" s="72" t="s">
        <v>1869</v>
      </c>
      <c r="B92" t="s">
        <v>63</v>
      </c>
      <c r="C92" t="s">
        <v>468</v>
      </c>
      <c r="D92" t="s">
        <v>1642</v>
      </c>
      <c r="E92" s="102">
        <v>2.8333333333333335</v>
      </c>
      <c r="F92" s="101">
        <v>735951</v>
      </c>
      <c r="G92" s="102">
        <v>0.25565890246443318</v>
      </c>
      <c r="H92" s="101">
        <v>13223.636597688781</v>
      </c>
      <c r="I92" s="101">
        <v>3861.7696003980009</v>
      </c>
      <c r="J92" s="101" t="s">
        <v>1867</v>
      </c>
      <c r="K92" t="str">
        <f>VLOOKUP(Historic_BCast_BASE[[#This Row],[Broadcast Market]],Continent_Look_Up[],2,FALSE)</f>
        <v>Asia Pacific</v>
      </c>
      <c r="L92" t="str">
        <f>IF(OR(Historic_BCast_BASE[[#This Row],[Broadcast Continent]]="Digital",Historic_BCast_BASE[[#This Row],[Programme Type]]="Digital"),"Y","N")</f>
        <v>N</v>
      </c>
      <c r="M92" s="4" t="str">
        <f>IF(ISNUMBER(SEARCH("Pan ",Historic_BCast_BASE[[#This Row],[Broadcast Market]]))=TRUE,"Y","N")</f>
        <v>N</v>
      </c>
      <c r="N92" t="str">
        <f>VLOOKUP(CONCATENATE(Historic_BCast_BASE[[#This Row],[Broadcast Market]],Historic_BCast_BASE[[#This Row],[Broadcaster]]),Table1[[CC]:[Pay TV vs. Free-to-Air]],3,FALSE)</f>
        <v>Pay TV</v>
      </c>
      <c r="O92" s="1">
        <f>VLOOKUP(CONCATENATE(Historic_BCast_BASE[[#This Row],[Broadcast Market]],Historic_BCast_BASE[[#This Row],[Broadcaster]]),Table1[[CC]:[Pay TV vs. Free-to-Air]],2,FALSE)</f>
        <v>4637000</v>
      </c>
      <c r="P92" s="57">
        <f>Historic_BCast_BASE[[#This Row],[Rolex EXP]]*86400</f>
        <v>22088.929172927026</v>
      </c>
      <c r="Q92" s="73" t="str">
        <f>IF(Historic_BCast_BASE[[#This Row],[Dashboard Rated?]]="No","N","Y")</f>
        <v>N</v>
      </c>
      <c r="R92" s="81"/>
      <c r="S92" s="81"/>
    </row>
    <row r="93" spans="1:19" x14ac:dyDescent="0.25">
      <c r="A93" s="72" t="s">
        <v>1869</v>
      </c>
      <c r="B93" t="s">
        <v>63</v>
      </c>
      <c r="C93" t="s">
        <v>468</v>
      </c>
      <c r="D93" t="s">
        <v>1643</v>
      </c>
      <c r="E93" s="102">
        <v>6.0763888888888893</v>
      </c>
      <c r="F93" s="101">
        <v>189154</v>
      </c>
      <c r="G93" s="102">
        <v>0.57860855077255602</v>
      </c>
      <c r="H93" s="101">
        <v>49409.846990061131</v>
      </c>
      <c r="I93" s="101">
        <v>14213.149012671369</v>
      </c>
      <c r="J93" s="101" t="s">
        <v>1867</v>
      </c>
      <c r="K93" t="str">
        <f>VLOOKUP(Historic_BCast_BASE[[#This Row],[Broadcast Market]],Continent_Look_Up[],2,FALSE)</f>
        <v>Asia Pacific</v>
      </c>
      <c r="L93" t="str">
        <f>IF(OR(Historic_BCast_BASE[[#This Row],[Broadcast Continent]]="Digital",Historic_BCast_BASE[[#This Row],[Programme Type]]="Digital"),"Y","N")</f>
        <v>N</v>
      </c>
      <c r="M93" s="4" t="str">
        <f>IF(ISNUMBER(SEARCH("Pan ",Historic_BCast_BASE[[#This Row],[Broadcast Market]]))=TRUE,"Y","N")</f>
        <v>N</v>
      </c>
      <c r="N93" t="str">
        <f>VLOOKUP(CONCATENATE(Historic_BCast_BASE[[#This Row],[Broadcast Market]],Historic_BCast_BASE[[#This Row],[Broadcaster]]),Table1[[CC]:[Pay TV vs. Free-to-Air]],3,FALSE)</f>
        <v>Pay TV</v>
      </c>
      <c r="O93" s="1">
        <f>VLOOKUP(CONCATENATE(Historic_BCast_BASE[[#This Row],[Broadcast Market]],Historic_BCast_BASE[[#This Row],[Broadcaster]]),Table1[[CC]:[Pay TV vs. Free-to-Air]],2,FALSE)</f>
        <v>4637000</v>
      </c>
      <c r="P93" s="51">
        <f>Historic_BCast_BASE[[#This Row],[Rolex EXP]]*86400</f>
        <v>49991.778786748837</v>
      </c>
      <c r="Q93" s="73" t="str">
        <f>IF(Historic_BCast_BASE[[#This Row],[Dashboard Rated?]]="No","N","Y")</f>
        <v>N</v>
      </c>
      <c r="R93" s="81"/>
      <c r="S93" s="81"/>
    </row>
    <row r="94" spans="1:19" x14ac:dyDescent="0.25">
      <c r="A94" s="72" t="s">
        <v>1869</v>
      </c>
      <c r="B94" t="s">
        <v>63</v>
      </c>
      <c r="C94" t="s">
        <v>225</v>
      </c>
      <c r="D94" t="s">
        <v>1642</v>
      </c>
      <c r="E94" s="102">
        <v>0.20833333333333334</v>
      </c>
      <c r="F94" s="101">
        <v>58854</v>
      </c>
      <c r="G94" s="102">
        <v>1.58097502594658E-2</v>
      </c>
      <c r="H94" s="101">
        <v>954.66604296461571</v>
      </c>
      <c r="I94" s="101">
        <v>272.98695550621147</v>
      </c>
      <c r="J94" s="101" t="s">
        <v>1867</v>
      </c>
      <c r="K94" t="str">
        <f>VLOOKUP(Historic_BCast_BASE[[#This Row],[Broadcast Market]],Continent_Look_Up[],2,FALSE)</f>
        <v>Asia Pacific</v>
      </c>
      <c r="L94" t="str">
        <f>IF(OR(Historic_BCast_BASE[[#This Row],[Broadcast Continent]]="Digital",Historic_BCast_BASE[[#This Row],[Programme Type]]="Digital"),"Y","N")</f>
        <v>N</v>
      </c>
      <c r="M94" s="4" t="str">
        <f>IF(ISNUMBER(SEARCH("Pan ",Historic_BCast_BASE[[#This Row],[Broadcast Market]]))=TRUE,"Y","N")</f>
        <v>N</v>
      </c>
      <c r="N94" t="str">
        <f>VLOOKUP(CONCATENATE(Historic_BCast_BASE[[#This Row],[Broadcast Market]],Historic_BCast_BASE[[#This Row],[Broadcaster]]),Table1[[CC]:[Pay TV vs. Free-to-Air]],3,FALSE)</f>
        <v>Pay TV</v>
      </c>
      <c r="O94" s="1">
        <f>VLOOKUP(CONCATENATE(Historic_BCast_BASE[[#This Row],[Broadcast Market]],Historic_BCast_BASE[[#This Row],[Broadcaster]]),Table1[[CC]:[Pay TV vs. Free-to-Air]],2,FALSE)</f>
        <v>4637000</v>
      </c>
      <c r="P94" s="51">
        <f>Historic_BCast_BASE[[#This Row],[Rolex EXP]]*86400</f>
        <v>1365.9624224178451</v>
      </c>
      <c r="Q94" s="73" t="str">
        <f>IF(Historic_BCast_BASE[[#This Row],[Dashboard Rated?]]="No","N","Y")</f>
        <v>N</v>
      </c>
      <c r="R94" s="81"/>
      <c r="S94" s="81"/>
    </row>
    <row r="95" spans="1:19" x14ac:dyDescent="0.25">
      <c r="A95" s="72" t="s">
        <v>1869</v>
      </c>
      <c r="B95" t="s">
        <v>63</v>
      </c>
      <c r="C95" t="s">
        <v>225</v>
      </c>
      <c r="D95" t="s">
        <v>1643</v>
      </c>
      <c r="E95" s="102">
        <v>3.0625</v>
      </c>
      <c r="F95" s="101">
        <v>94577</v>
      </c>
      <c r="G95" s="102">
        <v>0.29259461808386605</v>
      </c>
      <c r="H95" s="101">
        <v>24985.899863277489</v>
      </c>
      <c r="I95" s="101">
        <v>7177.9805055348015</v>
      </c>
      <c r="J95" s="101" t="s">
        <v>1867</v>
      </c>
      <c r="K95" t="str">
        <f>VLOOKUP(Historic_BCast_BASE[[#This Row],[Broadcast Market]],Continent_Look_Up[],2,FALSE)</f>
        <v>Asia Pacific</v>
      </c>
      <c r="L95" t="str">
        <f>IF(OR(Historic_BCast_BASE[[#This Row],[Broadcast Continent]]="Digital",Historic_BCast_BASE[[#This Row],[Programme Type]]="Digital"),"Y","N")</f>
        <v>N</v>
      </c>
      <c r="M95" s="4" t="str">
        <f>IF(ISNUMBER(SEARCH("Pan ",Historic_BCast_BASE[[#This Row],[Broadcast Market]]))=TRUE,"Y","N")</f>
        <v>N</v>
      </c>
      <c r="N95" t="str">
        <f>VLOOKUP(CONCATENATE(Historic_BCast_BASE[[#This Row],[Broadcast Market]],Historic_BCast_BASE[[#This Row],[Broadcaster]]),Table1[[CC]:[Pay TV vs. Free-to-Air]],3,FALSE)</f>
        <v>Pay TV</v>
      </c>
      <c r="O95" s="1">
        <f>VLOOKUP(CONCATENATE(Historic_BCast_BASE[[#This Row],[Broadcast Market]],Historic_BCast_BASE[[#This Row],[Broadcaster]]),Table1[[CC]:[Pay TV vs. Free-to-Air]],2,FALSE)</f>
        <v>4637000</v>
      </c>
      <c r="P95" s="57">
        <f>Historic_BCast_BASE[[#This Row],[Rolex EXP]]*86400</f>
        <v>25280.175002446027</v>
      </c>
      <c r="Q95" s="73" t="str">
        <f>IF(Historic_BCast_BASE[[#This Row],[Dashboard Rated?]]="No","N","Y")</f>
        <v>N</v>
      </c>
      <c r="R95" s="81"/>
      <c r="S95" s="81"/>
    </row>
    <row r="96" spans="1:19" x14ac:dyDescent="0.25">
      <c r="A96" s="72" t="s">
        <v>1869</v>
      </c>
      <c r="B96" t="s">
        <v>63</v>
      </c>
      <c r="C96" t="s">
        <v>197</v>
      </c>
      <c r="D96" t="s">
        <v>1643</v>
      </c>
      <c r="E96" s="102">
        <v>0.50694444444444442</v>
      </c>
      <c r="F96" s="101">
        <v>13511</v>
      </c>
      <c r="G96" s="102">
        <v>4.8434029750844036E-2</v>
      </c>
      <c r="H96" s="101">
        <v>4135.9879592273392</v>
      </c>
      <c r="I96" s="101">
        <v>1188.1917843629037</v>
      </c>
      <c r="J96" s="101" t="s">
        <v>1867</v>
      </c>
      <c r="K96" t="str">
        <f>VLOOKUP(Historic_BCast_BASE[[#This Row],[Broadcast Market]],Continent_Look_Up[],2,FALSE)</f>
        <v>Asia Pacific</v>
      </c>
      <c r="L96" t="str">
        <f>IF(OR(Historic_BCast_BASE[[#This Row],[Broadcast Continent]]="Digital",Historic_BCast_BASE[[#This Row],[Programme Type]]="Digital"),"Y","N")</f>
        <v>N</v>
      </c>
      <c r="M96" s="4" t="str">
        <f>IF(ISNUMBER(SEARCH("Pan ",Historic_BCast_BASE[[#This Row],[Broadcast Market]]))=TRUE,"Y","N")</f>
        <v>N</v>
      </c>
      <c r="N96" t="str">
        <f>VLOOKUP(CONCATENATE(Historic_BCast_BASE[[#This Row],[Broadcast Market]],Historic_BCast_BASE[[#This Row],[Broadcaster]]),Table1[[CC]:[Pay TV vs. Free-to-Air]],3,FALSE)</f>
        <v>Pay TV</v>
      </c>
      <c r="O96" s="1">
        <f>VLOOKUP(CONCATENATE(Historic_BCast_BASE[[#This Row],[Broadcast Market]],Historic_BCast_BASE[[#This Row],[Broadcaster]]),Table1[[CC]:[Pay TV vs. Free-to-Air]],2,FALSE)</f>
        <v>4637000</v>
      </c>
      <c r="P96" s="57">
        <f>Historic_BCast_BASE[[#This Row],[Rolex EXP]]*86400</f>
        <v>4184.7001704729246</v>
      </c>
      <c r="Q96" s="73" t="str">
        <f>IF(Historic_BCast_BASE[[#This Row],[Dashboard Rated?]]="No","N","Y")</f>
        <v>N</v>
      </c>
      <c r="R96" s="81"/>
      <c r="S96" s="81"/>
    </row>
    <row r="97" spans="1:19" x14ac:dyDescent="0.25">
      <c r="A97" s="72" t="s">
        <v>1869</v>
      </c>
      <c r="B97" t="s">
        <v>66</v>
      </c>
      <c r="C97" t="s">
        <v>221</v>
      </c>
      <c r="D97" t="s">
        <v>1642</v>
      </c>
      <c r="E97" s="102">
        <v>0.46527777777777773</v>
      </c>
      <c r="F97" s="101">
        <v>79483</v>
      </c>
      <c r="G97" s="102">
        <v>4.4453150593240419E-2</v>
      </c>
      <c r="H97" s="101">
        <v>13255.295991461257</v>
      </c>
      <c r="I97" s="101">
        <v>3807.9979805586972</v>
      </c>
      <c r="J97" s="101" t="s">
        <v>1867</v>
      </c>
      <c r="K97" t="str">
        <f>VLOOKUP(Historic_BCast_BASE[[#This Row],[Broadcast Market]],Continent_Look_Up[],2,FALSE)</f>
        <v>Europe</v>
      </c>
      <c r="L97" t="str">
        <f>IF(OR(Historic_BCast_BASE[[#This Row],[Broadcast Continent]]="Digital",Historic_BCast_BASE[[#This Row],[Programme Type]]="Digital"),"Y","N")</f>
        <v>N</v>
      </c>
      <c r="M97" s="4" t="str">
        <f>IF(ISNUMBER(SEARCH("Pan ",Historic_BCast_BASE[[#This Row],[Broadcast Market]]))=TRUE,"Y","N")</f>
        <v>N</v>
      </c>
      <c r="N97" t="str">
        <f>VLOOKUP(CONCATENATE(Historic_BCast_BASE[[#This Row],[Broadcast Market]],Historic_BCast_BASE[[#This Row],[Broadcaster]]),Table1[[CC]:[Pay TV vs. Free-to-Air]],3,FALSE)</f>
        <v>Pay TV</v>
      </c>
      <c r="O97" s="1">
        <f>VLOOKUP(CONCATENATE(Historic_BCast_BASE[[#This Row],[Broadcast Market]],Historic_BCast_BASE[[#This Row],[Broadcaster]]),Table1[[CC]:[Pay TV vs. Free-to-Air]],2,FALSE)</f>
        <v>0</v>
      </c>
      <c r="P97" s="57">
        <f>Historic_BCast_BASE[[#This Row],[Rolex EXP]]*86400</f>
        <v>3840.7522112559723</v>
      </c>
      <c r="Q97" s="73" t="str">
        <f>IF(Historic_BCast_BASE[[#This Row],[Dashboard Rated?]]="No","N","Y")</f>
        <v>N</v>
      </c>
      <c r="R97" s="81"/>
      <c r="S97" s="81"/>
    </row>
    <row r="98" spans="1:19" x14ac:dyDescent="0.25">
      <c r="A98" s="72" t="s">
        <v>1869</v>
      </c>
      <c r="B98" t="s">
        <v>66</v>
      </c>
      <c r="C98" t="s">
        <v>221</v>
      </c>
      <c r="D98" t="s">
        <v>1643</v>
      </c>
      <c r="E98" s="102">
        <v>5.4305555555555562</v>
      </c>
      <c r="F98" s="101">
        <v>1109511</v>
      </c>
      <c r="G98" s="102">
        <v>0.50355236239976209</v>
      </c>
      <c r="H98" s="101">
        <v>356961.29089061305</v>
      </c>
      <c r="I98" s="101">
        <v>103388.95839458054</v>
      </c>
      <c r="J98" s="101" t="s">
        <v>1867</v>
      </c>
      <c r="K98" t="str">
        <f>VLOOKUP(Historic_BCast_BASE[[#This Row],[Broadcast Market]],Continent_Look_Up[],2,FALSE)</f>
        <v>Europe</v>
      </c>
      <c r="L98" t="str">
        <f>IF(OR(Historic_BCast_BASE[[#This Row],[Broadcast Continent]]="Digital",Historic_BCast_BASE[[#This Row],[Programme Type]]="Digital"),"Y","N")</f>
        <v>N</v>
      </c>
      <c r="M98" s="4" t="str">
        <f>IF(ISNUMBER(SEARCH("Pan ",Historic_BCast_BASE[[#This Row],[Broadcast Market]]))=TRUE,"Y","N")</f>
        <v>N</v>
      </c>
      <c r="N98" t="str">
        <f>VLOOKUP(CONCATENATE(Historic_BCast_BASE[[#This Row],[Broadcast Market]],Historic_BCast_BASE[[#This Row],[Broadcaster]]),Table1[[CC]:[Pay TV vs. Free-to-Air]],3,FALSE)</f>
        <v>Pay TV</v>
      </c>
      <c r="O98" s="1">
        <f>VLOOKUP(CONCATENATE(Historic_BCast_BASE[[#This Row],[Broadcast Market]],Historic_BCast_BASE[[#This Row],[Broadcaster]]),Table1[[CC]:[Pay TV vs. Free-to-Air]],2,FALSE)</f>
        <v>0</v>
      </c>
      <c r="P98" s="57">
        <f>Historic_BCast_BASE[[#This Row],[Rolex EXP]]*86400</f>
        <v>43506.924111339446</v>
      </c>
      <c r="Q98" s="73" t="str">
        <f>IF(Historic_BCast_BASE[[#This Row],[Dashboard Rated?]]="No","N","Y")</f>
        <v>N</v>
      </c>
      <c r="R98" s="81"/>
      <c r="S98" s="81"/>
    </row>
    <row r="99" spans="1:19" x14ac:dyDescent="0.25">
      <c r="A99" s="72" t="s">
        <v>1869</v>
      </c>
      <c r="B99" t="s">
        <v>66</v>
      </c>
      <c r="C99" t="s">
        <v>221</v>
      </c>
      <c r="D99" t="s">
        <v>1644</v>
      </c>
      <c r="E99" s="102">
        <v>3.3680555555555554</v>
      </c>
      <c r="F99" s="101">
        <v>575389</v>
      </c>
      <c r="G99" s="102">
        <v>0.294678101051701</v>
      </c>
      <c r="H99" s="101">
        <v>103473.89012752855</v>
      </c>
      <c r="I99" s="101">
        <v>30222.676337863595</v>
      </c>
      <c r="J99" s="101" t="s">
        <v>1867</v>
      </c>
      <c r="K99" t="str">
        <f>VLOOKUP(Historic_BCast_BASE[[#This Row],[Broadcast Market]],Continent_Look_Up[],2,FALSE)</f>
        <v>Europe</v>
      </c>
      <c r="L99" t="str">
        <f>IF(OR(Historic_BCast_BASE[[#This Row],[Broadcast Continent]]="Digital",Historic_BCast_BASE[[#This Row],[Programme Type]]="Digital"),"Y","N")</f>
        <v>N</v>
      </c>
      <c r="M99" s="4" t="str">
        <f>IF(ISNUMBER(SEARCH("Pan ",Historic_BCast_BASE[[#This Row],[Broadcast Market]]))=TRUE,"Y","N")</f>
        <v>N</v>
      </c>
      <c r="N99" t="str">
        <f>VLOOKUP(CONCATENATE(Historic_BCast_BASE[[#This Row],[Broadcast Market]],Historic_BCast_BASE[[#This Row],[Broadcaster]]),Table1[[CC]:[Pay TV vs. Free-to-Air]],3,FALSE)</f>
        <v>Pay TV</v>
      </c>
      <c r="O99" s="1">
        <f>VLOOKUP(CONCATENATE(Historic_BCast_BASE[[#This Row],[Broadcast Market]],Historic_BCast_BASE[[#This Row],[Broadcaster]]),Table1[[CC]:[Pay TV vs. Free-to-Air]],2,FALSE)</f>
        <v>0</v>
      </c>
      <c r="P99" s="51">
        <f>Historic_BCast_BASE[[#This Row],[Rolex EXP]]*86400</f>
        <v>25460.187930866967</v>
      </c>
      <c r="Q99" s="73" t="str">
        <f>IF(Historic_BCast_BASE[[#This Row],[Dashboard Rated?]]="No","N","Y")</f>
        <v>N</v>
      </c>
      <c r="R99" s="81"/>
      <c r="S99" s="81"/>
    </row>
    <row r="100" spans="1:19" x14ac:dyDescent="0.25">
      <c r="A100" s="72" t="s">
        <v>1869</v>
      </c>
      <c r="B100" t="s">
        <v>66</v>
      </c>
      <c r="C100" t="s">
        <v>269</v>
      </c>
      <c r="D100" t="s">
        <v>1642</v>
      </c>
      <c r="E100" s="102">
        <v>0.125</v>
      </c>
      <c r="F100" s="101">
        <v>40420</v>
      </c>
      <c r="G100" s="102">
        <v>1.1942637472810857E-2</v>
      </c>
      <c r="H100" s="101">
        <v>6661.2812585588608</v>
      </c>
      <c r="I100" s="101">
        <v>1913.6611960129676</v>
      </c>
      <c r="J100" s="101" t="s">
        <v>1867</v>
      </c>
      <c r="K100" t="str">
        <f>VLOOKUP(Historic_BCast_BASE[[#This Row],[Broadcast Market]],Continent_Look_Up[],2,FALSE)</f>
        <v>Europe</v>
      </c>
      <c r="L100" t="str">
        <f>IF(OR(Historic_BCast_BASE[[#This Row],[Broadcast Continent]]="Digital",Historic_BCast_BASE[[#This Row],[Programme Type]]="Digital"),"Y","N")</f>
        <v>N</v>
      </c>
      <c r="M100" s="4" t="str">
        <f>IF(ISNUMBER(SEARCH("Pan ",Historic_BCast_BASE[[#This Row],[Broadcast Market]]))=TRUE,"Y","N")</f>
        <v>N</v>
      </c>
      <c r="N100" t="str">
        <f>VLOOKUP(CONCATENATE(Historic_BCast_BASE[[#This Row],[Broadcast Market]],Historic_BCast_BASE[[#This Row],[Broadcaster]]),Table1[[CC]:[Pay TV vs. Free-to-Air]],3,FALSE)</f>
        <v>Pay TV</v>
      </c>
      <c r="O100" s="1">
        <f>VLOOKUP(CONCATENATE(Historic_BCast_BASE[[#This Row],[Broadcast Market]],Historic_BCast_BASE[[#This Row],[Broadcaster]]),Table1[[CC]:[Pay TV vs. Free-to-Air]],2,FALSE)</f>
        <v>6054000</v>
      </c>
      <c r="P100" s="51">
        <f>Historic_BCast_BASE[[#This Row],[Rolex EXP]]*86400</f>
        <v>1031.8438776508581</v>
      </c>
      <c r="Q100" s="73" t="str">
        <f>IF(Historic_BCast_BASE[[#This Row],[Dashboard Rated?]]="No","N","Y")</f>
        <v>N</v>
      </c>
      <c r="R100" s="81"/>
      <c r="S100" s="81"/>
    </row>
    <row r="101" spans="1:19" x14ac:dyDescent="0.25">
      <c r="A101" s="72" t="s">
        <v>1869</v>
      </c>
      <c r="B101" t="s">
        <v>66</v>
      </c>
      <c r="C101" t="s">
        <v>269</v>
      </c>
      <c r="D101" t="s">
        <v>1643</v>
      </c>
      <c r="E101" s="102">
        <v>3.1666666666666665</v>
      </c>
      <c r="F101" s="101">
        <v>952734</v>
      </c>
      <c r="G101" s="102">
        <v>0.30254681597787481</v>
      </c>
      <c r="H101" s="101">
        <v>314024.20280018961</v>
      </c>
      <c r="I101" s="101">
        <v>90213.26501346966</v>
      </c>
      <c r="J101" s="101" t="s">
        <v>1867</v>
      </c>
      <c r="K101" t="str">
        <f>VLOOKUP(Historic_BCast_BASE[[#This Row],[Broadcast Market]],Continent_Look_Up[],2,FALSE)</f>
        <v>Europe</v>
      </c>
      <c r="L101" t="str">
        <f>IF(OR(Historic_BCast_BASE[[#This Row],[Broadcast Continent]]="Digital",Historic_BCast_BASE[[#This Row],[Programme Type]]="Digital"),"Y","N")</f>
        <v>N</v>
      </c>
      <c r="M101" s="4" t="str">
        <f>IF(ISNUMBER(SEARCH("Pan ",Historic_BCast_BASE[[#This Row],[Broadcast Market]]))=TRUE,"Y","N")</f>
        <v>N</v>
      </c>
      <c r="N101" t="str">
        <f>VLOOKUP(CONCATENATE(Historic_BCast_BASE[[#This Row],[Broadcast Market]],Historic_BCast_BASE[[#This Row],[Broadcaster]]),Table1[[CC]:[Pay TV vs. Free-to-Air]],3,FALSE)</f>
        <v>Pay TV</v>
      </c>
      <c r="O101" s="1">
        <f>VLOOKUP(CONCATENATE(Historic_BCast_BASE[[#This Row],[Broadcast Market]],Historic_BCast_BASE[[#This Row],[Broadcaster]]),Table1[[CC]:[Pay TV vs. Free-to-Air]],2,FALSE)</f>
        <v>6054000</v>
      </c>
      <c r="P101" s="57">
        <f>Historic_BCast_BASE[[#This Row],[Rolex EXP]]*86400</f>
        <v>26140.044900488385</v>
      </c>
      <c r="Q101" s="73" t="str">
        <f>IF(Historic_BCast_BASE[[#This Row],[Dashboard Rated?]]="No","N","Y")</f>
        <v>N</v>
      </c>
      <c r="R101" s="81"/>
      <c r="S101" s="81"/>
    </row>
    <row r="102" spans="1:19" x14ac:dyDescent="0.25">
      <c r="A102" s="72" t="s">
        <v>1869</v>
      </c>
      <c r="B102" t="s">
        <v>66</v>
      </c>
      <c r="C102" t="s">
        <v>269</v>
      </c>
      <c r="D102" t="s">
        <v>1644</v>
      </c>
      <c r="E102" s="102">
        <v>4.8611111111111116</v>
      </c>
      <c r="F102" s="101">
        <v>1002302</v>
      </c>
      <c r="G102" s="102">
        <v>0.4523047240537505</v>
      </c>
      <c r="H102" s="101">
        <v>209136.83608664823</v>
      </c>
      <c r="I102" s="101">
        <v>60670.829725970507</v>
      </c>
      <c r="J102" s="101" t="s">
        <v>1867</v>
      </c>
      <c r="K102" t="str">
        <f>VLOOKUP(Historic_BCast_BASE[[#This Row],[Broadcast Market]],Continent_Look_Up[],2,FALSE)</f>
        <v>Europe</v>
      </c>
      <c r="L102" t="str">
        <f>IF(OR(Historic_BCast_BASE[[#This Row],[Broadcast Continent]]="Digital",Historic_BCast_BASE[[#This Row],[Programme Type]]="Digital"),"Y","N")</f>
        <v>N</v>
      </c>
      <c r="M102" s="4" t="str">
        <f>IF(ISNUMBER(SEARCH("Pan ",Historic_BCast_BASE[[#This Row],[Broadcast Market]]))=TRUE,"Y","N")</f>
        <v>N</v>
      </c>
      <c r="N102" t="str">
        <f>VLOOKUP(CONCATENATE(Historic_BCast_BASE[[#This Row],[Broadcast Market]],Historic_BCast_BASE[[#This Row],[Broadcaster]]),Table1[[CC]:[Pay TV vs. Free-to-Air]],3,FALSE)</f>
        <v>Pay TV</v>
      </c>
      <c r="O102" s="1">
        <f>VLOOKUP(CONCATENATE(Historic_BCast_BASE[[#This Row],[Broadcast Market]],Historic_BCast_BASE[[#This Row],[Broadcaster]]),Table1[[CC]:[Pay TV vs. Free-to-Air]],2,FALSE)</f>
        <v>6054000</v>
      </c>
      <c r="P102" s="51">
        <f>Historic_BCast_BASE[[#This Row],[Rolex EXP]]*86400</f>
        <v>39079.128158244042</v>
      </c>
      <c r="Q102" s="73" t="str">
        <f>IF(Historic_BCast_BASE[[#This Row],[Dashboard Rated?]]="No","N","Y")</f>
        <v>N</v>
      </c>
      <c r="R102" s="82"/>
      <c r="S102" s="82"/>
    </row>
    <row r="103" spans="1:19" x14ac:dyDescent="0.25">
      <c r="A103" s="72" t="s">
        <v>1869</v>
      </c>
      <c r="B103" t="s">
        <v>67</v>
      </c>
      <c r="C103" t="s">
        <v>1024</v>
      </c>
      <c r="D103" t="s">
        <v>1642</v>
      </c>
      <c r="E103" s="102">
        <v>8.3333333333333329E-2</v>
      </c>
      <c r="F103" s="101">
        <v>10978</v>
      </c>
      <c r="G103" s="102">
        <v>8.7022510940409203E-3</v>
      </c>
      <c r="H103" s="101">
        <v>1964.6234498281574</v>
      </c>
      <c r="I103" s="101">
        <v>584.20132621816674</v>
      </c>
      <c r="J103" s="101" t="s">
        <v>1867</v>
      </c>
      <c r="K103" t="str">
        <f>VLOOKUP(Historic_BCast_BASE[[#This Row],[Broadcast Market]],Continent_Look_Up[],2,FALSE)</f>
        <v>Asia Pacific</v>
      </c>
      <c r="L103" t="str">
        <f>IF(OR(Historic_BCast_BASE[[#This Row],[Broadcast Continent]]="Digital",Historic_BCast_BASE[[#This Row],[Programme Type]]="Digital"),"Y","N")</f>
        <v>N</v>
      </c>
      <c r="M103" s="4" t="str">
        <f>IF(ISNUMBER(SEARCH("Pan ",Historic_BCast_BASE[[#This Row],[Broadcast Market]]))=TRUE,"Y","N")</f>
        <v>N</v>
      </c>
      <c r="N103" t="str">
        <f>VLOOKUP(CONCATENATE(Historic_BCast_BASE[[#This Row],[Broadcast Market]],Historic_BCast_BASE[[#This Row],[Broadcaster]]),Table1[[CC]:[Pay TV vs. Free-to-Air]],3,FALSE)</f>
        <v>Pay TV</v>
      </c>
      <c r="O103" s="1">
        <f>VLOOKUP(CONCATENATE(Historic_BCast_BASE[[#This Row],[Broadcast Market]],Historic_BCast_BASE[[#This Row],[Broadcaster]]),Table1[[CC]:[Pay TV vs. Free-to-Air]],2,FALSE)</f>
        <v>4513000</v>
      </c>
      <c r="P103" s="51">
        <f>Historic_BCast_BASE[[#This Row],[Rolex EXP]]*86400</f>
        <v>751.87449452513556</v>
      </c>
      <c r="Q103" s="73" t="str">
        <f>IF(Historic_BCast_BASE[[#This Row],[Dashboard Rated?]]="No","N","Y")</f>
        <v>N</v>
      </c>
      <c r="R103" s="82"/>
      <c r="S103" s="82"/>
    </row>
    <row r="104" spans="1:19" x14ac:dyDescent="0.25">
      <c r="A104" s="72" t="s">
        <v>1869</v>
      </c>
      <c r="B104" t="s">
        <v>67</v>
      </c>
      <c r="C104" t="s">
        <v>1024</v>
      </c>
      <c r="D104" t="s">
        <v>1643</v>
      </c>
      <c r="E104" s="102">
        <v>7.9020833333333336</v>
      </c>
      <c r="F104" s="101">
        <v>341900</v>
      </c>
      <c r="G104" s="102">
        <v>0.75151600656457651</v>
      </c>
      <c r="H104" s="101">
        <v>406460.61541593977</v>
      </c>
      <c r="I104" s="101">
        <v>116979.17903439238</v>
      </c>
      <c r="J104" s="101" t="s">
        <v>1867</v>
      </c>
      <c r="K104" t="str">
        <f>VLOOKUP(Historic_BCast_BASE[[#This Row],[Broadcast Market]],Continent_Look_Up[],2,FALSE)</f>
        <v>Asia Pacific</v>
      </c>
      <c r="L104" t="str">
        <f>IF(OR(Historic_BCast_BASE[[#This Row],[Broadcast Continent]]="Digital",Historic_BCast_BASE[[#This Row],[Programme Type]]="Digital"),"Y","N")</f>
        <v>N</v>
      </c>
      <c r="M104" s="4" t="str">
        <f>IF(ISNUMBER(SEARCH("Pan ",Historic_BCast_BASE[[#This Row],[Broadcast Market]]))=TRUE,"Y","N")</f>
        <v>N</v>
      </c>
      <c r="N104" t="str">
        <f>VLOOKUP(CONCATENATE(Historic_BCast_BASE[[#This Row],[Broadcast Market]],Historic_BCast_BASE[[#This Row],[Broadcaster]]),Table1[[CC]:[Pay TV vs. Free-to-Air]],3,FALSE)</f>
        <v>Pay TV</v>
      </c>
      <c r="O104" s="1">
        <f>VLOOKUP(CONCATENATE(Historic_BCast_BASE[[#This Row],[Broadcast Market]],Historic_BCast_BASE[[#This Row],[Broadcaster]]),Table1[[CC]:[Pay TV vs. Free-to-Air]],2,FALSE)</f>
        <v>4513000</v>
      </c>
      <c r="P104" s="51">
        <f>Historic_BCast_BASE[[#This Row],[Rolex EXP]]*86400</f>
        <v>64930.982967179414</v>
      </c>
      <c r="Q104" s="73" t="str">
        <f>IF(Historic_BCast_BASE[[#This Row],[Dashboard Rated?]]="No","N","Y")</f>
        <v>N</v>
      </c>
      <c r="R104" s="82"/>
      <c r="S104" s="82"/>
    </row>
    <row r="105" spans="1:19" x14ac:dyDescent="0.25">
      <c r="A105" s="72" t="s">
        <v>1869</v>
      </c>
      <c r="B105" t="s">
        <v>67</v>
      </c>
      <c r="C105" t="s">
        <v>1026</v>
      </c>
      <c r="D105" t="s">
        <v>1643</v>
      </c>
      <c r="E105" s="102">
        <v>0.63194444444444442</v>
      </c>
      <c r="F105" s="101">
        <v>26300</v>
      </c>
      <c r="G105" s="102">
        <v>6.0376667223654888E-2</v>
      </c>
      <c r="H105" s="101">
        <v>32654.976210917757</v>
      </c>
      <c r="I105" s="101">
        <v>9381.1623328872083</v>
      </c>
      <c r="J105" s="101" t="s">
        <v>1867</v>
      </c>
      <c r="K105" t="str">
        <f>VLOOKUP(Historic_BCast_BASE[[#This Row],[Broadcast Market]],Continent_Look_Up[],2,FALSE)</f>
        <v>Asia Pacific</v>
      </c>
      <c r="L105" t="str">
        <f>IF(OR(Historic_BCast_BASE[[#This Row],[Broadcast Continent]]="Digital",Historic_BCast_BASE[[#This Row],[Programme Type]]="Digital"),"Y","N")</f>
        <v>N</v>
      </c>
      <c r="M105" s="4" t="str">
        <f>IF(ISNUMBER(SEARCH("Pan ",Historic_BCast_BASE[[#This Row],[Broadcast Market]]))=TRUE,"Y","N")</f>
        <v>N</v>
      </c>
      <c r="N105" t="str">
        <f>VLOOKUP(CONCATENATE(Historic_BCast_BASE[[#This Row],[Broadcast Market]],Historic_BCast_BASE[[#This Row],[Broadcaster]]),Table1[[CC]:[Pay TV vs. Free-to-Air]],3,FALSE)</f>
        <v>Pay TV</v>
      </c>
      <c r="O105" s="1">
        <f>VLOOKUP(CONCATENATE(Historic_BCast_BASE[[#This Row],[Broadcast Market]],Historic_BCast_BASE[[#This Row],[Broadcaster]]),Table1[[CC]:[Pay TV vs. Free-to-Air]],2,FALSE)</f>
        <v>4513000</v>
      </c>
      <c r="P105" s="57">
        <f>Historic_BCast_BASE[[#This Row],[Rolex EXP]]*86400</f>
        <v>5216.544048123782</v>
      </c>
      <c r="Q105" s="73" t="str">
        <f>IF(Historic_BCast_BASE[[#This Row],[Dashboard Rated?]]="No","N","Y")</f>
        <v>N</v>
      </c>
      <c r="R105" s="82"/>
      <c r="S105" s="82"/>
    </row>
    <row r="106" spans="1:19" x14ac:dyDescent="0.25">
      <c r="A106" s="72" t="s">
        <v>1869</v>
      </c>
      <c r="B106" t="s">
        <v>133</v>
      </c>
      <c r="C106" t="s">
        <v>1062</v>
      </c>
      <c r="D106" t="s">
        <v>1643</v>
      </c>
      <c r="E106" s="102">
        <v>0.96180555555555547</v>
      </c>
      <c r="F106" s="101">
        <v>1588</v>
      </c>
      <c r="G106" s="102">
        <v>9.1891960554683558E-2</v>
      </c>
      <c r="H106" s="101">
        <v>1184.2931361255698</v>
      </c>
      <c r="I106" s="101">
        <v>340.22521063737793</v>
      </c>
      <c r="J106" s="101" t="s">
        <v>1867</v>
      </c>
      <c r="K106" t="str">
        <f>VLOOKUP(Historic_BCast_BASE[[#This Row],[Broadcast Market]],Continent_Look_Up[],2,FALSE)</f>
        <v>Asia Pacific</v>
      </c>
      <c r="L106" t="str">
        <f>IF(OR(Historic_BCast_BASE[[#This Row],[Broadcast Continent]]="Digital",Historic_BCast_BASE[[#This Row],[Programme Type]]="Digital"),"Y","N")</f>
        <v>N</v>
      </c>
      <c r="M106" s="4" t="str">
        <f>IF(ISNUMBER(SEARCH("Pan ",Historic_BCast_BASE[[#This Row],[Broadcast Market]]))=TRUE,"Y","N")</f>
        <v>N</v>
      </c>
      <c r="N106" t="str">
        <f>VLOOKUP(CONCATENATE(Historic_BCast_BASE[[#This Row],[Broadcast Market]],Historic_BCast_BASE[[#This Row],[Broadcaster]]),Table1[[CC]:[Pay TV vs. Free-to-Air]],3,FALSE)</f>
        <v>Free-to-Air</v>
      </c>
      <c r="O106" s="1">
        <f>VLOOKUP(CONCATENATE(Historic_BCast_BASE[[#This Row],[Broadcast Market]],Historic_BCast_BASE[[#This Row],[Broadcaster]]),Table1[[CC]:[Pay TV vs. Free-to-Air]],2,FALSE)</f>
        <v>250000</v>
      </c>
      <c r="P106" s="51">
        <f>Historic_BCast_BASE[[#This Row],[Rolex EXP]]*86400</f>
        <v>7939.4653919246593</v>
      </c>
      <c r="Q106" s="73" t="str">
        <f>IF(Historic_BCast_BASE[[#This Row],[Dashboard Rated?]]="No","N","Y")</f>
        <v>N</v>
      </c>
      <c r="R106" s="82"/>
      <c r="S106" s="82"/>
    </row>
    <row r="107" spans="1:19" x14ac:dyDescent="0.25">
      <c r="A107" s="72" t="s">
        <v>1869</v>
      </c>
      <c r="B107" t="s">
        <v>133</v>
      </c>
      <c r="C107" t="s">
        <v>1062</v>
      </c>
      <c r="D107" t="s">
        <v>1644</v>
      </c>
      <c r="E107" s="102">
        <v>0.96527777777777779</v>
      </c>
      <c r="F107" s="101">
        <v>3360</v>
      </c>
      <c r="G107" s="102">
        <v>9.2223700484483848E-2</v>
      </c>
      <c r="H107" s="101">
        <v>1438.158699128672</v>
      </c>
      <c r="I107" s="101">
        <v>413.1560265068951</v>
      </c>
      <c r="J107" s="101" t="s">
        <v>1867</v>
      </c>
      <c r="K107" t="str">
        <f>VLOOKUP(Historic_BCast_BASE[[#This Row],[Broadcast Market]],Continent_Look_Up[],2,FALSE)</f>
        <v>Asia Pacific</v>
      </c>
      <c r="L107" t="str">
        <f>IF(OR(Historic_BCast_BASE[[#This Row],[Broadcast Continent]]="Digital",Historic_BCast_BASE[[#This Row],[Programme Type]]="Digital"),"Y","N")</f>
        <v>N</v>
      </c>
      <c r="M107" s="4" t="str">
        <f>IF(ISNUMBER(SEARCH("Pan ",Historic_BCast_BASE[[#This Row],[Broadcast Market]]))=TRUE,"Y","N")</f>
        <v>N</v>
      </c>
      <c r="N107" t="str">
        <f>VLOOKUP(CONCATENATE(Historic_BCast_BASE[[#This Row],[Broadcast Market]],Historic_BCast_BASE[[#This Row],[Broadcaster]]),Table1[[CC]:[Pay TV vs. Free-to-Air]],3,FALSE)</f>
        <v>Free-to-Air</v>
      </c>
      <c r="O107" s="1">
        <f>VLOOKUP(CONCATENATE(Historic_BCast_BASE[[#This Row],[Broadcast Market]],Historic_BCast_BASE[[#This Row],[Broadcaster]]),Table1[[CC]:[Pay TV vs. Free-to-Air]],2,FALSE)</f>
        <v>250000</v>
      </c>
      <c r="P107" s="51">
        <f>Historic_BCast_BASE[[#This Row],[Rolex EXP]]*86400</f>
        <v>7968.1277218594041</v>
      </c>
      <c r="Q107" s="73" t="str">
        <f>IF(Historic_BCast_BASE[[#This Row],[Dashboard Rated?]]="No","N","Y")</f>
        <v>N</v>
      </c>
      <c r="R107" s="82"/>
      <c r="S107" s="82"/>
    </row>
    <row r="108" spans="1:19" x14ac:dyDescent="0.25">
      <c r="A108" s="72" t="s">
        <v>1869</v>
      </c>
      <c r="B108" t="s">
        <v>81</v>
      </c>
      <c r="C108" t="s">
        <v>194</v>
      </c>
      <c r="D108" t="s">
        <v>1642</v>
      </c>
      <c r="E108" s="102">
        <v>3.0678009259259258</v>
      </c>
      <c r="F108" s="101">
        <v>41000</v>
      </c>
      <c r="G108" s="102">
        <v>0.2799164314269294</v>
      </c>
      <c r="H108" s="101">
        <v>7746.9612849488276</v>
      </c>
      <c r="I108" s="101">
        <v>2212.1330967994004</v>
      </c>
      <c r="J108" s="101" t="s">
        <v>1868</v>
      </c>
      <c r="K108" t="str">
        <f>VLOOKUP(Historic_BCast_BASE[[#This Row],[Broadcast Market]],Continent_Look_Up[],2,FALSE)</f>
        <v>Asia Pacific</v>
      </c>
      <c r="L108" t="str">
        <f>IF(OR(Historic_BCast_BASE[[#This Row],[Broadcast Continent]]="Digital",Historic_BCast_BASE[[#This Row],[Programme Type]]="Digital"),"Y","N")</f>
        <v>N</v>
      </c>
      <c r="M108" s="4" t="str">
        <f>IF(ISNUMBER(SEARCH("Pan ",Historic_BCast_BASE[[#This Row],[Broadcast Market]]))=TRUE,"Y","N")</f>
        <v>N</v>
      </c>
      <c r="N108" t="str">
        <f>VLOOKUP(CONCATENATE(Historic_BCast_BASE[[#This Row],[Broadcast Market]],Historic_BCast_BASE[[#This Row],[Broadcaster]]),Table1[[CC]:[Pay TV vs. Free-to-Air]],3,FALSE)</f>
        <v>Pay TV</v>
      </c>
      <c r="O108" s="1">
        <f>VLOOKUP(CONCATENATE(Historic_BCast_BASE[[#This Row],[Broadcast Market]],Historic_BCast_BASE[[#This Row],[Broadcaster]]),Table1[[CC]:[Pay TV vs. Free-to-Air]],2,FALSE)</f>
        <v>4355000</v>
      </c>
      <c r="P108" s="57">
        <f>Historic_BCast_BASE[[#This Row],[Rolex EXP]]*86400</f>
        <v>24184.7796752867</v>
      </c>
      <c r="Q108" s="73" t="str">
        <f>IF(Historic_BCast_BASE[[#This Row],[Dashboard Rated?]]="No","N","Y")</f>
        <v>Y</v>
      </c>
      <c r="R108" s="82"/>
      <c r="S108" s="82"/>
    </row>
    <row r="109" spans="1:19" x14ac:dyDescent="0.25">
      <c r="A109" s="72" t="s">
        <v>1869</v>
      </c>
      <c r="B109" t="s">
        <v>81</v>
      </c>
      <c r="C109" t="s">
        <v>194</v>
      </c>
      <c r="D109" t="s">
        <v>1643</v>
      </c>
      <c r="E109" s="102">
        <v>6.1754050925925936</v>
      </c>
      <c r="F109" s="101">
        <v>0</v>
      </c>
      <c r="G109" s="102">
        <v>0.5823587574263972</v>
      </c>
      <c r="H109" s="101">
        <v>0</v>
      </c>
      <c r="I109" s="101">
        <v>0</v>
      </c>
      <c r="J109" s="101" t="s">
        <v>1868</v>
      </c>
      <c r="K109" t="str">
        <f>VLOOKUP(Historic_BCast_BASE[[#This Row],[Broadcast Market]],Continent_Look_Up[],2,FALSE)</f>
        <v>Asia Pacific</v>
      </c>
      <c r="L109" t="str">
        <f>IF(OR(Historic_BCast_BASE[[#This Row],[Broadcast Continent]]="Digital",Historic_BCast_BASE[[#This Row],[Programme Type]]="Digital"),"Y","N")</f>
        <v>N</v>
      </c>
      <c r="M109" s="4" t="str">
        <f>IF(ISNUMBER(SEARCH("Pan ",Historic_BCast_BASE[[#This Row],[Broadcast Market]]))=TRUE,"Y","N")</f>
        <v>N</v>
      </c>
      <c r="N109" t="str">
        <f>VLOOKUP(CONCATENATE(Historic_BCast_BASE[[#This Row],[Broadcast Market]],Historic_BCast_BASE[[#This Row],[Broadcaster]]),Table1[[CC]:[Pay TV vs. Free-to-Air]],3,FALSE)</f>
        <v>Pay TV</v>
      </c>
      <c r="O109" s="1">
        <f>VLOOKUP(CONCATENATE(Historic_BCast_BASE[[#This Row],[Broadcast Market]],Historic_BCast_BASE[[#This Row],[Broadcaster]]),Table1[[CC]:[Pay TV vs. Free-to-Air]],2,FALSE)</f>
        <v>4355000</v>
      </c>
      <c r="P109" s="57">
        <f>Historic_BCast_BASE[[#This Row],[Rolex EXP]]*86400</f>
        <v>50315.796641640722</v>
      </c>
      <c r="Q109" s="73" t="str">
        <f>IF(Historic_BCast_BASE[[#This Row],[Dashboard Rated?]]="No","N","Y")</f>
        <v>Y</v>
      </c>
      <c r="R109" s="82"/>
      <c r="S109" s="82"/>
    </row>
    <row r="110" spans="1:19" x14ac:dyDescent="0.25">
      <c r="A110" s="72" t="s">
        <v>1869</v>
      </c>
      <c r="B110" t="s">
        <v>81</v>
      </c>
      <c r="C110" t="s">
        <v>225</v>
      </c>
      <c r="D110" t="s">
        <v>1642</v>
      </c>
      <c r="E110" s="102">
        <v>0.47209490740740745</v>
      </c>
      <c r="F110" s="101">
        <v>0</v>
      </c>
      <c r="G110" s="102">
        <v>4.1951547729316134E-2</v>
      </c>
      <c r="H110" s="101">
        <v>0</v>
      </c>
      <c r="I110" s="101">
        <v>0</v>
      </c>
      <c r="J110" s="101" t="s">
        <v>1868</v>
      </c>
      <c r="K110" t="str">
        <f>VLOOKUP(Historic_BCast_BASE[[#This Row],[Broadcast Market]],Continent_Look_Up[],2,FALSE)</f>
        <v>Asia Pacific</v>
      </c>
      <c r="L110" t="str">
        <f>IF(OR(Historic_BCast_BASE[[#This Row],[Broadcast Continent]]="Digital",Historic_BCast_BASE[[#This Row],[Programme Type]]="Digital"),"Y","N")</f>
        <v>N</v>
      </c>
      <c r="M110" s="4" t="str">
        <f>IF(ISNUMBER(SEARCH("Pan ",Historic_BCast_BASE[[#This Row],[Broadcast Market]]))=TRUE,"Y","N")</f>
        <v>N</v>
      </c>
      <c r="N110" t="str">
        <f>VLOOKUP(CONCATENATE(Historic_BCast_BASE[[#This Row],[Broadcast Market]],Historic_BCast_BASE[[#This Row],[Broadcaster]]),Table1[[CC]:[Pay TV vs. Free-to-Air]],3,FALSE)</f>
        <v>Pay TV</v>
      </c>
      <c r="O110" s="1">
        <f>VLOOKUP(CONCATENATE(Historic_BCast_BASE[[#This Row],[Broadcast Market]],Historic_BCast_BASE[[#This Row],[Broadcaster]]),Table1[[CC]:[Pay TV vs. Free-to-Air]],2,FALSE)</f>
        <v>4355000</v>
      </c>
      <c r="P110" s="51">
        <f>Historic_BCast_BASE[[#This Row],[Rolex EXP]]*86400</f>
        <v>3624.613723812914</v>
      </c>
      <c r="Q110" s="73" t="str">
        <f>IF(Historic_BCast_BASE[[#This Row],[Dashboard Rated?]]="No","N","Y")</f>
        <v>Y</v>
      </c>
      <c r="R110" s="82"/>
      <c r="S110" s="82"/>
    </row>
    <row r="111" spans="1:19" x14ac:dyDescent="0.25">
      <c r="A111" s="72" t="s">
        <v>1869</v>
      </c>
      <c r="B111" t="s">
        <v>81</v>
      </c>
      <c r="C111" t="s">
        <v>225</v>
      </c>
      <c r="D111" t="s">
        <v>1643</v>
      </c>
      <c r="E111" s="102">
        <v>3.6505324074074075</v>
      </c>
      <c r="F111" s="101">
        <v>0</v>
      </c>
      <c r="G111" s="102">
        <v>0.34877588099531304</v>
      </c>
      <c r="H111" s="101">
        <v>0</v>
      </c>
      <c r="I111" s="101">
        <v>0</v>
      </c>
      <c r="J111" s="101" t="s">
        <v>1868</v>
      </c>
      <c r="K111" t="str">
        <f>VLOOKUP(Historic_BCast_BASE[[#This Row],[Broadcast Market]],Continent_Look_Up[],2,FALSE)</f>
        <v>Asia Pacific</v>
      </c>
      <c r="L111" t="str">
        <f>IF(OR(Historic_BCast_BASE[[#This Row],[Broadcast Continent]]="Digital",Historic_BCast_BASE[[#This Row],[Programme Type]]="Digital"),"Y","N")</f>
        <v>N</v>
      </c>
      <c r="M111" s="4" t="str">
        <f>IF(ISNUMBER(SEARCH("Pan ",Historic_BCast_BASE[[#This Row],[Broadcast Market]]))=TRUE,"Y","N")</f>
        <v>N</v>
      </c>
      <c r="N111" t="str">
        <f>VLOOKUP(CONCATENATE(Historic_BCast_BASE[[#This Row],[Broadcast Market]],Historic_BCast_BASE[[#This Row],[Broadcaster]]),Table1[[CC]:[Pay TV vs. Free-to-Air]],3,FALSE)</f>
        <v>Pay TV</v>
      </c>
      <c r="O111" s="1">
        <f>VLOOKUP(CONCATENATE(Historic_BCast_BASE[[#This Row],[Broadcast Market]],Historic_BCast_BASE[[#This Row],[Broadcaster]]),Table1[[CC]:[Pay TV vs. Free-to-Air]],2,FALSE)</f>
        <v>4355000</v>
      </c>
      <c r="P111" s="57">
        <f>Historic_BCast_BASE[[#This Row],[Rolex EXP]]*86400</f>
        <v>30134.236117995046</v>
      </c>
      <c r="Q111" s="73" t="str">
        <f>IF(Historic_BCast_BASE[[#This Row],[Dashboard Rated?]]="No","N","Y")</f>
        <v>Y</v>
      </c>
      <c r="R111" s="82"/>
      <c r="S111" s="82"/>
    </row>
    <row r="112" spans="1:19" x14ac:dyDescent="0.25">
      <c r="A112" s="72" t="s">
        <v>1869</v>
      </c>
      <c r="B112" t="s">
        <v>81</v>
      </c>
      <c r="C112" t="s">
        <v>882</v>
      </c>
      <c r="D112" t="s">
        <v>1642</v>
      </c>
      <c r="E112" s="102">
        <v>0.47209490740740745</v>
      </c>
      <c r="F112" s="101">
        <v>2000</v>
      </c>
      <c r="G112" s="102">
        <v>4.1951547729316134E-2</v>
      </c>
      <c r="H112" s="101">
        <v>184.58688701877878</v>
      </c>
      <c r="I112" s="101">
        <v>53.028351344090815</v>
      </c>
      <c r="J112" s="101" t="s">
        <v>1868</v>
      </c>
      <c r="K112" t="str">
        <f>VLOOKUP(Historic_BCast_BASE[[#This Row],[Broadcast Market]],Continent_Look_Up[],2,FALSE)</f>
        <v>Asia Pacific</v>
      </c>
      <c r="L112" t="str">
        <f>IF(OR(Historic_BCast_BASE[[#This Row],[Broadcast Continent]]="Digital",Historic_BCast_BASE[[#This Row],[Programme Type]]="Digital"),"Y","N")</f>
        <v>N</v>
      </c>
      <c r="M112" s="4" t="str">
        <f>IF(ISNUMBER(SEARCH("Pan ",Historic_BCast_BASE[[#This Row],[Broadcast Market]]))=TRUE,"Y","N")</f>
        <v>N</v>
      </c>
      <c r="N112" t="str">
        <f>VLOOKUP(CONCATENATE(Historic_BCast_BASE[[#This Row],[Broadcast Market]],Historic_BCast_BASE[[#This Row],[Broadcaster]]),Table1[[CC]:[Pay TV vs. Free-to-Air]],3,FALSE)</f>
        <v>Pay TV</v>
      </c>
      <c r="O112" s="1">
        <f>VLOOKUP(CONCATENATE(Historic_BCast_BASE[[#This Row],[Broadcast Market]],Historic_BCast_BASE[[#This Row],[Broadcaster]]),Table1[[CC]:[Pay TV vs. Free-to-Air]],2,FALSE)</f>
        <v>4355000</v>
      </c>
      <c r="P112" s="51">
        <f>Historic_BCast_BASE[[#This Row],[Rolex EXP]]*86400</f>
        <v>3624.613723812914</v>
      </c>
      <c r="Q112" s="73" t="str">
        <f>IF(Historic_BCast_BASE[[#This Row],[Dashboard Rated?]]="No","N","Y")</f>
        <v>Y</v>
      </c>
      <c r="R112" s="82"/>
      <c r="S112" s="82"/>
    </row>
    <row r="113" spans="1:19" x14ac:dyDescent="0.25">
      <c r="A113" s="72" t="s">
        <v>1869</v>
      </c>
      <c r="B113" t="s">
        <v>81</v>
      </c>
      <c r="C113" t="s">
        <v>882</v>
      </c>
      <c r="D113" t="s">
        <v>1643</v>
      </c>
      <c r="E113" s="102">
        <v>3.6505324074074075</v>
      </c>
      <c r="F113" s="101">
        <v>25000</v>
      </c>
      <c r="G113" s="102">
        <v>0.34877588099531304</v>
      </c>
      <c r="H113" s="101">
        <v>15509.228912764307</v>
      </c>
      <c r="I113" s="101">
        <v>4455.5106440379377</v>
      </c>
      <c r="J113" s="101" t="s">
        <v>1868</v>
      </c>
      <c r="K113" t="str">
        <f>VLOOKUP(Historic_BCast_BASE[[#This Row],[Broadcast Market]],Continent_Look_Up[],2,FALSE)</f>
        <v>Asia Pacific</v>
      </c>
      <c r="L113" t="str">
        <f>IF(OR(Historic_BCast_BASE[[#This Row],[Broadcast Continent]]="Digital",Historic_BCast_BASE[[#This Row],[Programme Type]]="Digital"),"Y","N")</f>
        <v>N</v>
      </c>
      <c r="M113" s="4" t="str">
        <f>IF(ISNUMBER(SEARCH("Pan ",Historic_BCast_BASE[[#This Row],[Broadcast Market]]))=TRUE,"Y","N")</f>
        <v>N</v>
      </c>
      <c r="N113" t="str">
        <f>VLOOKUP(CONCATENATE(Historic_BCast_BASE[[#This Row],[Broadcast Market]],Historic_BCast_BASE[[#This Row],[Broadcaster]]),Table1[[CC]:[Pay TV vs. Free-to-Air]],3,FALSE)</f>
        <v>Pay TV</v>
      </c>
      <c r="O113" s="1">
        <f>VLOOKUP(CONCATENATE(Historic_BCast_BASE[[#This Row],[Broadcast Market]],Historic_BCast_BASE[[#This Row],[Broadcaster]]),Table1[[CC]:[Pay TV vs. Free-to-Air]],2,FALSE)</f>
        <v>4355000</v>
      </c>
      <c r="P113" s="57">
        <f>Historic_BCast_BASE[[#This Row],[Rolex EXP]]*86400</f>
        <v>30134.236117995046</v>
      </c>
      <c r="Q113" s="73" t="str">
        <f>IF(Historic_BCast_BASE[[#This Row],[Dashboard Rated?]]="No","N","Y")</f>
        <v>Y</v>
      </c>
      <c r="R113" s="82"/>
      <c r="S113" s="82"/>
    </row>
    <row r="114" spans="1:19" x14ac:dyDescent="0.25">
      <c r="A114" s="72" t="s">
        <v>1869</v>
      </c>
      <c r="B114" t="s">
        <v>81</v>
      </c>
      <c r="C114" t="s">
        <v>197</v>
      </c>
      <c r="D114" t="s">
        <v>1643</v>
      </c>
      <c r="E114" s="102">
        <v>0.50831018518518523</v>
      </c>
      <c r="F114" s="101">
        <v>0</v>
      </c>
      <c r="G114" s="102">
        <v>4.856451412323215E-2</v>
      </c>
      <c r="H114" s="101">
        <v>0</v>
      </c>
      <c r="I114" s="101">
        <v>0</v>
      </c>
      <c r="J114" s="101" t="s">
        <v>1868</v>
      </c>
      <c r="K114" t="str">
        <f>VLOOKUP(Historic_BCast_BASE[[#This Row],[Broadcast Market]],Continent_Look_Up[],2,FALSE)</f>
        <v>Asia Pacific</v>
      </c>
      <c r="L114" t="str">
        <f>IF(OR(Historic_BCast_BASE[[#This Row],[Broadcast Continent]]="Digital",Historic_BCast_BASE[[#This Row],[Programme Type]]="Digital"),"Y","N")</f>
        <v>N</v>
      </c>
      <c r="M114" s="4" t="str">
        <f>IF(ISNUMBER(SEARCH("Pan ",Historic_BCast_BASE[[#This Row],[Broadcast Market]]))=TRUE,"Y","N")</f>
        <v>N</v>
      </c>
      <c r="N114" t="str">
        <f>VLOOKUP(CONCATENATE(Historic_BCast_BASE[[#This Row],[Broadcast Market]],Historic_BCast_BASE[[#This Row],[Broadcaster]]),Table1[[CC]:[Pay TV vs. Free-to-Air]],3,FALSE)</f>
        <v>Pay TV</v>
      </c>
      <c r="O114" s="1">
        <f>VLOOKUP(CONCATENATE(Historic_BCast_BASE[[#This Row],[Broadcast Market]],Historic_BCast_BASE[[#This Row],[Broadcaster]]),Table1[[CC]:[Pay TV vs. Free-to-Air]],2,FALSE)</f>
        <v>4355000</v>
      </c>
      <c r="P114" s="57">
        <f>Historic_BCast_BASE[[#This Row],[Rolex EXP]]*86400</f>
        <v>4195.9740202472576</v>
      </c>
      <c r="Q114" s="73" t="str">
        <f>IF(Historic_BCast_BASE[[#This Row],[Dashboard Rated?]]="No","N","Y")</f>
        <v>Y</v>
      </c>
      <c r="R114" s="82"/>
      <c r="S114" s="82"/>
    </row>
    <row r="115" spans="1:19" x14ac:dyDescent="0.25">
      <c r="A115" s="72" t="s">
        <v>1869</v>
      </c>
      <c r="B115" t="s">
        <v>81</v>
      </c>
      <c r="C115" t="s">
        <v>1076</v>
      </c>
      <c r="D115" t="s">
        <v>1643</v>
      </c>
      <c r="E115" s="102">
        <v>0.50831018518518523</v>
      </c>
      <c r="F115" s="101">
        <v>11000</v>
      </c>
      <c r="G115" s="102">
        <v>4.856451412323215E-2</v>
      </c>
      <c r="H115" s="101">
        <v>5937.702713288264</v>
      </c>
      <c r="I115" s="101">
        <v>1705.7906482001545</v>
      </c>
      <c r="J115" s="101" t="s">
        <v>1868</v>
      </c>
      <c r="K115" t="str">
        <f>VLOOKUP(Historic_BCast_BASE[[#This Row],[Broadcast Market]],Continent_Look_Up[],2,FALSE)</f>
        <v>Asia Pacific</v>
      </c>
      <c r="L115" t="str">
        <f>IF(OR(Historic_BCast_BASE[[#This Row],[Broadcast Continent]]="Digital",Historic_BCast_BASE[[#This Row],[Programme Type]]="Digital"),"Y","N")</f>
        <v>N</v>
      </c>
      <c r="M115" s="4" t="str">
        <f>IF(ISNUMBER(SEARCH("Pan ",Historic_BCast_BASE[[#This Row],[Broadcast Market]]))=TRUE,"Y","N")</f>
        <v>N</v>
      </c>
      <c r="N115" t="str">
        <f>VLOOKUP(CONCATENATE(Historic_BCast_BASE[[#This Row],[Broadcast Market]],Historic_BCast_BASE[[#This Row],[Broadcaster]]),Table1[[CC]:[Pay TV vs. Free-to-Air]],3,FALSE)</f>
        <v>Pay TV</v>
      </c>
      <c r="O115" s="1">
        <f>VLOOKUP(CONCATENATE(Historic_BCast_BASE[[#This Row],[Broadcast Market]],Historic_BCast_BASE[[#This Row],[Broadcaster]]),Table1[[CC]:[Pay TV vs. Free-to-Air]],2,FALSE)</f>
        <v>4355000</v>
      </c>
      <c r="P115" s="51">
        <f>Historic_BCast_BASE[[#This Row],[Rolex EXP]]*86400</f>
        <v>4195.9740202472576</v>
      </c>
      <c r="Q115" s="73" t="str">
        <f>IF(Historic_BCast_BASE[[#This Row],[Dashboard Rated?]]="No","N","Y")</f>
        <v>Y</v>
      </c>
      <c r="R115" s="82"/>
      <c r="S115" s="82"/>
    </row>
    <row r="116" spans="1:19" x14ac:dyDescent="0.25">
      <c r="A116" s="72" t="s">
        <v>1869</v>
      </c>
      <c r="B116" t="s">
        <v>81</v>
      </c>
      <c r="C116" t="s">
        <v>199</v>
      </c>
      <c r="D116" t="s">
        <v>1642</v>
      </c>
      <c r="E116" s="102">
        <v>3.0678009259259258</v>
      </c>
      <c r="F116" s="101">
        <v>73000</v>
      </c>
      <c r="G116" s="102">
        <v>0.2799164314269294</v>
      </c>
      <c r="H116" s="101">
        <v>10306.594003125532</v>
      </c>
      <c r="I116" s="101">
        <v>3052.513109278018</v>
      </c>
      <c r="J116" s="101" t="s">
        <v>1868</v>
      </c>
      <c r="K116" t="str">
        <f>VLOOKUP(Historic_BCast_BASE[[#This Row],[Broadcast Market]],Continent_Look_Up[],2,FALSE)</f>
        <v>Asia Pacific</v>
      </c>
      <c r="L116" t="str">
        <f>IF(OR(Historic_BCast_BASE[[#This Row],[Broadcast Continent]]="Digital",Historic_BCast_BASE[[#This Row],[Programme Type]]="Digital"),"Y","N")</f>
        <v>N</v>
      </c>
      <c r="M116" s="4" t="str">
        <f>IF(ISNUMBER(SEARCH("Pan ",Historic_BCast_BASE[[#This Row],[Broadcast Market]]))=TRUE,"Y","N")</f>
        <v>N</v>
      </c>
      <c r="N116" t="str">
        <f>VLOOKUP(CONCATENATE(Historic_BCast_BASE[[#This Row],[Broadcast Market]],Historic_BCast_BASE[[#This Row],[Broadcaster]]),Table1[[CC]:[Pay TV vs. Free-to-Air]],3,FALSE)</f>
        <v>Pay TV</v>
      </c>
      <c r="O116" s="1">
        <f>VLOOKUP(CONCATENATE(Historic_BCast_BASE[[#This Row],[Broadcast Market]],Historic_BCast_BASE[[#This Row],[Broadcaster]]),Table1[[CC]:[Pay TV vs. Free-to-Air]],2,FALSE)</f>
        <v>4355000</v>
      </c>
      <c r="P116" s="51">
        <f>Historic_BCast_BASE[[#This Row],[Rolex EXP]]*86400</f>
        <v>24184.7796752867</v>
      </c>
      <c r="Q116" s="73" t="str">
        <f>IF(Historic_BCast_BASE[[#This Row],[Dashboard Rated?]]="No","N","Y")</f>
        <v>Y</v>
      </c>
      <c r="R116" s="82"/>
      <c r="S116" s="82"/>
    </row>
    <row r="117" spans="1:19" x14ac:dyDescent="0.25">
      <c r="A117" s="72" t="s">
        <v>1869</v>
      </c>
      <c r="B117" t="s">
        <v>81</v>
      </c>
      <c r="C117" t="s">
        <v>199</v>
      </c>
      <c r="D117" t="s">
        <v>1643</v>
      </c>
      <c r="E117" s="102">
        <v>6.1754050925925936</v>
      </c>
      <c r="F117" s="101">
        <v>38000</v>
      </c>
      <c r="G117" s="102">
        <v>0.58235875742639709</v>
      </c>
      <c r="H117" s="101">
        <v>32698.769188100461</v>
      </c>
      <c r="I117" s="101">
        <v>9383.9485584268423</v>
      </c>
      <c r="J117" s="101" t="s">
        <v>1868</v>
      </c>
      <c r="K117" t="str">
        <f>VLOOKUP(Historic_BCast_BASE[[#This Row],[Broadcast Market]],Continent_Look_Up[],2,FALSE)</f>
        <v>Asia Pacific</v>
      </c>
      <c r="L117" t="str">
        <f>IF(OR(Historic_BCast_BASE[[#This Row],[Broadcast Continent]]="Digital",Historic_BCast_BASE[[#This Row],[Programme Type]]="Digital"),"Y","N")</f>
        <v>N</v>
      </c>
      <c r="M117" s="4" t="str">
        <f>IF(ISNUMBER(SEARCH("Pan ",Historic_BCast_BASE[[#This Row],[Broadcast Market]]))=TRUE,"Y","N")</f>
        <v>N</v>
      </c>
      <c r="N117" t="str">
        <f>VLOOKUP(CONCATENATE(Historic_BCast_BASE[[#This Row],[Broadcast Market]],Historic_BCast_BASE[[#This Row],[Broadcaster]]),Table1[[CC]:[Pay TV vs. Free-to-Air]],3,FALSE)</f>
        <v>Pay TV</v>
      </c>
      <c r="O117" s="1">
        <f>VLOOKUP(CONCATENATE(Historic_BCast_BASE[[#This Row],[Broadcast Market]],Historic_BCast_BASE[[#This Row],[Broadcaster]]),Table1[[CC]:[Pay TV vs. Free-to-Air]],2,FALSE)</f>
        <v>4355000</v>
      </c>
      <c r="P117" s="57">
        <f>Historic_BCast_BASE[[#This Row],[Rolex EXP]]*86400</f>
        <v>50315.796641640707</v>
      </c>
      <c r="Q117" s="73" t="str">
        <f>IF(Historic_BCast_BASE[[#This Row],[Dashboard Rated?]]="No","N","Y")</f>
        <v>Y</v>
      </c>
      <c r="R117" s="82"/>
      <c r="S117" s="82"/>
    </row>
    <row r="118" spans="1:19" x14ac:dyDescent="0.25">
      <c r="A118" s="72" t="s">
        <v>1869</v>
      </c>
      <c r="B118" t="s">
        <v>83</v>
      </c>
      <c r="C118" t="s">
        <v>184</v>
      </c>
      <c r="D118" t="s">
        <v>1643</v>
      </c>
      <c r="E118" s="102">
        <v>0.54166666666666663</v>
      </c>
      <c r="F118" s="101">
        <v>95264</v>
      </c>
      <c r="G118" s="102">
        <v>5.0244117680982296E-2</v>
      </c>
      <c r="H118" s="101">
        <v>52584.801592173215</v>
      </c>
      <c r="I118" s="101">
        <v>15250.23831290113</v>
      </c>
      <c r="J118" s="101" t="s">
        <v>1867</v>
      </c>
      <c r="K118" t="str">
        <f>VLOOKUP(Historic_BCast_BASE[[#This Row],[Broadcast Market]],Continent_Look_Up[],2,FALSE)</f>
        <v>Central &amp; South America</v>
      </c>
      <c r="L118" t="str">
        <f>IF(OR(Historic_BCast_BASE[[#This Row],[Broadcast Continent]]="Digital",Historic_BCast_BASE[[#This Row],[Programme Type]]="Digital"),"Y","N")</f>
        <v>N</v>
      </c>
      <c r="M118" s="4" t="str">
        <f>IF(ISNUMBER(SEARCH("Pan ",Historic_BCast_BASE[[#This Row],[Broadcast Market]]))=TRUE,"Y","N")</f>
        <v>N</v>
      </c>
      <c r="N118" t="str">
        <f>VLOOKUP(CONCATENATE(Historic_BCast_BASE[[#This Row],[Broadcast Market]],Historic_BCast_BASE[[#This Row],[Broadcaster]]),Table1[[CC]:[Pay TV vs. Free-to-Air]],3,FALSE)</f>
        <v>Pay TV</v>
      </c>
      <c r="O118" s="1">
        <f>VLOOKUP(CONCATENATE(Historic_BCast_BASE[[#This Row],[Broadcast Market]],Historic_BCast_BASE[[#This Row],[Broadcaster]]),Table1[[CC]:[Pay TV vs. Free-to-Air]],2,FALSE)</f>
        <v>8173540</v>
      </c>
      <c r="P118" s="57">
        <f>Historic_BCast_BASE[[#This Row],[Rolex EXP]]*86400</f>
        <v>4341.0917676368708</v>
      </c>
      <c r="Q118" s="73" t="str">
        <f>IF(Historic_BCast_BASE[[#This Row],[Dashboard Rated?]]="No","N","Y")</f>
        <v>N</v>
      </c>
      <c r="R118" s="82"/>
      <c r="S118" s="82"/>
    </row>
    <row r="119" spans="1:19" x14ac:dyDescent="0.25">
      <c r="A119" s="72" t="s">
        <v>1869</v>
      </c>
      <c r="B119" t="s">
        <v>83</v>
      </c>
      <c r="C119" t="s">
        <v>184</v>
      </c>
      <c r="D119" t="s">
        <v>1644</v>
      </c>
      <c r="E119" s="102">
        <v>8.3333333333333329E-2</v>
      </c>
      <c r="F119" s="101">
        <v>12246</v>
      </c>
      <c r="G119" s="102">
        <v>6.4544469473424822E-3</v>
      </c>
      <c r="H119" s="101">
        <v>3473.4374654181729</v>
      </c>
      <c r="I119" s="101">
        <v>1071.6970286896569</v>
      </c>
      <c r="J119" s="101" t="s">
        <v>1867</v>
      </c>
      <c r="K119" t="str">
        <f>VLOOKUP(Historic_BCast_BASE[[#This Row],[Broadcast Market]],Continent_Look_Up[],2,FALSE)</f>
        <v>Central &amp; South America</v>
      </c>
      <c r="L119" t="str">
        <f>IF(OR(Historic_BCast_BASE[[#This Row],[Broadcast Continent]]="Digital",Historic_BCast_BASE[[#This Row],[Programme Type]]="Digital"),"Y","N")</f>
        <v>N</v>
      </c>
      <c r="M119" s="4" t="str">
        <f>IF(ISNUMBER(SEARCH("Pan ",Historic_BCast_BASE[[#This Row],[Broadcast Market]]))=TRUE,"Y","N")</f>
        <v>N</v>
      </c>
      <c r="N119" t="str">
        <f>VLOOKUP(CONCATENATE(Historic_BCast_BASE[[#This Row],[Broadcast Market]],Historic_BCast_BASE[[#This Row],[Broadcaster]]),Table1[[CC]:[Pay TV vs. Free-to-Air]],3,FALSE)</f>
        <v>Pay TV</v>
      </c>
      <c r="O119" s="1">
        <f>VLOOKUP(CONCATENATE(Historic_BCast_BASE[[#This Row],[Broadcast Market]],Historic_BCast_BASE[[#This Row],[Broadcaster]]),Table1[[CC]:[Pay TV vs. Free-to-Air]],2,FALSE)</f>
        <v>8173540</v>
      </c>
      <c r="P119" s="57">
        <f>Historic_BCast_BASE[[#This Row],[Rolex EXP]]*86400</f>
        <v>557.6642162503905</v>
      </c>
      <c r="Q119" s="73" t="str">
        <f>IF(Historic_BCast_BASE[[#This Row],[Dashboard Rated?]]="No","N","Y")</f>
        <v>N</v>
      </c>
      <c r="R119" s="82"/>
      <c r="S119" s="82"/>
    </row>
    <row r="120" spans="1:19" x14ac:dyDescent="0.25">
      <c r="A120" s="72" t="s">
        <v>1869</v>
      </c>
      <c r="B120" t="s">
        <v>83</v>
      </c>
      <c r="C120" t="s">
        <v>185</v>
      </c>
      <c r="D120" t="s">
        <v>1643</v>
      </c>
      <c r="E120" s="102">
        <v>0.76388888888888884</v>
      </c>
      <c r="F120" s="101">
        <v>95264</v>
      </c>
      <c r="G120" s="102">
        <v>7.2982784556066341E-2</v>
      </c>
      <c r="H120" s="101">
        <v>76382.777181849044</v>
      </c>
      <c r="I120" s="101">
        <v>21943.339586329472</v>
      </c>
      <c r="J120" s="101" t="s">
        <v>1867</v>
      </c>
      <c r="K120" t="str">
        <f>VLOOKUP(Historic_BCast_BASE[[#This Row],[Broadcast Market]],Continent_Look_Up[],2,FALSE)</f>
        <v>Central &amp; South America</v>
      </c>
      <c r="L120" t="str">
        <f>IF(OR(Historic_BCast_BASE[[#This Row],[Broadcast Continent]]="Digital",Historic_BCast_BASE[[#This Row],[Programme Type]]="Digital"),"Y","N")</f>
        <v>N</v>
      </c>
      <c r="M120" s="4" t="str">
        <f>IF(ISNUMBER(SEARCH("Pan ",Historic_BCast_BASE[[#This Row],[Broadcast Market]]))=TRUE,"Y","N")</f>
        <v>N</v>
      </c>
      <c r="N120" t="str">
        <f>VLOOKUP(CONCATENATE(Historic_BCast_BASE[[#This Row],[Broadcast Market]],Historic_BCast_BASE[[#This Row],[Broadcaster]]),Table1[[CC]:[Pay TV vs. Free-to-Air]],3,FALSE)</f>
        <v>Pay TV</v>
      </c>
      <c r="O120" s="1">
        <f>VLOOKUP(CONCATENATE(Historic_BCast_BASE[[#This Row],[Broadcast Market]],Historic_BCast_BASE[[#This Row],[Broadcaster]]),Table1[[CC]:[Pay TV vs. Free-to-Air]],2,FALSE)</f>
        <v>8173540</v>
      </c>
      <c r="P120" s="57">
        <f>Historic_BCast_BASE[[#This Row],[Rolex EXP]]*86400</f>
        <v>6305.7125856441317</v>
      </c>
      <c r="Q120" s="73" t="str">
        <f>IF(Historic_BCast_BASE[[#This Row],[Dashboard Rated?]]="No","N","Y")</f>
        <v>N</v>
      </c>
      <c r="R120" s="81"/>
      <c r="S120" s="81"/>
    </row>
    <row r="121" spans="1:19" x14ac:dyDescent="0.25">
      <c r="A121" s="72" t="s">
        <v>1869</v>
      </c>
      <c r="B121" t="s">
        <v>83</v>
      </c>
      <c r="C121" t="s">
        <v>185</v>
      </c>
      <c r="D121" t="s">
        <v>1644</v>
      </c>
      <c r="E121" s="102">
        <v>0.21180555555555555</v>
      </c>
      <c r="F121" s="101">
        <v>24492</v>
      </c>
      <c r="G121" s="102">
        <v>1.5463746859917133E-2</v>
      </c>
      <c r="H121" s="101">
        <v>8321.7598869712638</v>
      </c>
      <c r="I121" s="101">
        <v>2408.572618030641</v>
      </c>
      <c r="J121" s="101" t="s">
        <v>1867</v>
      </c>
      <c r="K121" t="str">
        <f>VLOOKUP(Historic_BCast_BASE[[#This Row],[Broadcast Market]],Continent_Look_Up[],2,FALSE)</f>
        <v>Central &amp; South America</v>
      </c>
      <c r="L121" t="str">
        <f>IF(OR(Historic_BCast_BASE[[#This Row],[Broadcast Continent]]="Digital",Historic_BCast_BASE[[#This Row],[Programme Type]]="Digital"),"Y","N")</f>
        <v>N</v>
      </c>
      <c r="M121" s="4" t="str">
        <f>IF(ISNUMBER(SEARCH("Pan ",Historic_BCast_BASE[[#This Row],[Broadcast Market]]))=TRUE,"Y","N")</f>
        <v>N</v>
      </c>
      <c r="N121" t="str">
        <f>VLOOKUP(CONCATENATE(Historic_BCast_BASE[[#This Row],[Broadcast Market]],Historic_BCast_BASE[[#This Row],[Broadcaster]]),Table1[[CC]:[Pay TV vs. Free-to-Air]],3,FALSE)</f>
        <v>Pay TV</v>
      </c>
      <c r="O121" s="1">
        <f>VLOOKUP(CONCATENATE(Historic_BCast_BASE[[#This Row],[Broadcast Market]],Historic_BCast_BASE[[#This Row],[Broadcaster]]),Table1[[CC]:[Pay TV vs. Free-to-Air]],2,FALSE)</f>
        <v>8173540</v>
      </c>
      <c r="P121" s="57">
        <f>Historic_BCast_BASE[[#This Row],[Rolex EXP]]*86400</f>
        <v>1336.0677286968403</v>
      </c>
      <c r="Q121" s="73" t="str">
        <f>IF(Historic_BCast_BASE[[#This Row],[Dashboard Rated?]]="No","N","Y")</f>
        <v>N</v>
      </c>
      <c r="R121" s="81"/>
      <c r="S121" s="81"/>
    </row>
    <row r="122" spans="1:19" x14ac:dyDescent="0.25">
      <c r="A122" s="72" t="s">
        <v>1869</v>
      </c>
      <c r="B122" t="s">
        <v>83</v>
      </c>
      <c r="C122" t="s">
        <v>186</v>
      </c>
      <c r="D122" t="s">
        <v>1643</v>
      </c>
      <c r="E122" s="102">
        <v>1.7256944444444444</v>
      </c>
      <c r="F122" s="101">
        <v>251303</v>
      </c>
      <c r="G122" s="102">
        <v>0.15974786685540376</v>
      </c>
      <c r="H122" s="101">
        <v>173425.67543294796</v>
      </c>
      <c r="I122" s="101">
        <v>49557.99838884468</v>
      </c>
      <c r="J122" s="101" t="s">
        <v>1867</v>
      </c>
      <c r="K122" t="str">
        <f>VLOOKUP(Historic_BCast_BASE[[#This Row],[Broadcast Market]],Continent_Look_Up[],2,FALSE)</f>
        <v>Central &amp; South America</v>
      </c>
      <c r="L122" t="str">
        <f>IF(OR(Historic_BCast_BASE[[#This Row],[Broadcast Continent]]="Digital",Historic_BCast_BASE[[#This Row],[Programme Type]]="Digital"),"Y","N")</f>
        <v>N</v>
      </c>
      <c r="M122" s="4" t="str">
        <f>IF(ISNUMBER(SEARCH("Pan ",Historic_BCast_BASE[[#This Row],[Broadcast Market]]))=TRUE,"Y","N")</f>
        <v>N</v>
      </c>
      <c r="N122" t="str">
        <f>VLOOKUP(CONCATENATE(Historic_BCast_BASE[[#This Row],[Broadcast Market]],Historic_BCast_BASE[[#This Row],[Broadcaster]]),Table1[[CC]:[Pay TV vs. Free-to-Air]],3,FALSE)</f>
        <v>Pay TV</v>
      </c>
      <c r="O122" s="1">
        <f>VLOOKUP(CONCATENATE(Historic_BCast_BASE[[#This Row],[Broadcast Market]],Historic_BCast_BASE[[#This Row],[Broadcaster]]),Table1[[CC]:[Pay TV vs. Free-to-Air]],2,FALSE)</f>
        <v>8173540</v>
      </c>
      <c r="P122" s="57">
        <f>Historic_BCast_BASE[[#This Row],[Rolex EXP]]*86400</f>
        <v>13802.215696306885</v>
      </c>
      <c r="Q122" s="73" t="str">
        <f>IF(Historic_BCast_BASE[[#This Row],[Dashboard Rated?]]="No","N","Y")</f>
        <v>N</v>
      </c>
      <c r="R122" s="81"/>
      <c r="S122" s="81"/>
    </row>
    <row r="123" spans="1:19" x14ac:dyDescent="0.25">
      <c r="A123" s="72" t="s">
        <v>1869</v>
      </c>
      <c r="B123" t="s">
        <v>83</v>
      </c>
      <c r="C123" t="s">
        <v>191</v>
      </c>
      <c r="D123" t="s">
        <v>1642</v>
      </c>
      <c r="E123" s="102">
        <v>2.0833333333333332E-2</v>
      </c>
      <c r="F123" s="101">
        <v>9940</v>
      </c>
      <c r="G123" s="102">
        <v>1.7138215248058335E-3</v>
      </c>
      <c r="H123" s="101">
        <v>748.61439062666216</v>
      </c>
      <c r="I123" s="101">
        <v>228.67408847625919</v>
      </c>
      <c r="J123" s="101" t="s">
        <v>1867</v>
      </c>
      <c r="K123" t="str">
        <f>VLOOKUP(Historic_BCast_BASE[[#This Row],[Broadcast Market]],Continent_Look_Up[],2,FALSE)</f>
        <v>Central &amp; South America</v>
      </c>
      <c r="L123" t="str">
        <f>IF(OR(Historic_BCast_BASE[[#This Row],[Broadcast Continent]]="Digital",Historic_BCast_BASE[[#This Row],[Programme Type]]="Digital"),"Y","N")</f>
        <v>N</v>
      </c>
      <c r="M123" s="4" t="str">
        <f>IF(ISNUMBER(SEARCH("Pan ",Historic_BCast_BASE[[#This Row],[Broadcast Market]]))=TRUE,"Y","N")</f>
        <v>N</v>
      </c>
      <c r="N123" t="str">
        <f>VLOOKUP(CONCATENATE(Historic_BCast_BASE[[#This Row],[Broadcast Market]],Historic_BCast_BASE[[#This Row],[Broadcaster]]),Table1[[CC]:[Pay TV vs. Free-to-Air]],3,FALSE)</f>
        <v>Pay TV</v>
      </c>
      <c r="O123" s="1">
        <f>VLOOKUP(CONCATENATE(Historic_BCast_BASE[[#This Row],[Broadcast Market]],Historic_BCast_BASE[[#This Row],[Broadcaster]]),Table1[[CC]:[Pay TV vs. Free-to-Air]],2,FALSE)</f>
        <v>8173540</v>
      </c>
      <c r="P123" s="51">
        <f>Historic_BCast_BASE[[#This Row],[Rolex EXP]]*86400</f>
        <v>148.07417974322402</v>
      </c>
      <c r="Q123" s="73" t="str">
        <f>IF(Historic_BCast_BASE[[#This Row],[Dashboard Rated?]]="No","N","Y")</f>
        <v>N</v>
      </c>
      <c r="R123" s="81"/>
      <c r="S123" s="81"/>
    </row>
    <row r="124" spans="1:19" x14ac:dyDescent="0.25">
      <c r="A124" s="72" t="s">
        <v>1869</v>
      </c>
      <c r="B124" t="s">
        <v>83</v>
      </c>
      <c r="C124" t="s">
        <v>191</v>
      </c>
      <c r="D124" t="s">
        <v>1643</v>
      </c>
      <c r="E124" s="102">
        <v>4.989583333333333</v>
      </c>
      <c r="F124" s="101">
        <v>655382</v>
      </c>
      <c r="G124" s="102">
        <v>0.47174619335866536</v>
      </c>
      <c r="H124" s="101">
        <v>586717.93968884833</v>
      </c>
      <c r="I124" s="101">
        <v>170947.9539206505</v>
      </c>
      <c r="J124" s="101" t="s">
        <v>1867</v>
      </c>
      <c r="K124" t="str">
        <f>VLOOKUP(Historic_BCast_BASE[[#This Row],[Broadcast Market]],Continent_Look_Up[],2,FALSE)</f>
        <v>Central &amp; South America</v>
      </c>
      <c r="L124" t="str">
        <f>IF(OR(Historic_BCast_BASE[[#This Row],[Broadcast Continent]]="Digital",Historic_BCast_BASE[[#This Row],[Programme Type]]="Digital"),"Y","N")</f>
        <v>N</v>
      </c>
      <c r="M124" s="4" t="str">
        <f>IF(ISNUMBER(SEARCH("Pan ",Historic_BCast_BASE[[#This Row],[Broadcast Market]]))=TRUE,"Y","N")</f>
        <v>N</v>
      </c>
      <c r="N124" t="str">
        <f>VLOOKUP(CONCATENATE(Historic_BCast_BASE[[#This Row],[Broadcast Market]],Historic_BCast_BASE[[#This Row],[Broadcaster]]),Table1[[CC]:[Pay TV vs. Free-to-Air]],3,FALSE)</f>
        <v>Pay TV</v>
      </c>
      <c r="O124" s="1">
        <f>VLOOKUP(CONCATENATE(Historic_BCast_BASE[[#This Row],[Broadcast Market]],Historic_BCast_BASE[[#This Row],[Broadcaster]]),Table1[[CC]:[Pay TV vs. Free-to-Air]],2,FALSE)</f>
        <v>8173540</v>
      </c>
      <c r="P124" s="57">
        <f>Historic_BCast_BASE[[#This Row],[Rolex EXP]]*86400</f>
        <v>40758.871106188686</v>
      </c>
      <c r="Q124" s="73" t="str">
        <f>IF(Historic_BCast_BASE[[#This Row],[Dashboard Rated?]]="No","N","Y")</f>
        <v>N</v>
      </c>
      <c r="R124" s="81"/>
      <c r="S124" s="81"/>
    </row>
    <row r="125" spans="1:19" x14ac:dyDescent="0.25">
      <c r="A125" s="72" t="s">
        <v>1869</v>
      </c>
      <c r="B125" t="s">
        <v>83</v>
      </c>
      <c r="C125" t="s">
        <v>191</v>
      </c>
      <c r="D125" t="s">
        <v>1644</v>
      </c>
      <c r="E125" s="102">
        <v>0.21875</v>
      </c>
      <c r="F125" s="101">
        <v>12246</v>
      </c>
      <c r="G125" s="102">
        <v>1.6942923236774016E-2</v>
      </c>
      <c r="H125" s="101">
        <v>9117.7733467227044</v>
      </c>
      <c r="I125" s="101">
        <v>2813.2047003103498</v>
      </c>
      <c r="J125" s="101" t="s">
        <v>1867</v>
      </c>
      <c r="K125" t="str">
        <f>VLOOKUP(Historic_BCast_BASE[[#This Row],[Broadcast Market]],Continent_Look_Up[],2,FALSE)</f>
        <v>Central &amp; South America</v>
      </c>
      <c r="L125" t="str">
        <f>IF(OR(Historic_BCast_BASE[[#This Row],[Broadcast Continent]]="Digital",Historic_BCast_BASE[[#This Row],[Programme Type]]="Digital"),"Y","N")</f>
        <v>N</v>
      </c>
      <c r="M125" s="4" t="str">
        <f>IF(ISNUMBER(SEARCH("Pan ",Historic_BCast_BASE[[#This Row],[Broadcast Market]]))=TRUE,"Y","N")</f>
        <v>N</v>
      </c>
      <c r="N125" t="str">
        <f>VLOOKUP(CONCATENATE(Historic_BCast_BASE[[#This Row],[Broadcast Market]],Historic_BCast_BASE[[#This Row],[Broadcaster]]),Table1[[CC]:[Pay TV vs. Free-to-Air]],3,FALSE)</f>
        <v>Pay TV</v>
      </c>
      <c r="O125" s="1">
        <f>VLOOKUP(CONCATENATE(Historic_BCast_BASE[[#This Row],[Broadcast Market]],Historic_BCast_BASE[[#This Row],[Broadcaster]]),Table1[[CC]:[Pay TV vs. Free-to-Air]],2,FALSE)</f>
        <v>8173540</v>
      </c>
      <c r="P125" s="57">
        <f>Historic_BCast_BASE[[#This Row],[Rolex EXP]]*86400</f>
        <v>1463.868567657275</v>
      </c>
      <c r="Q125" s="73" t="str">
        <f>IF(Historic_BCast_BASE[[#This Row],[Dashboard Rated?]]="No","N","Y")</f>
        <v>N</v>
      </c>
      <c r="R125" s="83"/>
      <c r="S125" s="83"/>
    </row>
    <row r="126" spans="1:19" x14ac:dyDescent="0.25">
      <c r="A126" s="72" t="s">
        <v>1869</v>
      </c>
      <c r="B126" t="s">
        <v>89</v>
      </c>
      <c r="C126" t="s">
        <v>221</v>
      </c>
      <c r="D126" t="s">
        <v>1642</v>
      </c>
      <c r="E126" s="102">
        <v>1.6175925925925927</v>
      </c>
      <c r="F126" s="101">
        <v>1479414</v>
      </c>
      <c r="G126" s="102">
        <v>0.15207578266900537</v>
      </c>
      <c r="H126" s="101">
        <v>55587.930922713007</v>
      </c>
      <c r="I126" s="101">
        <v>16575.932012152869</v>
      </c>
      <c r="J126" s="101" t="s">
        <v>1868</v>
      </c>
      <c r="K126" t="str">
        <f>VLOOKUP(Historic_BCast_BASE[[#This Row],[Broadcast Market]],Continent_Look_Up[],2,FALSE)</f>
        <v>Europe</v>
      </c>
      <c r="L126" t="str">
        <f>IF(OR(Historic_BCast_BASE[[#This Row],[Broadcast Continent]]="Digital",Historic_BCast_BASE[[#This Row],[Programme Type]]="Digital"),"Y","N")</f>
        <v>N</v>
      </c>
      <c r="M126" s="4" t="str">
        <f>IF(ISNUMBER(SEARCH("Pan ",Historic_BCast_BASE[[#This Row],[Broadcast Market]]))=TRUE,"Y","N")</f>
        <v>N</v>
      </c>
      <c r="N126" t="str">
        <f>VLOOKUP(CONCATENATE(Historic_BCast_BASE[[#This Row],[Broadcast Market]],Historic_BCast_BASE[[#This Row],[Broadcaster]]),Table1[[CC]:[Pay TV vs. Free-to-Air]],3,FALSE)</f>
        <v>Pay TV</v>
      </c>
      <c r="O126" s="1">
        <f>VLOOKUP(CONCATENATE(Historic_BCast_BASE[[#This Row],[Broadcast Market]],Historic_BCast_BASE[[#This Row],[Broadcaster]]),Table1[[CC]:[Pay TV vs. Free-to-Air]],2,FALSE)</f>
        <v>7455000</v>
      </c>
      <c r="P126" s="57">
        <f>Historic_BCast_BASE[[#This Row],[Rolex EXP]]*86400</f>
        <v>13139.347622602065</v>
      </c>
      <c r="Q126" s="73" t="str">
        <f>IF(Historic_BCast_BASE[[#This Row],[Dashboard Rated?]]="No","N","Y")</f>
        <v>Y</v>
      </c>
      <c r="R126" s="83"/>
      <c r="S126" s="83"/>
    </row>
    <row r="127" spans="1:19" x14ac:dyDescent="0.25">
      <c r="A127" s="72" t="s">
        <v>1869</v>
      </c>
      <c r="B127" t="s">
        <v>89</v>
      </c>
      <c r="C127" t="s">
        <v>221</v>
      </c>
      <c r="D127" t="s">
        <v>1643</v>
      </c>
      <c r="E127" s="102">
        <v>5.4201273148148141</v>
      </c>
      <c r="F127" s="101">
        <v>1299617</v>
      </c>
      <c r="G127" s="102">
        <v>0.50195271964750732</v>
      </c>
      <c r="H127" s="101">
        <v>384039.94793879049</v>
      </c>
      <c r="I127" s="101">
        <v>114994.86333229799</v>
      </c>
      <c r="J127" s="101" t="s">
        <v>1868</v>
      </c>
      <c r="K127" t="str">
        <f>VLOOKUP(Historic_BCast_BASE[[#This Row],[Broadcast Market]],Continent_Look_Up[],2,FALSE)</f>
        <v>Europe</v>
      </c>
      <c r="L127" t="str">
        <f>IF(OR(Historic_BCast_BASE[[#This Row],[Broadcast Continent]]="Digital",Historic_BCast_BASE[[#This Row],[Programme Type]]="Digital"),"Y","N")</f>
        <v>N</v>
      </c>
      <c r="M127" s="4" t="str">
        <f>IF(ISNUMBER(SEARCH("Pan ",Historic_BCast_BASE[[#This Row],[Broadcast Market]]))=TRUE,"Y","N")</f>
        <v>N</v>
      </c>
      <c r="N127" t="str">
        <f>VLOOKUP(CONCATENATE(Historic_BCast_BASE[[#This Row],[Broadcast Market]],Historic_BCast_BASE[[#This Row],[Broadcaster]]),Table1[[CC]:[Pay TV vs. Free-to-Air]],3,FALSE)</f>
        <v>Pay TV</v>
      </c>
      <c r="O127" s="1">
        <f>VLOOKUP(CONCATENATE(Historic_BCast_BASE[[#This Row],[Broadcast Market]],Historic_BCast_BASE[[#This Row],[Broadcaster]]),Table1[[CC]:[Pay TV vs. Free-to-Air]],2,FALSE)</f>
        <v>7455000</v>
      </c>
      <c r="P127" s="57">
        <f>Historic_BCast_BASE[[#This Row],[Rolex EXP]]*86400</f>
        <v>43368.714977544631</v>
      </c>
      <c r="Q127" s="73" t="str">
        <f>IF(Historic_BCast_BASE[[#This Row],[Dashboard Rated?]]="No","N","Y")</f>
        <v>Y</v>
      </c>
      <c r="R127" s="83"/>
      <c r="S127" s="83"/>
    </row>
    <row r="128" spans="1:19" x14ac:dyDescent="0.25">
      <c r="A128" s="72" t="s">
        <v>1869</v>
      </c>
      <c r="B128" t="s">
        <v>89</v>
      </c>
      <c r="C128" t="s">
        <v>221</v>
      </c>
      <c r="D128" t="s">
        <v>1644</v>
      </c>
      <c r="E128" s="102">
        <v>1.3449189814814815</v>
      </c>
      <c r="F128" s="101">
        <v>143700</v>
      </c>
      <c r="G128" s="102">
        <v>9.6531442729115222E-2</v>
      </c>
      <c r="H128" s="101">
        <v>27324.781893821604</v>
      </c>
      <c r="I128" s="101">
        <v>8194.7525201362369</v>
      </c>
      <c r="J128" s="101" t="s">
        <v>1868</v>
      </c>
      <c r="K128" t="str">
        <f>VLOOKUP(Historic_BCast_BASE[[#This Row],[Broadcast Market]],Continent_Look_Up[],2,FALSE)</f>
        <v>Europe</v>
      </c>
      <c r="L128" t="str">
        <f>IF(OR(Historic_BCast_BASE[[#This Row],[Broadcast Continent]]="Digital",Historic_BCast_BASE[[#This Row],[Programme Type]]="Digital"),"Y","N")</f>
        <v>N</v>
      </c>
      <c r="M128" s="4" t="str">
        <f>IF(ISNUMBER(SEARCH("Pan ",Historic_BCast_BASE[[#This Row],[Broadcast Market]]))=TRUE,"Y","N")</f>
        <v>N</v>
      </c>
      <c r="N128" t="str">
        <f>VLOOKUP(CONCATENATE(Historic_BCast_BASE[[#This Row],[Broadcast Market]],Historic_BCast_BASE[[#This Row],[Broadcaster]]),Table1[[CC]:[Pay TV vs. Free-to-Air]],3,FALSE)</f>
        <v>Pay TV</v>
      </c>
      <c r="O128" s="1">
        <f>VLOOKUP(CONCATENATE(Historic_BCast_BASE[[#This Row],[Broadcast Market]],Historic_BCast_BASE[[#This Row],[Broadcaster]]),Table1[[CC]:[Pay TV vs. Free-to-Air]],2,FALSE)</f>
        <v>7455000</v>
      </c>
      <c r="P128" s="57">
        <f>Historic_BCast_BASE[[#This Row],[Rolex EXP]]*86400</f>
        <v>8340.316651795556</v>
      </c>
      <c r="Q128" s="73" t="str">
        <f>IF(Historic_BCast_BASE[[#This Row],[Dashboard Rated?]]="No","N","Y")</f>
        <v>Y</v>
      </c>
      <c r="R128" s="81"/>
      <c r="S128" s="81"/>
    </row>
    <row r="129" spans="1:19" x14ac:dyDescent="0.25">
      <c r="A129" s="72" t="s">
        <v>1869</v>
      </c>
      <c r="B129" t="s">
        <v>89</v>
      </c>
      <c r="C129" t="s">
        <v>269</v>
      </c>
      <c r="D129" t="s">
        <v>1642</v>
      </c>
      <c r="E129" s="102">
        <v>1.1555555555555557</v>
      </c>
      <c r="F129" s="101">
        <v>267340</v>
      </c>
      <c r="G129" s="102">
        <v>0.11839960800836975</v>
      </c>
      <c r="H129" s="101">
        <v>26225.566184034044</v>
      </c>
      <c r="I129" s="101">
        <v>8076.2446000067339</v>
      </c>
      <c r="J129" s="101" t="s">
        <v>1867</v>
      </c>
      <c r="K129" t="str">
        <f>VLOOKUP(Historic_BCast_BASE[[#This Row],[Broadcast Market]],Continent_Look_Up[],2,FALSE)</f>
        <v>Europe</v>
      </c>
      <c r="L129" t="str">
        <f>IF(OR(Historic_BCast_BASE[[#This Row],[Broadcast Continent]]="Digital",Historic_BCast_BASE[[#This Row],[Programme Type]]="Digital"),"Y","N")</f>
        <v>N</v>
      </c>
      <c r="M129" s="4" t="str">
        <f>IF(ISNUMBER(SEARCH("Pan ",Historic_BCast_BASE[[#This Row],[Broadcast Market]]))=TRUE,"Y","N")</f>
        <v>N</v>
      </c>
      <c r="N129" t="str">
        <f>VLOOKUP(CONCATENATE(Historic_BCast_BASE[[#This Row],[Broadcast Market]],Historic_BCast_BASE[[#This Row],[Broadcaster]]),Table1[[CC]:[Pay TV vs. Free-to-Air]],3,FALSE)</f>
        <v>Pay TV</v>
      </c>
      <c r="O129" s="1">
        <f>VLOOKUP(CONCATENATE(Historic_BCast_BASE[[#This Row],[Broadcast Market]],Historic_BCast_BASE[[#This Row],[Broadcaster]]),Table1[[CC]:[Pay TV vs. Free-to-Air]],2,FALSE)</f>
        <v>1871000</v>
      </c>
      <c r="P129" s="57">
        <f>Historic_BCast_BASE[[#This Row],[Rolex EXP]]*86400</f>
        <v>10229.726131923147</v>
      </c>
      <c r="Q129" s="73" t="str">
        <f>IF(Historic_BCast_BASE[[#This Row],[Dashboard Rated?]]="No","N","Y")</f>
        <v>N</v>
      </c>
      <c r="R129" s="81"/>
      <c r="S129" s="81"/>
    </row>
    <row r="130" spans="1:19" x14ac:dyDescent="0.25">
      <c r="A130" s="72" t="s">
        <v>1869</v>
      </c>
      <c r="B130" t="s">
        <v>89</v>
      </c>
      <c r="C130" t="s">
        <v>269</v>
      </c>
      <c r="D130" t="s">
        <v>1643</v>
      </c>
      <c r="E130" s="102">
        <v>2.9608333333333334</v>
      </c>
      <c r="F130" s="101">
        <v>894783</v>
      </c>
      <c r="G130" s="102">
        <v>0.34654565009975319</v>
      </c>
      <c r="H130" s="101">
        <v>223001.24661752043</v>
      </c>
      <c r="I130" s="101">
        <v>64547.697937082492</v>
      </c>
      <c r="J130" s="101" t="s">
        <v>1867</v>
      </c>
      <c r="K130" t="str">
        <f>VLOOKUP(Historic_BCast_BASE[[#This Row],[Broadcast Market]],Continent_Look_Up[],2,FALSE)</f>
        <v>Europe</v>
      </c>
      <c r="L130" t="str">
        <f>IF(OR(Historic_BCast_BASE[[#This Row],[Broadcast Continent]]="Digital",Historic_BCast_BASE[[#This Row],[Programme Type]]="Digital"),"Y","N")</f>
        <v>N</v>
      </c>
      <c r="M130" s="4" t="str">
        <f>IF(ISNUMBER(SEARCH("Pan ",Historic_BCast_BASE[[#This Row],[Broadcast Market]]))=TRUE,"Y","N")</f>
        <v>N</v>
      </c>
      <c r="N130" t="str">
        <f>VLOOKUP(CONCATENATE(Historic_BCast_BASE[[#This Row],[Broadcast Market]],Historic_BCast_BASE[[#This Row],[Broadcaster]]),Table1[[CC]:[Pay TV vs. Free-to-Air]],3,FALSE)</f>
        <v>Pay TV</v>
      </c>
      <c r="O130" s="1">
        <f>VLOOKUP(CONCATENATE(Historic_BCast_BASE[[#This Row],[Broadcast Market]],Historic_BCast_BASE[[#This Row],[Broadcaster]]),Table1[[CC]:[Pay TV vs. Free-to-Air]],2,FALSE)</f>
        <v>1871000</v>
      </c>
      <c r="P130" s="57">
        <f>Historic_BCast_BASE[[#This Row],[Rolex EXP]]*86400</f>
        <v>29941.544168618675</v>
      </c>
      <c r="Q130" s="73" t="str">
        <f>IF(Historic_BCast_BASE[[#This Row],[Dashboard Rated?]]="No","N","Y")</f>
        <v>N</v>
      </c>
      <c r="R130" s="81"/>
      <c r="S130" s="81"/>
    </row>
    <row r="131" spans="1:19" x14ac:dyDescent="0.25">
      <c r="A131" s="72" t="s">
        <v>1869</v>
      </c>
      <c r="B131" t="s">
        <v>89</v>
      </c>
      <c r="C131" t="s">
        <v>269</v>
      </c>
      <c r="D131" t="s">
        <v>1644</v>
      </c>
      <c r="E131" s="102">
        <v>2.5350925925925925</v>
      </c>
      <c r="F131" s="101">
        <v>327756</v>
      </c>
      <c r="G131" s="102">
        <v>0.23658934051131941</v>
      </c>
      <c r="H131" s="101">
        <v>59500.969981402603</v>
      </c>
      <c r="I131" s="101">
        <v>17556.747216808239</v>
      </c>
      <c r="J131" s="101" t="s">
        <v>1867</v>
      </c>
      <c r="K131" t="str">
        <f>VLOOKUP(Historic_BCast_BASE[[#This Row],[Broadcast Market]],Continent_Look_Up[],2,FALSE)</f>
        <v>Europe</v>
      </c>
      <c r="L131" t="str">
        <f>IF(OR(Historic_BCast_BASE[[#This Row],[Broadcast Continent]]="Digital",Historic_BCast_BASE[[#This Row],[Programme Type]]="Digital"),"Y","N")</f>
        <v>N</v>
      </c>
      <c r="M131" s="4" t="str">
        <f>IF(ISNUMBER(SEARCH("Pan ",Historic_BCast_BASE[[#This Row],[Broadcast Market]]))=TRUE,"Y","N")</f>
        <v>N</v>
      </c>
      <c r="N131" t="str">
        <f>VLOOKUP(CONCATENATE(Historic_BCast_BASE[[#This Row],[Broadcast Market]],Historic_BCast_BASE[[#This Row],[Broadcaster]]),Table1[[CC]:[Pay TV vs. Free-to-Air]],3,FALSE)</f>
        <v>Pay TV</v>
      </c>
      <c r="O131" s="1">
        <f>VLOOKUP(CONCATENATE(Historic_BCast_BASE[[#This Row],[Broadcast Market]],Historic_BCast_BASE[[#This Row],[Broadcaster]]),Table1[[CC]:[Pay TV vs. Free-to-Air]],2,FALSE)</f>
        <v>1871000</v>
      </c>
      <c r="P131" s="57">
        <f>Historic_BCast_BASE[[#This Row],[Rolex EXP]]*86400</f>
        <v>20441.319020177998</v>
      </c>
      <c r="Q131" s="73" t="str">
        <f>IF(Historic_BCast_BASE[[#This Row],[Dashboard Rated?]]="No","N","Y")</f>
        <v>N</v>
      </c>
      <c r="R131" s="83"/>
      <c r="S131" s="83"/>
    </row>
    <row r="132" spans="1:19" x14ac:dyDescent="0.25">
      <c r="A132" s="72" t="s">
        <v>1869</v>
      </c>
      <c r="B132" t="s">
        <v>92</v>
      </c>
      <c r="C132" t="s">
        <v>1178</v>
      </c>
      <c r="D132" t="s">
        <v>1643</v>
      </c>
      <c r="E132" s="102">
        <v>0.77569444444444446</v>
      </c>
      <c r="F132" s="101">
        <v>310000</v>
      </c>
      <c r="G132" s="102">
        <v>7.4110700317387368E-2</v>
      </c>
      <c r="H132" s="101">
        <v>106573.35135446006</v>
      </c>
      <c r="I132" s="101">
        <v>30616.525425051477</v>
      </c>
      <c r="J132" s="101" t="s">
        <v>1868</v>
      </c>
      <c r="K132" t="str">
        <f>VLOOKUP(Historic_BCast_BASE[[#This Row],[Broadcast Market]],Continent_Look_Up[],2,FALSE)</f>
        <v>Asia Pacific</v>
      </c>
      <c r="L132" t="str">
        <f>IF(OR(Historic_BCast_BASE[[#This Row],[Broadcast Continent]]="Digital",Historic_BCast_BASE[[#This Row],[Programme Type]]="Digital"),"Y","N")</f>
        <v>N</v>
      </c>
      <c r="M132" s="4" t="str">
        <f>IF(ISNUMBER(SEARCH("Pan ",Historic_BCast_BASE[[#This Row],[Broadcast Market]]))=TRUE,"Y","N")</f>
        <v>N</v>
      </c>
      <c r="N132" t="str">
        <f>VLOOKUP(CONCATENATE(Historic_BCast_BASE[[#This Row],[Broadcast Market]],Historic_BCast_BASE[[#This Row],[Broadcaster]]),Table1[[CC]:[Pay TV vs. Free-to-Air]],3,FALSE)</f>
        <v>Pay TV</v>
      </c>
      <c r="O132" s="1">
        <f>VLOOKUP(CONCATENATE(Historic_BCast_BASE[[#This Row],[Broadcast Market]],Historic_BCast_BASE[[#This Row],[Broadcaster]]),Table1[[CC]:[Pay TV vs. Free-to-Air]],2,FALSE)</f>
        <v>9498920</v>
      </c>
      <c r="P132" s="51">
        <f>Historic_BCast_BASE[[#This Row],[Rolex EXP]]*86400</f>
        <v>6403.1645074222688</v>
      </c>
      <c r="Q132" s="73" t="str">
        <f>IF(Historic_BCast_BASE[[#This Row],[Dashboard Rated?]]="No","N","Y")</f>
        <v>Y</v>
      </c>
      <c r="R132" s="81"/>
      <c r="S132" s="81"/>
    </row>
    <row r="133" spans="1:19" x14ac:dyDescent="0.25">
      <c r="A133" s="72" t="s">
        <v>1869</v>
      </c>
      <c r="B133" t="s">
        <v>92</v>
      </c>
      <c r="C133" t="s">
        <v>1178</v>
      </c>
      <c r="D133" t="s">
        <v>1644</v>
      </c>
      <c r="E133" s="102">
        <v>0.19513888888888889</v>
      </c>
      <c r="F133" s="101">
        <v>2000</v>
      </c>
      <c r="G133" s="102">
        <v>1.864378405477695E-2</v>
      </c>
      <c r="H133" s="101">
        <v>702.16072234345063</v>
      </c>
      <c r="I133" s="101">
        <v>201.71760890393631</v>
      </c>
      <c r="J133" s="101" t="s">
        <v>1868</v>
      </c>
      <c r="K133" t="str">
        <f>VLOOKUP(Historic_BCast_BASE[[#This Row],[Broadcast Market]],Continent_Look_Up[],2,FALSE)</f>
        <v>Asia Pacific</v>
      </c>
      <c r="L133" t="str">
        <f>IF(OR(Historic_BCast_BASE[[#This Row],[Broadcast Continent]]="Digital",Historic_BCast_BASE[[#This Row],[Programme Type]]="Digital"),"Y","N")</f>
        <v>N</v>
      </c>
      <c r="M133" s="4" t="str">
        <f>IF(ISNUMBER(SEARCH("Pan ",Historic_BCast_BASE[[#This Row],[Broadcast Market]]))=TRUE,"Y","N")</f>
        <v>N</v>
      </c>
      <c r="N133" t="str">
        <f>VLOOKUP(CONCATENATE(Historic_BCast_BASE[[#This Row],[Broadcast Market]],Historic_BCast_BASE[[#This Row],[Broadcaster]]),Table1[[CC]:[Pay TV vs. Free-to-Air]],3,FALSE)</f>
        <v>Pay TV</v>
      </c>
      <c r="O133" s="1">
        <f>VLOOKUP(CONCATENATE(Historic_BCast_BASE[[#This Row],[Broadcast Market]],Historic_BCast_BASE[[#This Row],[Broadcaster]]),Table1[[CC]:[Pay TV vs. Free-to-Air]],2,FALSE)</f>
        <v>9498920</v>
      </c>
      <c r="P133" s="57">
        <f>Historic_BCast_BASE[[#This Row],[Rolex EXP]]*86400</f>
        <v>1610.8229423327284</v>
      </c>
      <c r="Q133" s="73" t="str">
        <f>IF(Historic_BCast_BASE[[#This Row],[Dashboard Rated?]]="No","N","Y")</f>
        <v>Y</v>
      </c>
      <c r="R133" s="81"/>
      <c r="S133" s="81"/>
    </row>
    <row r="134" spans="1:19" x14ac:dyDescent="0.25">
      <c r="A134" s="72" t="s">
        <v>1869</v>
      </c>
      <c r="B134" t="s">
        <v>92</v>
      </c>
      <c r="C134" t="s">
        <v>1179</v>
      </c>
      <c r="D134" t="s">
        <v>1642</v>
      </c>
      <c r="E134" s="102">
        <v>7.2916666666666671E-2</v>
      </c>
      <c r="F134" s="101">
        <v>114000</v>
      </c>
      <c r="G134" s="102">
        <v>6.9665385258063338E-3</v>
      </c>
      <c r="H134" s="101">
        <v>6608.0647121156462</v>
      </c>
      <c r="I134" s="101">
        <v>1898.3730801143402</v>
      </c>
      <c r="J134" s="101" t="s">
        <v>1868</v>
      </c>
      <c r="K134" t="str">
        <f>VLOOKUP(Historic_BCast_BASE[[#This Row],[Broadcast Market]],Continent_Look_Up[],2,FALSE)</f>
        <v>Asia Pacific</v>
      </c>
      <c r="L134" t="str">
        <f>IF(OR(Historic_BCast_BASE[[#This Row],[Broadcast Continent]]="Digital",Historic_BCast_BASE[[#This Row],[Programme Type]]="Digital"),"Y","N")</f>
        <v>N</v>
      </c>
      <c r="M134" s="4" t="str">
        <f>IF(ISNUMBER(SEARCH("Pan ",Historic_BCast_BASE[[#This Row],[Broadcast Market]]))=TRUE,"Y","N")</f>
        <v>N</v>
      </c>
      <c r="N134" t="str">
        <f>VLOOKUP(CONCATENATE(Historic_BCast_BASE[[#This Row],[Broadcast Market]],Historic_BCast_BASE[[#This Row],[Broadcaster]]),Table1[[CC]:[Pay TV vs. Free-to-Air]],3,FALSE)</f>
        <v>Pay TV</v>
      </c>
      <c r="O134" s="1">
        <f>VLOOKUP(CONCATENATE(Historic_BCast_BASE[[#This Row],[Broadcast Market]],Historic_BCast_BASE[[#This Row],[Broadcaster]]),Table1[[CC]:[Pay TV vs. Free-to-Air]],2,FALSE)</f>
        <v>5475360</v>
      </c>
      <c r="P134" s="51">
        <f>Historic_BCast_BASE[[#This Row],[Rolex EXP]]*86400</f>
        <v>601.90892862966723</v>
      </c>
      <c r="Q134" s="73" t="str">
        <f>IF(Historic_BCast_BASE[[#This Row],[Dashboard Rated?]]="No","N","Y")</f>
        <v>Y</v>
      </c>
      <c r="R134" s="81"/>
      <c r="S134" s="81"/>
    </row>
    <row r="135" spans="1:19" x14ac:dyDescent="0.25">
      <c r="A135" s="72" t="s">
        <v>1869</v>
      </c>
      <c r="B135" t="s">
        <v>15</v>
      </c>
      <c r="C135" t="s">
        <v>1196</v>
      </c>
      <c r="D135" t="s">
        <v>1642</v>
      </c>
      <c r="E135" s="102">
        <v>0.59196759259259257</v>
      </c>
      <c r="F135" s="101">
        <v>71234</v>
      </c>
      <c r="G135" s="102">
        <v>5.6557234831887425E-2</v>
      </c>
      <c r="H135" s="101">
        <v>667.93247899078256</v>
      </c>
      <c r="I135" s="101">
        <v>191.88447642247425</v>
      </c>
      <c r="J135" s="101" t="s">
        <v>1867</v>
      </c>
      <c r="K135" t="str">
        <f>VLOOKUP(Historic_BCast_BASE[[#This Row],[Broadcast Market]],Continent_Look_Up[],2,FALSE)</f>
        <v>Africa &amp; Middle East</v>
      </c>
      <c r="L135" t="str">
        <f>IF(OR(Historic_BCast_BASE[[#This Row],[Broadcast Continent]]="Digital",Historic_BCast_BASE[[#This Row],[Programme Type]]="Digital"),"Y","N")</f>
        <v>N</v>
      </c>
      <c r="M135" s="4" t="str">
        <f>IF(ISNUMBER(SEARCH("Pan ",Historic_BCast_BASE[[#This Row],[Broadcast Market]]))=TRUE,"Y","N")</f>
        <v>Y</v>
      </c>
      <c r="N135" t="str">
        <f>VLOOKUP(CONCATENATE(Historic_BCast_BASE[[#This Row],[Broadcast Market]],Historic_BCast_BASE[[#This Row],[Broadcaster]]),Table1[[CC]:[Pay TV vs. Free-to-Air]],3,FALSE)</f>
        <v>Pay TV</v>
      </c>
      <c r="O135" s="1">
        <f>VLOOKUP(CONCATENATE(Historic_BCast_BASE[[#This Row],[Broadcast Market]],Historic_BCast_BASE[[#This Row],[Broadcaster]]),Table1[[CC]:[Pay TV vs. Free-to-Air]],2,FALSE)</f>
        <v>3100000</v>
      </c>
      <c r="P135" s="51">
        <f>Historic_BCast_BASE[[#This Row],[Rolex EXP]]*86400</f>
        <v>4886.5450894750738</v>
      </c>
      <c r="Q135" s="73" t="str">
        <f>IF(Historic_BCast_BASE[[#This Row],[Dashboard Rated?]]="No","N","Y")</f>
        <v>N</v>
      </c>
      <c r="R135" s="81"/>
      <c r="S135" s="81"/>
    </row>
    <row r="136" spans="1:19" x14ac:dyDescent="0.25">
      <c r="A136" s="72" t="s">
        <v>1869</v>
      </c>
      <c r="B136" t="s">
        <v>15</v>
      </c>
      <c r="C136" t="s">
        <v>1196</v>
      </c>
      <c r="D136" t="s">
        <v>1643</v>
      </c>
      <c r="E136" s="102">
        <v>4.8731712962962961</v>
      </c>
      <c r="F136" s="101">
        <v>149410</v>
      </c>
      <c r="G136" s="102">
        <v>0.45954897261166977</v>
      </c>
      <c r="H136" s="101">
        <v>12503.021939779568</v>
      </c>
      <c r="I136" s="101">
        <v>3594.9331067715952</v>
      </c>
      <c r="J136" s="101" t="s">
        <v>1867</v>
      </c>
      <c r="K136" t="str">
        <f>VLOOKUP(Historic_BCast_BASE[[#This Row],[Broadcast Market]],Continent_Look_Up[],2,FALSE)</f>
        <v>Africa &amp; Middle East</v>
      </c>
      <c r="L136" t="str">
        <f>IF(OR(Historic_BCast_BASE[[#This Row],[Broadcast Continent]]="Digital",Historic_BCast_BASE[[#This Row],[Programme Type]]="Digital"),"Y","N")</f>
        <v>N</v>
      </c>
      <c r="M136" s="4" t="str">
        <f>IF(ISNUMBER(SEARCH("Pan ",Historic_BCast_BASE[[#This Row],[Broadcast Market]]))=TRUE,"Y","N")</f>
        <v>Y</v>
      </c>
      <c r="N136" t="str">
        <f>VLOOKUP(CONCATENATE(Historic_BCast_BASE[[#This Row],[Broadcast Market]],Historic_BCast_BASE[[#This Row],[Broadcaster]]),Table1[[CC]:[Pay TV vs. Free-to-Air]],3,FALSE)</f>
        <v>Pay TV</v>
      </c>
      <c r="O136" s="1">
        <f>VLOOKUP(CONCATENATE(Historic_BCast_BASE[[#This Row],[Broadcast Market]],Historic_BCast_BASE[[#This Row],[Broadcaster]]),Table1[[CC]:[Pay TV vs. Free-to-Air]],2,FALSE)</f>
        <v>3100000</v>
      </c>
      <c r="P136" s="57">
        <f>Historic_BCast_BASE[[#This Row],[Rolex EXP]]*86400</f>
        <v>39705.031233648268</v>
      </c>
      <c r="Q136" s="73" t="str">
        <f>IF(Historic_BCast_BASE[[#This Row],[Dashboard Rated?]]="No","N","Y")</f>
        <v>N</v>
      </c>
      <c r="R136" s="81"/>
      <c r="S136" s="81"/>
    </row>
    <row r="137" spans="1:19" x14ac:dyDescent="0.25">
      <c r="A137" s="72" t="s">
        <v>1869</v>
      </c>
      <c r="B137" t="s">
        <v>15</v>
      </c>
      <c r="C137" t="s">
        <v>1197</v>
      </c>
      <c r="D137" t="s">
        <v>1642</v>
      </c>
      <c r="E137" s="102">
        <v>9.2476851851851852E-3</v>
      </c>
      <c r="F137" s="101">
        <v>2398</v>
      </c>
      <c r="G137" s="102">
        <v>8.8353401303480322E-4</v>
      </c>
      <c r="H137" s="101">
        <v>9.7876789290890223</v>
      </c>
      <c r="I137" s="101">
        <v>2.8118166218496587</v>
      </c>
      <c r="J137" s="101" t="s">
        <v>1867</v>
      </c>
      <c r="K137" t="str">
        <f>VLOOKUP(Historic_BCast_BASE[[#This Row],[Broadcast Market]],Continent_Look_Up[],2,FALSE)</f>
        <v>Africa &amp; Middle East</v>
      </c>
      <c r="L137" t="str">
        <f>IF(OR(Historic_BCast_BASE[[#This Row],[Broadcast Continent]]="Digital",Historic_BCast_BASE[[#This Row],[Programme Type]]="Digital"),"Y","N")</f>
        <v>N</v>
      </c>
      <c r="M137" s="4" t="str">
        <f>IF(ISNUMBER(SEARCH("Pan ",Historic_BCast_BASE[[#This Row],[Broadcast Market]]))=TRUE,"Y","N")</f>
        <v>Y</v>
      </c>
      <c r="N137" t="str">
        <f>VLOOKUP(CONCATENATE(Historic_BCast_BASE[[#This Row],[Broadcast Market]],Historic_BCast_BASE[[#This Row],[Broadcaster]]),Table1[[CC]:[Pay TV vs. Free-to-Air]],3,FALSE)</f>
        <v>Pay TV</v>
      </c>
      <c r="O137" s="1">
        <f>VLOOKUP(CONCATENATE(Historic_BCast_BASE[[#This Row],[Broadcast Market]],Historic_BCast_BASE[[#This Row],[Broadcaster]]),Table1[[CC]:[Pay TV vs. Free-to-Air]],2,FALSE)</f>
        <v>3100000</v>
      </c>
      <c r="P137" s="57">
        <f>Historic_BCast_BASE[[#This Row],[Rolex EXP]]*86400</f>
        <v>76.337338726206994</v>
      </c>
      <c r="Q137" s="73" t="str">
        <f>IF(Historic_BCast_BASE[[#This Row],[Dashboard Rated?]]="No","N","Y")</f>
        <v>N</v>
      </c>
      <c r="R137" s="81"/>
      <c r="S137" s="81"/>
    </row>
    <row r="138" spans="1:19" x14ac:dyDescent="0.25">
      <c r="A138" s="72" t="s">
        <v>1869</v>
      </c>
      <c r="B138" t="s">
        <v>15</v>
      </c>
      <c r="C138" t="s">
        <v>1198</v>
      </c>
      <c r="D138" t="s">
        <v>1642</v>
      </c>
      <c r="E138" s="102">
        <v>5.6515740740740741</v>
      </c>
      <c r="F138" s="101">
        <v>484738</v>
      </c>
      <c r="G138" s="102">
        <v>0.53995760253922642</v>
      </c>
      <c r="H138" s="101">
        <v>6311.354432020863</v>
      </c>
      <c r="I138" s="101">
        <v>1813.1337804306684</v>
      </c>
      <c r="J138" s="101" t="s">
        <v>1867</v>
      </c>
      <c r="K138" t="str">
        <f>VLOOKUP(Historic_BCast_BASE[[#This Row],[Broadcast Market]],Continent_Look_Up[],2,FALSE)</f>
        <v>Africa &amp; Middle East</v>
      </c>
      <c r="L138" t="str">
        <f>IF(OR(Historic_BCast_BASE[[#This Row],[Broadcast Continent]]="Digital",Historic_BCast_BASE[[#This Row],[Programme Type]]="Digital"),"Y","N")</f>
        <v>N</v>
      </c>
      <c r="M138" s="4" t="str">
        <f>IF(ISNUMBER(SEARCH("Pan ",Historic_BCast_BASE[[#This Row],[Broadcast Market]]))=TRUE,"Y","N")</f>
        <v>Y</v>
      </c>
      <c r="N138" t="str">
        <f>VLOOKUP(CONCATENATE(Historic_BCast_BASE[[#This Row],[Broadcast Market]],Historic_BCast_BASE[[#This Row],[Broadcaster]]),Table1[[CC]:[Pay TV vs. Free-to-Air]],3,FALSE)</f>
        <v>Pay TV</v>
      </c>
      <c r="O138" s="1">
        <f>VLOOKUP(CONCATENATE(Historic_BCast_BASE[[#This Row],[Broadcast Market]],Historic_BCast_BASE[[#This Row],[Broadcaster]]),Table1[[CC]:[Pay TV vs. Free-to-Air]],2,FALSE)</f>
        <v>3100000</v>
      </c>
      <c r="P138" s="57">
        <f>Historic_BCast_BASE[[#This Row],[Rolex EXP]]*86400</f>
        <v>46652.336859389165</v>
      </c>
      <c r="Q138" s="73" t="str">
        <f>IF(Historic_BCast_BASE[[#This Row],[Dashboard Rated?]]="No","N","Y")</f>
        <v>N</v>
      </c>
      <c r="R138" s="81"/>
      <c r="S138" s="81"/>
    </row>
    <row r="139" spans="1:19" x14ac:dyDescent="0.25">
      <c r="A139" s="72" t="s">
        <v>1869</v>
      </c>
      <c r="B139" t="s">
        <v>15</v>
      </c>
      <c r="C139" t="s">
        <v>1198</v>
      </c>
      <c r="D139" t="s">
        <v>1643</v>
      </c>
      <c r="E139" s="102">
        <v>5.0875347222222222</v>
      </c>
      <c r="F139" s="101">
        <v>432934</v>
      </c>
      <c r="G139" s="102">
        <v>0.47909632154159992</v>
      </c>
      <c r="H139" s="101">
        <v>17401.45045777359</v>
      </c>
      <c r="I139" s="101">
        <v>5002.1671874341428</v>
      </c>
      <c r="J139" s="101" t="s">
        <v>1867</v>
      </c>
      <c r="K139" t="str">
        <f>VLOOKUP(Historic_BCast_BASE[[#This Row],[Broadcast Market]],Continent_Look_Up[],2,FALSE)</f>
        <v>Africa &amp; Middle East</v>
      </c>
      <c r="L139" t="str">
        <f>IF(OR(Historic_BCast_BASE[[#This Row],[Broadcast Continent]]="Digital",Historic_BCast_BASE[[#This Row],[Programme Type]]="Digital"),"Y","N")</f>
        <v>N</v>
      </c>
      <c r="M139" s="4" t="str">
        <f>IF(ISNUMBER(SEARCH("Pan ",Historic_BCast_BASE[[#This Row],[Broadcast Market]]))=TRUE,"Y","N")</f>
        <v>Y</v>
      </c>
      <c r="N139" t="str">
        <f>VLOOKUP(CONCATENATE(Historic_BCast_BASE[[#This Row],[Broadcast Market]],Historic_BCast_BASE[[#This Row],[Broadcaster]]),Table1[[CC]:[Pay TV vs. Free-to-Air]],3,FALSE)</f>
        <v>Pay TV</v>
      </c>
      <c r="O139" s="1">
        <f>VLOOKUP(CONCATENATE(Historic_BCast_BASE[[#This Row],[Broadcast Market]],Historic_BCast_BASE[[#This Row],[Broadcaster]]),Table1[[CC]:[Pay TV vs. Free-to-Air]],2,FALSE)</f>
        <v>3100000</v>
      </c>
      <c r="P139" s="57">
        <f>Historic_BCast_BASE[[#This Row],[Rolex EXP]]*86400</f>
        <v>41393.922181194233</v>
      </c>
      <c r="Q139" s="73" t="str">
        <f>IF(Historic_BCast_BASE[[#This Row],[Dashboard Rated?]]="No","N","Y")</f>
        <v>N</v>
      </c>
      <c r="R139" s="81"/>
      <c r="S139" s="81"/>
    </row>
    <row r="140" spans="1:19" x14ac:dyDescent="0.25">
      <c r="A140" s="72" t="s">
        <v>1869</v>
      </c>
      <c r="B140" t="s">
        <v>15</v>
      </c>
      <c r="C140" t="s">
        <v>1198</v>
      </c>
      <c r="D140" t="s">
        <v>1644</v>
      </c>
      <c r="E140" s="102">
        <v>1.9991087962962963</v>
      </c>
      <c r="F140" s="101">
        <v>93592</v>
      </c>
      <c r="G140" s="102">
        <v>0.19099705298299161</v>
      </c>
      <c r="H140" s="101">
        <v>3147.2752329201944</v>
      </c>
      <c r="I140" s="101">
        <v>904.15315802399584</v>
      </c>
      <c r="J140" s="101" t="s">
        <v>1867</v>
      </c>
      <c r="K140" t="str">
        <f>VLOOKUP(Historic_BCast_BASE[[#This Row],[Broadcast Market]],Continent_Look_Up[],2,FALSE)</f>
        <v>Africa &amp; Middle East</v>
      </c>
      <c r="L140" t="str">
        <f>IF(OR(Historic_BCast_BASE[[#This Row],[Broadcast Continent]]="Digital",Historic_BCast_BASE[[#This Row],[Programme Type]]="Digital"),"Y","N")</f>
        <v>N</v>
      </c>
      <c r="M140" s="4" t="str">
        <f>IF(ISNUMBER(SEARCH("Pan ",Historic_BCast_BASE[[#This Row],[Broadcast Market]]))=TRUE,"Y","N")</f>
        <v>Y</v>
      </c>
      <c r="N140" t="str">
        <f>VLOOKUP(CONCATENATE(Historic_BCast_BASE[[#This Row],[Broadcast Market]],Historic_BCast_BASE[[#This Row],[Broadcaster]]),Table1[[CC]:[Pay TV vs. Free-to-Air]],3,FALSE)</f>
        <v>Pay TV</v>
      </c>
      <c r="O140" s="1">
        <f>VLOOKUP(CONCATENATE(Historic_BCast_BASE[[#This Row],[Broadcast Market]],Historic_BCast_BASE[[#This Row],[Broadcaster]]),Table1[[CC]:[Pay TV vs. Free-to-Air]],2,FALSE)</f>
        <v>3100000</v>
      </c>
      <c r="P140" s="51">
        <f>Historic_BCast_BASE[[#This Row],[Rolex EXP]]*86400</f>
        <v>16502.145377730474</v>
      </c>
      <c r="Q140" s="73" t="str">
        <f>IF(Historic_BCast_BASE[[#This Row],[Dashboard Rated?]]="No","N","Y")</f>
        <v>N</v>
      </c>
      <c r="R140" s="81"/>
      <c r="S140" s="81"/>
    </row>
    <row r="141" spans="1:19" x14ac:dyDescent="0.25">
      <c r="A141" s="72" t="s">
        <v>1869</v>
      </c>
      <c r="B141" t="s">
        <v>15</v>
      </c>
      <c r="C141" t="s">
        <v>1199</v>
      </c>
      <c r="D141" t="s">
        <v>1643</v>
      </c>
      <c r="E141" s="102">
        <v>0.7107175925925926</v>
      </c>
      <c r="F141" s="101">
        <v>11492</v>
      </c>
      <c r="G141" s="102">
        <v>6.7902740431057734E-2</v>
      </c>
      <c r="H141" s="101">
        <v>1802.4373836711318</v>
      </c>
      <c r="I141" s="101">
        <v>517.80646177381391</v>
      </c>
      <c r="J141" s="101" t="s">
        <v>1867</v>
      </c>
      <c r="K141" t="str">
        <f>VLOOKUP(Historic_BCast_BASE[[#This Row],[Broadcast Market]],Continent_Look_Up[],2,FALSE)</f>
        <v>Africa &amp; Middle East</v>
      </c>
      <c r="L141" t="str">
        <f>IF(OR(Historic_BCast_BASE[[#This Row],[Broadcast Continent]]="Digital",Historic_BCast_BASE[[#This Row],[Programme Type]]="Digital"),"Y","N")</f>
        <v>N</v>
      </c>
      <c r="M141" s="4" t="str">
        <f>IF(ISNUMBER(SEARCH("Pan ",Historic_BCast_BASE[[#This Row],[Broadcast Market]]))=TRUE,"Y","N")</f>
        <v>Y</v>
      </c>
      <c r="N141" t="str">
        <f>VLOOKUP(CONCATENATE(Historic_BCast_BASE[[#This Row],[Broadcast Market]],Historic_BCast_BASE[[#This Row],[Broadcaster]]),Table1[[CC]:[Pay TV vs. Free-to-Air]],3,FALSE)</f>
        <v>Pay TV</v>
      </c>
      <c r="O141" s="1">
        <f>VLOOKUP(CONCATENATE(Historic_BCast_BASE[[#This Row],[Broadcast Market]],Historic_BCast_BASE[[#This Row],[Broadcaster]]),Table1[[CC]:[Pay TV vs. Free-to-Air]],2,FALSE)</f>
        <v>3100000</v>
      </c>
      <c r="P141" s="57">
        <f>Historic_BCast_BASE[[#This Row],[Rolex EXP]]*86400</f>
        <v>5866.7967732433881</v>
      </c>
      <c r="Q141" s="73" t="str">
        <f>IF(Historic_BCast_BASE[[#This Row],[Dashboard Rated?]]="No","N","Y")</f>
        <v>N</v>
      </c>
      <c r="R141" s="81"/>
      <c r="S141" s="81"/>
    </row>
    <row r="142" spans="1:19" x14ac:dyDescent="0.25">
      <c r="A142" s="72" t="s">
        <v>1869</v>
      </c>
      <c r="B142" t="s">
        <v>15</v>
      </c>
      <c r="C142" t="s">
        <v>1200</v>
      </c>
      <c r="D142" t="s">
        <v>1642</v>
      </c>
      <c r="E142" s="102">
        <v>0.27197916666666666</v>
      </c>
      <c r="F142" s="101">
        <v>23627</v>
      </c>
      <c r="G142" s="102">
        <v>2.5985188701257628E-2</v>
      </c>
      <c r="H142" s="101">
        <v>297.73366407839166</v>
      </c>
      <c r="I142" s="101">
        <v>85.533298712092432</v>
      </c>
      <c r="J142" s="101" t="s">
        <v>1867</v>
      </c>
      <c r="K142" t="str">
        <f>VLOOKUP(Historic_BCast_BASE[[#This Row],[Broadcast Market]],Continent_Look_Up[],2,FALSE)</f>
        <v>Africa &amp; Middle East</v>
      </c>
      <c r="L142" t="str">
        <f>IF(OR(Historic_BCast_BASE[[#This Row],[Broadcast Continent]]="Digital",Historic_BCast_BASE[[#This Row],[Programme Type]]="Digital"),"Y","N")</f>
        <v>N</v>
      </c>
      <c r="M142" s="4" t="str">
        <f>IF(ISNUMBER(SEARCH("Pan ",Historic_BCast_BASE[[#This Row],[Broadcast Market]]))=TRUE,"Y","N")</f>
        <v>Y</v>
      </c>
      <c r="N142" t="str">
        <f>VLOOKUP(CONCATENATE(Historic_BCast_BASE[[#This Row],[Broadcast Market]],Historic_BCast_BASE[[#This Row],[Broadcaster]]),Table1[[CC]:[Pay TV vs. Free-to-Air]],3,FALSE)</f>
        <v>Pay TV</v>
      </c>
      <c r="O142" s="1">
        <f>VLOOKUP(CONCATENATE(Historic_BCast_BASE[[#This Row],[Broadcast Market]],Historic_BCast_BASE[[#This Row],[Broadcaster]]),Table1[[CC]:[Pay TV vs. Free-to-Air]],2,FALSE)</f>
        <v>3100000</v>
      </c>
      <c r="P142" s="57">
        <f>Historic_BCast_BASE[[#This Row],[Rolex EXP]]*86400</f>
        <v>2245.1203037886589</v>
      </c>
      <c r="Q142" s="73" t="str">
        <f>IF(Historic_BCast_BASE[[#This Row],[Dashboard Rated?]]="No","N","Y")</f>
        <v>N</v>
      </c>
      <c r="R142" s="81"/>
      <c r="S142" s="81"/>
    </row>
    <row r="143" spans="1:19" x14ac:dyDescent="0.25">
      <c r="A143" s="72" t="s">
        <v>1869</v>
      </c>
      <c r="B143" t="s">
        <v>15</v>
      </c>
      <c r="C143" t="s">
        <v>1200</v>
      </c>
      <c r="D143" t="s">
        <v>1643</v>
      </c>
      <c r="E143" s="102">
        <v>0.41671296296296295</v>
      </c>
      <c r="F143" s="101">
        <v>40250</v>
      </c>
      <c r="G143" s="102">
        <v>3.9813214775100192E-2</v>
      </c>
      <c r="H143" s="101">
        <v>1707.065583697113</v>
      </c>
      <c r="I143" s="101">
        <v>490.40793201353853</v>
      </c>
      <c r="J143" s="101" t="s">
        <v>1867</v>
      </c>
      <c r="K143" t="str">
        <f>VLOOKUP(Historic_BCast_BASE[[#This Row],[Broadcast Market]],Continent_Look_Up[],2,FALSE)</f>
        <v>Africa &amp; Middle East</v>
      </c>
      <c r="L143" s="132" t="str">
        <f>IF(OR(Historic_BCast_BASE[[#This Row],[Broadcast Continent]]="Digital",Historic_BCast_BASE[[#This Row],[Programme Type]]="Digital"),"Y","N")</f>
        <v>N</v>
      </c>
      <c r="M143" s="132" t="str">
        <f>IF(ISNUMBER(SEARCH("Pan ",Historic_BCast_BASE[[#This Row],[Broadcast Market]]))=TRUE,"Y","N")</f>
        <v>Y</v>
      </c>
      <c r="N143" s="132" t="str">
        <f>VLOOKUP(CONCATENATE(Historic_BCast_BASE[[#This Row],[Broadcast Market]],Historic_BCast_BASE[[#This Row],[Broadcaster]]),Table1[[CC]:[Pay TV vs. Free-to-Air]],3,FALSE)</f>
        <v>Pay TV</v>
      </c>
      <c r="O143" s="133">
        <f>VLOOKUP(CONCATENATE(Historic_BCast_BASE[[#This Row],[Broadcast Market]],Historic_BCast_BASE[[#This Row],[Broadcaster]]),Table1[[CC]:[Pay TV vs. Free-to-Air]],2,FALSE)</f>
        <v>3100000</v>
      </c>
      <c r="P143" s="73">
        <f>Historic_BCast_BASE[[#This Row],[Rolex EXP]]*86400</f>
        <v>3439.8617565686568</v>
      </c>
      <c r="Q143" s="19" t="str">
        <f>IF(Historic_BCast_BASE[[#This Row],[Dashboard Rated?]]="No","N","Y")</f>
        <v>N</v>
      </c>
      <c r="S143" s="22"/>
    </row>
    <row r="144" spans="1:19" x14ac:dyDescent="0.25">
      <c r="A144" s="72" t="s">
        <v>1869</v>
      </c>
      <c r="B144" t="s">
        <v>15</v>
      </c>
      <c r="C144" t="s">
        <v>1200</v>
      </c>
      <c r="D144" t="s">
        <v>1644</v>
      </c>
      <c r="E144" s="102">
        <v>8.2465277777777776E-2</v>
      </c>
      <c r="F144" s="101">
        <v>2954</v>
      </c>
      <c r="G144" s="102">
        <v>7.8788233327571639E-3</v>
      </c>
      <c r="H144" s="101">
        <v>107.51748972092358</v>
      </c>
      <c r="I144" s="101">
        <v>30.887758673647134</v>
      </c>
      <c r="J144" s="101" t="s">
        <v>1867</v>
      </c>
      <c r="K144" t="str">
        <f>VLOOKUP(Historic_BCast_BASE[[#This Row],[Broadcast Market]],Continent_Look_Up[],2,FALSE)</f>
        <v>Africa &amp; Middle East</v>
      </c>
      <c r="L144" s="132" t="str">
        <f>IF(OR(Historic_BCast_BASE[[#This Row],[Broadcast Continent]]="Digital",Historic_BCast_BASE[[#This Row],[Programme Type]]="Digital"),"Y","N")</f>
        <v>N</v>
      </c>
      <c r="M144" s="132" t="str">
        <f>IF(ISNUMBER(SEARCH("Pan ",Historic_BCast_BASE[[#This Row],[Broadcast Market]]))=TRUE,"Y","N")</f>
        <v>Y</v>
      </c>
      <c r="N144" s="132" t="str">
        <f>VLOOKUP(CONCATENATE(Historic_BCast_BASE[[#This Row],[Broadcast Market]],Historic_BCast_BASE[[#This Row],[Broadcaster]]),Table1[[CC]:[Pay TV vs. Free-to-Air]],3,FALSE)</f>
        <v>Pay TV</v>
      </c>
      <c r="O144" s="133">
        <f>VLOOKUP(CONCATENATE(Historic_BCast_BASE[[#This Row],[Broadcast Market]],Historic_BCast_BASE[[#This Row],[Broadcaster]]),Table1[[CC]:[Pay TV vs. Free-to-Air]],2,FALSE)</f>
        <v>3100000</v>
      </c>
      <c r="P144" s="73">
        <f>Historic_BCast_BASE[[#This Row],[Rolex EXP]]*86400</f>
        <v>680.730335950219</v>
      </c>
      <c r="Q144" s="19" t="str">
        <f>IF(Historic_BCast_BASE[[#This Row],[Dashboard Rated?]]="No","N","Y")</f>
        <v>N</v>
      </c>
      <c r="S144" s="22"/>
    </row>
    <row r="145" spans="1:19" x14ac:dyDescent="0.25">
      <c r="A145" s="72" t="s">
        <v>1869</v>
      </c>
      <c r="B145" t="s">
        <v>15</v>
      </c>
      <c r="C145" t="s">
        <v>1201</v>
      </c>
      <c r="D145" t="s">
        <v>1642</v>
      </c>
      <c r="E145" s="102">
        <v>0.25175925925925929</v>
      </c>
      <c r="F145" s="101">
        <v>59557</v>
      </c>
      <c r="G145" s="102">
        <v>2.4053356510053869E-2</v>
      </c>
      <c r="H145" s="101">
        <v>508.81360291022179</v>
      </c>
      <c r="I145" s="101">
        <v>146.17260705540264</v>
      </c>
      <c r="J145" s="101" t="s">
        <v>1867</v>
      </c>
      <c r="K145" t="str">
        <f>VLOOKUP(Historic_BCast_BASE[[#This Row],[Broadcast Market]],Continent_Look_Up[],2,FALSE)</f>
        <v>Africa &amp; Middle East</v>
      </c>
      <c r="L145" s="132" t="str">
        <f>IF(OR(Historic_BCast_BASE[[#This Row],[Broadcast Continent]]="Digital",Historic_BCast_BASE[[#This Row],[Programme Type]]="Digital"),"Y","N")</f>
        <v>N</v>
      </c>
      <c r="M145" s="132" t="str">
        <f>IF(ISNUMBER(SEARCH("Pan ",Historic_BCast_BASE[[#This Row],[Broadcast Market]]))=TRUE,"Y","N")</f>
        <v>Y</v>
      </c>
      <c r="N145" s="132" t="str">
        <f>VLOOKUP(CONCATENATE(Historic_BCast_BASE[[#This Row],[Broadcast Market]],Historic_BCast_BASE[[#This Row],[Broadcaster]]),Table1[[CC]:[Pay TV vs. Free-to-Air]],3,FALSE)</f>
        <v>Pay TV</v>
      </c>
      <c r="O145" s="133">
        <f>VLOOKUP(CONCATENATE(Historic_BCast_BASE[[#This Row],[Broadcast Market]],Historic_BCast_BASE[[#This Row],[Broadcaster]]),Table1[[CC]:[Pay TV vs. Free-to-Air]],2,FALSE)</f>
        <v>3100000</v>
      </c>
      <c r="P145" s="73">
        <f>Historic_BCast_BASE[[#This Row],[Rolex EXP]]*86400</f>
        <v>2078.2100024686542</v>
      </c>
      <c r="Q145" s="19" t="str">
        <f>IF(Historic_BCast_BASE[[#This Row],[Dashboard Rated?]]="No","N","Y")</f>
        <v>N</v>
      </c>
      <c r="S145" s="22"/>
    </row>
    <row r="146" spans="1:19" x14ac:dyDescent="0.25">
      <c r="A146" s="72" t="s">
        <v>1869</v>
      </c>
      <c r="B146" t="s">
        <v>15</v>
      </c>
      <c r="C146" t="s">
        <v>1203</v>
      </c>
      <c r="D146" t="s">
        <v>1642</v>
      </c>
      <c r="E146" s="102">
        <v>8.4606481481481494E-3</v>
      </c>
      <c r="F146" s="101">
        <v>3770</v>
      </c>
      <c r="G146" s="102">
        <v>8.083396289467349E-4</v>
      </c>
      <c r="H146" s="101">
        <v>14.078049360234795</v>
      </c>
      <c r="I146" s="101">
        <v>4.044359595478932</v>
      </c>
      <c r="J146" s="101" t="s">
        <v>1867</v>
      </c>
      <c r="K146" t="str">
        <f>VLOOKUP(Historic_BCast_BASE[[#This Row],[Broadcast Market]],Continent_Look_Up[],2,FALSE)</f>
        <v>Africa &amp; Middle East</v>
      </c>
      <c r="L146" s="132" t="str">
        <f>IF(OR(Historic_BCast_BASE[[#This Row],[Broadcast Continent]]="Digital",Historic_BCast_BASE[[#This Row],[Programme Type]]="Digital"),"Y","N")</f>
        <v>N</v>
      </c>
      <c r="M146" s="132" t="str">
        <f>IF(ISNUMBER(SEARCH("Pan ",Historic_BCast_BASE[[#This Row],[Broadcast Market]]))=TRUE,"Y","N")</f>
        <v>Y</v>
      </c>
      <c r="N146" s="132" t="str">
        <f>VLOOKUP(CONCATENATE(Historic_BCast_BASE[[#This Row],[Broadcast Market]],Historic_BCast_BASE[[#This Row],[Broadcaster]]),Table1[[CC]:[Pay TV vs. Free-to-Air]],3,FALSE)</f>
        <v>Pay TV</v>
      </c>
      <c r="O146" s="133">
        <f>VLOOKUP(CONCATENATE(Historic_BCast_BASE[[#This Row],[Broadcast Market]],Historic_BCast_BASE[[#This Row],[Broadcaster]]),Table1[[CC]:[Pay TV vs. Free-to-Air]],2,FALSE)</f>
        <v>3100000</v>
      </c>
      <c r="P146" s="73">
        <f>Historic_BCast_BASE[[#This Row],[Rolex EXP]]*86400</f>
        <v>69.84054394099789</v>
      </c>
      <c r="Q146" s="19" t="str">
        <f>IF(Historic_BCast_BASE[[#This Row],[Dashboard Rated?]]="No","N","Y")</f>
        <v>N</v>
      </c>
      <c r="S146" s="22"/>
    </row>
    <row r="147" spans="1:19" x14ac:dyDescent="0.25">
      <c r="A147" s="72" t="s">
        <v>1869</v>
      </c>
      <c r="B147" t="s">
        <v>15</v>
      </c>
      <c r="C147" t="s">
        <v>1203</v>
      </c>
      <c r="D147" t="s">
        <v>1643</v>
      </c>
      <c r="E147" s="102">
        <v>3.7668055555555555</v>
      </c>
      <c r="F147" s="101">
        <v>135517</v>
      </c>
      <c r="G147" s="102">
        <v>0.35988474544455912</v>
      </c>
      <c r="H147" s="101">
        <v>15688.763784513823</v>
      </c>
      <c r="I147" s="101">
        <v>4507.087646128457</v>
      </c>
      <c r="J147" s="101" t="s">
        <v>1867</v>
      </c>
      <c r="K147" t="str">
        <f>VLOOKUP(Historic_BCast_BASE[[#This Row],[Broadcast Market]],Continent_Look_Up[],2,FALSE)</f>
        <v>Africa &amp; Middle East</v>
      </c>
      <c r="L147" s="132" t="str">
        <f>IF(OR(Historic_BCast_BASE[[#This Row],[Broadcast Continent]]="Digital",Historic_BCast_BASE[[#This Row],[Programme Type]]="Digital"),"Y","N")</f>
        <v>N</v>
      </c>
      <c r="M147" s="132" t="str">
        <f>IF(ISNUMBER(SEARCH("Pan ",Historic_BCast_BASE[[#This Row],[Broadcast Market]]))=TRUE,"Y","N")</f>
        <v>Y</v>
      </c>
      <c r="N147" s="132" t="str">
        <f>VLOOKUP(CONCATENATE(Historic_BCast_BASE[[#This Row],[Broadcast Market]],Historic_BCast_BASE[[#This Row],[Broadcaster]]),Table1[[CC]:[Pay TV vs. Free-to-Air]],3,FALSE)</f>
        <v>Pay TV</v>
      </c>
      <c r="O147" s="133">
        <f>VLOOKUP(CONCATENATE(Historic_BCast_BASE[[#This Row],[Broadcast Market]],Historic_BCast_BASE[[#This Row],[Broadcaster]]),Table1[[CC]:[Pay TV vs. Free-to-Air]],2,FALSE)</f>
        <v>3100000</v>
      </c>
      <c r="P147" s="73">
        <f>Historic_BCast_BASE[[#This Row],[Rolex EXP]]*86400</f>
        <v>31094.042006409909</v>
      </c>
      <c r="Q147" s="19" t="str">
        <f>IF(Historic_BCast_BASE[[#This Row],[Dashboard Rated?]]="No","N","Y")</f>
        <v>N</v>
      </c>
      <c r="S147" s="22"/>
    </row>
    <row r="148" spans="1:19" x14ac:dyDescent="0.25">
      <c r="A148" s="72" t="s">
        <v>1869</v>
      </c>
      <c r="B148" t="s">
        <v>8</v>
      </c>
      <c r="C148" t="s">
        <v>194</v>
      </c>
      <c r="D148" t="s">
        <v>1642</v>
      </c>
      <c r="E148" s="102">
        <v>3.0678009259259258</v>
      </c>
      <c r="F148" s="101">
        <v>741900</v>
      </c>
      <c r="G148" s="102">
        <v>0.2799164314269294</v>
      </c>
      <c r="H148" s="101">
        <v>77008.397572357251</v>
      </c>
      <c r="I148" s="101">
        <v>22458.229060764945</v>
      </c>
      <c r="J148" s="101" t="s">
        <v>1867</v>
      </c>
      <c r="K148" t="str">
        <f>VLOOKUP(Historic_BCast_BASE[[#This Row],[Broadcast Market]],Continent_Look_Up[],2,FALSE)</f>
        <v>Asia Pacific</v>
      </c>
      <c r="L148" s="132" t="str">
        <f>IF(OR(Historic_BCast_BASE[[#This Row],[Broadcast Continent]]="Digital",Historic_BCast_BASE[[#This Row],[Programme Type]]="Digital"),"Y","N")</f>
        <v>N</v>
      </c>
      <c r="M148" s="132" t="str">
        <f>IF(ISNUMBER(SEARCH("Pan ",Historic_BCast_BASE[[#This Row],[Broadcast Market]]))=TRUE,"Y","N")</f>
        <v>Y</v>
      </c>
      <c r="N148" s="132" t="str">
        <f>VLOOKUP(CONCATENATE(Historic_BCast_BASE[[#This Row],[Broadcast Market]],Historic_BCast_BASE[[#This Row],[Broadcaster]]),Table1[[CC]:[Pay TV vs. Free-to-Air]],3,FALSE)</f>
        <v>Pay TV</v>
      </c>
      <c r="O148" s="133">
        <f>VLOOKUP(CONCATENATE(Historic_BCast_BASE[[#This Row],[Broadcast Market]],Historic_BCast_BASE[[#This Row],[Broadcaster]]),Table1[[CC]:[Pay TV vs. Free-to-Air]],2,FALSE)</f>
        <v>41686315</v>
      </c>
      <c r="P148" s="73">
        <f>Historic_BCast_BASE[[#This Row],[Rolex EXP]]*86400</f>
        <v>24184.7796752867</v>
      </c>
      <c r="Q148" s="19" t="str">
        <f>IF(Historic_BCast_BASE[[#This Row],[Dashboard Rated?]]="No","N","Y")</f>
        <v>N</v>
      </c>
      <c r="S148" s="22"/>
    </row>
    <row r="149" spans="1:19" x14ac:dyDescent="0.25">
      <c r="A149" s="72" t="s">
        <v>1869</v>
      </c>
      <c r="B149" t="s">
        <v>8</v>
      </c>
      <c r="C149" t="s">
        <v>194</v>
      </c>
      <c r="D149" t="s">
        <v>1643</v>
      </c>
      <c r="E149" s="102">
        <v>6.1754050925925936</v>
      </c>
      <c r="F149" s="101">
        <v>369975</v>
      </c>
      <c r="G149" s="102">
        <v>0.58235875742639709</v>
      </c>
      <c r="H149" s="101">
        <v>279778.39141403086</v>
      </c>
      <c r="I149" s="101">
        <v>80428.369342311111</v>
      </c>
      <c r="J149" s="101" t="s">
        <v>1867</v>
      </c>
      <c r="K149" t="str">
        <f>VLOOKUP(Historic_BCast_BASE[[#This Row],[Broadcast Market]],Continent_Look_Up[],2,FALSE)</f>
        <v>Asia Pacific</v>
      </c>
      <c r="L149" s="132" t="str">
        <f>IF(OR(Historic_BCast_BASE[[#This Row],[Broadcast Continent]]="Digital",Historic_BCast_BASE[[#This Row],[Programme Type]]="Digital"),"Y","N")</f>
        <v>N</v>
      </c>
      <c r="M149" s="132" t="str">
        <f>IF(ISNUMBER(SEARCH("Pan ",Historic_BCast_BASE[[#This Row],[Broadcast Market]]))=TRUE,"Y","N")</f>
        <v>Y</v>
      </c>
      <c r="N149" s="132" t="str">
        <f>VLOOKUP(CONCATENATE(Historic_BCast_BASE[[#This Row],[Broadcast Market]],Historic_BCast_BASE[[#This Row],[Broadcaster]]),Table1[[CC]:[Pay TV vs. Free-to-Air]],3,FALSE)</f>
        <v>Pay TV</v>
      </c>
      <c r="O149" s="133">
        <f>VLOOKUP(CONCATENATE(Historic_BCast_BASE[[#This Row],[Broadcast Market]],Historic_BCast_BASE[[#This Row],[Broadcaster]]),Table1[[CC]:[Pay TV vs. Free-to-Air]],2,FALSE)</f>
        <v>41686315</v>
      </c>
      <c r="P149" s="73">
        <f>Historic_BCast_BASE[[#This Row],[Rolex EXP]]*86400</f>
        <v>50315.796641640707</v>
      </c>
      <c r="Q149" s="19" t="str">
        <f>IF(Historic_BCast_BASE[[#This Row],[Dashboard Rated?]]="No","N","Y")</f>
        <v>N</v>
      </c>
      <c r="S149" s="22"/>
    </row>
    <row r="150" spans="1:19" x14ac:dyDescent="0.25">
      <c r="A150" s="72" t="s">
        <v>1869</v>
      </c>
      <c r="B150" t="s">
        <v>8</v>
      </c>
      <c r="C150" t="s">
        <v>225</v>
      </c>
      <c r="D150" t="s">
        <v>1642</v>
      </c>
      <c r="E150" s="102">
        <v>0.47209490740740745</v>
      </c>
      <c r="F150" s="101">
        <v>91338</v>
      </c>
      <c r="G150" s="102">
        <v>4.1951547729316134E-2</v>
      </c>
      <c r="H150" s="101">
        <v>9930.9351539507588</v>
      </c>
      <c r="I150" s="101">
        <v>2868.8328745205681</v>
      </c>
      <c r="J150" s="101" t="s">
        <v>1867</v>
      </c>
      <c r="K150" t="str">
        <f>VLOOKUP(Historic_BCast_BASE[[#This Row],[Broadcast Market]],Continent_Look_Up[],2,FALSE)</f>
        <v>Asia Pacific</v>
      </c>
      <c r="L150" s="132" t="str">
        <f>IF(OR(Historic_BCast_BASE[[#This Row],[Broadcast Continent]]="Digital",Historic_BCast_BASE[[#This Row],[Programme Type]]="Digital"),"Y","N")</f>
        <v>N</v>
      </c>
      <c r="M150" s="132" t="str">
        <f>IF(ISNUMBER(SEARCH("Pan ",Historic_BCast_BASE[[#This Row],[Broadcast Market]]))=TRUE,"Y","N")</f>
        <v>Y</v>
      </c>
      <c r="N150" s="132" t="str">
        <f>VLOOKUP(CONCATENATE(Historic_BCast_BASE[[#This Row],[Broadcast Market]],Historic_BCast_BASE[[#This Row],[Broadcaster]]),Table1[[CC]:[Pay TV vs. Free-to-Air]],3,FALSE)</f>
        <v>Pay TV</v>
      </c>
      <c r="O150" s="133">
        <f>VLOOKUP(CONCATENATE(Historic_BCast_BASE[[#This Row],[Broadcast Market]],Historic_BCast_BASE[[#This Row],[Broadcaster]]),Table1[[CC]:[Pay TV vs. Free-to-Air]],2,FALSE)</f>
        <v>41686315</v>
      </c>
      <c r="P150" s="73">
        <f>Historic_BCast_BASE[[#This Row],[Rolex EXP]]*86400</f>
        <v>3624.613723812914</v>
      </c>
      <c r="Q150" s="19" t="str">
        <f>IF(Historic_BCast_BASE[[#This Row],[Dashboard Rated?]]="No","N","Y")</f>
        <v>N</v>
      </c>
      <c r="S150" s="22"/>
    </row>
    <row r="151" spans="1:19" x14ac:dyDescent="0.25">
      <c r="A151" s="72" t="s">
        <v>1869</v>
      </c>
      <c r="B151" t="s">
        <v>8</v>
      </c>
      <c r="C151" t="s">
        <v>225</v>
      </c>
      <c r="D151" t="s">
        <v>1643</v>
      </c>
      <c r="E151" s="102">
        <v>3.6505324074074075</v>
      </c>
      <c r="F151" s="101">
        <v>163170</v>
      </c>
      <c r="G151" s="102">
        <v>0.34877588099531304</v>
      </c>
      <c r="H151" s="101">
        <v>131962.31029368346</v>
      </c>
      <c r="I151" s="101">
        <v>37910.297245109665</v>
      </c>
      <c r="J151" s="101" t="s">
        <v>1867</v>
      </c>
      <c r="K151" t="str">
        <f>VLOOKUP(Historic_BCast_BASE[[#This Row],[Broadcast Market]],Continent_Look_Up[],2,FALSE)</f>
        <v>Asia Pacific</v>
      </c>
      <c r="L151" s="132" t="str">
        <f>IF(OR(Historic_BCast_BASE[[#This Row],[Broadcast Continent]]="Digital",Historic_BCast_BASE[[#This Row],[Programme Type]]="Digital"),"Y","N")</f>
        <v>N</v>
      </c>
      <c r="M151" s="132" t="str">
        <f>IF(ISNUMBER(SEARCH("Pan ",Historic_BCast_BASE[[#This Row],[Broadcast Market]]))=TRUE,"Y","N")</f>
        <v>Y</v>
      </c>
      <c r="N151" s="132" t="str">
        <f>VLOOKUP(CONCATENATE(Historic_BCast_BASE[[#This Row],[Broadcast Market]],Historic_BCast_BASE[[#This Row],[Broadcaster]]),Table1[[CC]:[Pay TV vs. Free-to-Air]],3,FALSE)</f>
        <v>Pay TV</v>
      </c>
      <c r="O151" s="133">
        <f>VLOOKUP(CONCATENATE(Historic_BCast_BASE[[#This Row],[Broadcast Market]],Historic_BCast_BASE[[#This Row],[Broadcaster]]),Table1[[CC]:[Pay TV vs. Free-to-Air]],2,FALSE)</f>
        <v>41686315</v>
      </c>
      <c r="P151" s="73">
        <f>Historic_BCast_BASE[[#This Row],[Rolex EXP]]*86400</f>
        <v>30134.236117995046</v>
      </c>
      <c r="Q151" s="19" t="str">
        <f>IF(Historic_BCast_BASE[[#This Row],[Dashboard Rated?]]="No","N","Y")</f>
        <v>N</v>
      </c>
      <c r="S151" s="22"/>
    </row>
    <row r="152" spans="1:19" x14ac:dyDescent="0.25">
      <c r="A152" s="72" t="s">
        <v>1869</v>
      </c>
      <c r="B152" t="s">
        <v>8</v>
      </c>
      <c r="C152" t="s">
        <v>882</v>
      </c>
      <c r="D152" t="s">
        <v>1642</v>
      </c>
      <c r="E152" s="102">
        <v>0.47209490740740745</v>
      </c>
      <c r="F152" s="101">
        <v>76887</v>
      </c>
      <c r="G152" s="102">
        <v>4.1951547729316141E-2</v>
      </c>
      <c r="H152" s="101">
        <v>8359.6049572443062</v>
      </c>
      <c r="I152" s="101">
        <v>2414.9084031717539</v>
      </c>
      <c r="J152" s="101" t="s">
        <v>1867</v>
      </c>
      <c r="K152" t="str">
        <f>VLOOKUP(Historic_BCast_BASE[[#This Row],[Broadcast Market]],Continent_Look_Up[],2,FALSE)</f>
        <v>Asia Pacific</v>
      </c>
      <c r="L152" s="132" t="str">
        <f>IF(OR(Historic_BCast_BASE[[#This Row],[Broadcast Continent]]="Digital",Historic_BCast_BASE[[#This Row],[Programme Type]]="Digital"),"Y","N")</f>
        <v>N</v>
      </c>
      <c r="M152" s="132" t="str">
        <f>IF(ISNUMBER(SEARCH("Pan ",Historic_BCast_BASE[[#This Row],[Broadcast Market]]))=TRUE,"Y","N")</f>
        <v>Y</v>
      </c>
      <c r="N152" s="132" t="str">
        <f>VLOOKUP(CONCATENATE(Historic_BCast_BASE[[#This Row],[Broadcast Market]],Historic_BCast_BASE[[#This Row],[Broadcaster]]),Table1[[CC]:[Pay TV vs. Free-to-Air]],3,FALSE)</f>
        <v>Pay TV</v>
      </c>
      <c r="O152" s="133">
        <f>VLOOKUP(CONCATENATE(Historic_BCast_BASE[[#This Row],[Broadcast Market]],Historic_BCast_BASE[[#This Row],[Broadcaster]]),Table1[[CC]:[Pay TV vs. Free-to-Air]],2,FALSE)</f>
        <v>41686315</v>
      </c>
      <c r="P152" s="73">
        <f>Historic_BCast_BASE[[#This Row],[Rolex EXP]]*86400</f>
        <v>3624.6137238129145</v>
      </c>
      <c r="Q152" s="19" t="str">
        <f>IF(Historic_BCast_BASE[[#This Row],[Dashboard Rated?]]="No","N","Y")</f>
        <v>N</v>
      </c>
      <c r="S152" s="22"/>
    </row>
    <row r="153" spans="1:19" x14ac:dyDescent="0.25">
      <c r="A153" s="72" t="s">
        <v>1869</v>
      </c>
      <c r="B153" t="s">
        <v>8</v>
      </c>
      <c r="C153" t="s">
        <v>882</v>
      </c>
      <c r="D153" t="s">
        <v>1643</v>
      </c>
      <c r="E153" s="102">
        <v>3.6505324074074075</v>
      </c>
      <c r="F153" s="101">
        <v>137368</v>
      </c>
      <c r="G153" s="102">
        <v>0.34877588099531315</v>
      </c>
      <c r="H153" s="101">
        <v>111095.16847718813</v>
      </c>
      <c r="I153" s="101">
        <v>31915.558693180403</v>
      </c>
      <c r="J153" s="101" t="s">
        <v>1867</v>
      </c>
      <c r="K153" t="str">
        <f>VLOOKUP(Historic_BCast_BASE[[#This Row],[Broadcast Market]],Continent_Look_Up[],2,FALSE)</f>
        <v>Asia Pacific</v>
      </c>
      <c r="L153" s="132" t="str">
        <f>IF(OR(Historic_BCast_BASE[[#This Row],[Broadcast Continent]]="Digital",Historic_BCast_BASE[[#This Row],[Programme Type]]="Digital"),"Y","N")</f>
        <v>N</v>
      </c>
      <c r="M153" s="132" t="str">
        <f>IF(ISNUMBER(SEARCH("Pan ",Historic_BCast_BASE[[#This Row],[Broadcast Market]]))=TRUE,"Y","N")</f>
        <v>Y</v>
      </c>
      <c r="N153" s="132" t="str">
        <f>VLOOKUP(CONCATENATE(Historic_BCast_BASE[[#This Row],[Broadcast Market]],Historic_BCast_BASE[[#This Row],[Broadcaster]]),Table1[[CC]:[Pay TV vs. Free-to-Air]],3,FALSE)</f>
        <v>Pay TV</v>
      </c>
      <c r="O153" s="133">
        <f>VLOOKUP(CONCATENATE(Historic_BCast_BASE[[#This Row],[Broadcast Market]],Historic_BCast_BASE[[#This Row],[Broadcaster]]),Table1[[CC]:[Pay TV vs. Free-to-Air]],2,FALSE)</f>
        <v>41686315</v>
      </c>
      <c r="P153" s="73">
        <f>Historic_BCast_BASE[[#This Row],[Rolex EXP]]*86400</f>
        <v>30134.236117995057</v>
      </c>
      <c r="Q153" s="19" t="str">
        <f>IF(Historic_BCast_BASE[[#This Row],[Dashboard Rated?]]="No","N","Y")</f>
        <v>N</v>
      </c>
      <c r="S153" s="22"/>
    </row>
    <row r="154" spans="1:19" x14ac:dyDescent="0.25">
      <c r="A154" s="72" t="s">
        <v>1869</v>
      </c>
      <c r="B154" t="s">
        <v>8</v>
      </c>
      <c r="C154" t="s">
        <v>197</v>
      </c>
      <c r="D154" t="s">
        <v>1643</v>
      </c>
      <c r="E154" s="102">
        <v>0.50831018518518523</v>
      </c>
      <c r="F154" s="101">
        <v>32200.000000000004</v>
      </c>
      <c r="G154" s="102">
        <v>4.856451412323215E-2</v>
      </c>
      <c r="H154" s="101">
        <v>25382.600364134221</v>
      </c>
      <c r="I154" s="101">
        <v>7291.9451206684207</v>
      </c>
      <c r="J154" s="101" t="s">
        <v>1867</v>
      </c>
      <c r="K154" t="str">
        <f>VLOOKUP(Historic_BCast_BASE[[#This Row],[Broadcast Market]],Continent_Look_Up[],2,FALSE)</f>
        <v>Asia Pacific</v>
      </c>
      <c r="L154" s="132" t="str">
        <f>IF(OR(Historic_BCast_BASE[[#This Row],[Broadcast Continent]]="Digital",Historic_BCast_BASE[[#This Row],[Programme Type]]="Digital"),"Y","N")</f>
        <v>N</v>
      </c>
      <c r="M154" s="132" t="str">
        <f>IF(ISNUMBER(SEARCH("Pan ",Historic_BCast_BASE[[#This Row],[Broadcast Market]]))=TRUE,"Y","N")</f>
        <v>Y</v>
      </c>
      <c r="N154" s="132" t="str">
        <f>VLOOKUP(CONCATENATE(Historic_BCast_BASE[[#This Row],[Broadcast Market]],Historic_BCast_BASE[[#This Row],[Broadcaster]]),Table1[[CC]:[Pay TV vs. Free-to-Air]],3,FALSE)</f>
        <v>Pay TV</v>
      </c>
      <c r="O154" s="133">
        <f>VLOOKUP(CONCATENATE(Historic_BCast_BASE[[#This Row],[Broadcast Market]],Historic_BCast_BASE[[#This Row],[Broadcaster]]),Table1[[CC]:[Pay TV vs. Free-to-Air]],2,FALSE)</f>
        <v>41686315</v>
      </c>
      <c r="P154" s="73">
        <f>Historic_BCast_BASE[[#This Row],[Rolex EXP]]*86400</f>
        <v>4195.9740202472576</v>
      </c>
      <c r="Q154" s="19" t="str">
        <f>IF(Historic_BCast_BASE[[#This Row],[Dashboard Rated?]]="No","N","Y")</f>
        <v>N</v>
      </c>
      <c r="S154" s="22"/>
    </row>
    <row r="155" spans="1:19" x14ac:dyDescent="0.25">
      <c r="A155" s="72" t="s">
        <v>1869</v>
      </c>
      <c r="B155" t="s">
        <v>8</v>
      </c>
      <c r="C155" t="s">
        <v>1076</v>
      </c>
      <c r="D155" t="s">
        <v>1643</v>
      </c>
      <c r="E155" s="102">
        <v>0.50831018518518523</v>
      </c>
      <c r="F155" s="101">
        <v>19624</v>
      </c>
      <c r="G155" s="102">
        <v>4.856451412323215E-2</v>
      </c>
      <c r="H155" s="101">
        <v>15469.197190862407</v>
      </c>
      <c r="I155" s="101">
        <v>4444.0102809936934</v>
      </c>
      <c r="J155" s="101" t="s">
        <v>1867</v>
      </c>
      <c r="K155" t="str">
        <f>VLOOKUP(Historic_BCast_BASE[[#This Row],[Broadcast Market]],Continent_Look_Up[],2,FALSE)</f>
        <v>Asia Pacific</v>
      </c>
      <c r="L155" s="132" t="str">
        <f>IF(OR(Historic_BCast_BASE[[#This Row],[Broadcast Continent]]="Digital",Historic_BCast_BASE[[#This Row],[Programme Type]]="Digital"),"Y","N")</f>
        <v>N</v>
      </c>
      <c r="M155" s="132" t="str">
        <f>IF(ISNUMBER(SEARCH("Pan ",Historic_BCast_BASE[[#This Row],[Broadcast Market]]))=TRUE,"Y","N")</f>
        <v>Y</v>
      </c>
      <c r="N155" s="132" t="str">
        <f>VLOOKUP(CONCATENATE(Historic_BCast_BASE[[#This Row],[Broadcast Market]],Historic_BCast_BASE[[#This Row],[Broadcaster]]),Table1[[CC]:[Pay TV vs. Free-to-Air]],3,FALSE)</f>
        <v>Pay TV</v>
      </c>
      <c r="O155" s="133">
        <f>VLOOKUP(CONCATENATE(Historic_BCast_BASE[[#This Row],[Broadcast Market]],Historic_BCast_BASE[[#This Row],[Broadcaster]]),Table1[[CC]:[Pay TV vs. Free-to-Air]],2,FALSE)</f>
        <v>41686315</v>
      </c>
      <c r="P155" s="73">
        <f>Historic_BCast_BASE[[#This Row],[Rolex EXP]]*86400</f>
        <v>4195.9740202472576</v>
      </c>
      <c r="Q155" s="19" t="str">
        <f>IF(Historic_BCast_BASE[[#This Row],[Dashboard Rated?]]="No","N","Y")</f>
        <v>N</v>
      </c>
      <c r="S155" s="22"/>
    </row>
    <row r="156" spans="1:19" x14ac:dyDescent="0.25">
      <c r="A156" s="72" t="s">
        <v>1869</v>
      </c>
      <c r="B156" t="s">
        <v>8</v>
      </c>
      <c r="C156" t="s">
        <v>199</v>
      </c>
      <c r="D156" t="s">
        <v>1642</v>
      </c>
      <c r="E156" s="102">
        <v>3.0678009259259258</v>
      </c>
      <c r="F156" s="101">
        <v>5063248</v>
      </c>
      <c r="G156" s="102">
        <v>0.2799164314269294</v>
      </c>
      <c r="H156" s="101">
        <v>525557.18300520896</v>
      </c>
      <c r="I156" s="101">
        <v>153270.09292771269</v>
      </c>
      <c r="J156" s="101" t="s">
        <v>1867</v>
      </c>
      <c r="K156" t="str">
        <f>VLOOKUP(Historic_BCast_BASE[[#This Row],[Broadcast Market]],Continent_Look_Up[],2,FALSE)</f>
        <v>Asia Pacific</v>
      </c>
      <c r="L156" s="132" t="str">
        <f>IF(OR(Historic_BCast_BASE[[#This Row],[Broadcast Continent]]="Digital",Historic_BCast_BASE[[#This Row],[Programme Type]]="Digital"),"Y","N")</f>
        <v>N</v>
      </c>
      <c r="M156" s="132" t="str">
        <f>IF(ISNUMBER(SEARCH("Pan ",Historic_BCast_BASE[[#This Row],[Broadcast Market]]))=TRUE,"Y","N")</f>
        <v>Y</v>
      </c>
      <c r="N156" s="132" t="str">
        <f>VLOOKUP(CONCATENATE(Historic_BCast_BASE[[#This Row],[Broadcast Market]],Historic_BCast_BASE[[#This Row],[Broadcaster]]),Table1[[CC]:[Pay TV vs. Free-to-Air]],3,FALSE)</f>
        <v>Pay TV</v>
      </c>
      <c r="O156" s="133">
        <f>VLOOKUP(CONCATENATE(Historic_BCast_BASE[[#This Row],[Broadcast Market]],Historic_BCast_BASE[[#This Row],[Broadcaster]]),Table1[[CC]:[Pay TV vs. Free-to-Air]],2,FALSE)</f>
        <v>41686315</v>
      </c>
      <c r="P156" s="73">
        <f>Historic_BCast_BASE[[#This Row],[Rolex EXP]]*86400</f>
        <v>24184.7796752867</v>
      </c>
      <c r="Q156" s="19" t="str">
        <f>IF(Historic_BCast_BASE[[#This Row],[Dashboard Rated?]]="No","N","Y")</f>
        <v>N</v>
      </c>
      <c r="S156" s="22"/>
    </row>
    <row r="157" spans="1:19" x14ac:dyDescent="0.25">
      <c r="A157" s="72" t="s">
        <v>1869</v>
      </c>
      <c r="B157" t="s">
        <v>8</v>
      </c>
      <c r="C157" t="s">
        <v>199</v>
      </c>
      <c r="D157" t="s">
        <v>1643</v>
      </c>
      <c r="E157" s="102">
        <v>6.1754050925925936</v>
      </c>
      <c r="F157" s="101">
        <v>2524950</v>
      </c>
      <c r="G157" s="102">
        <v>0.58235875742639709</v>
      </c>
      <c r="H157" s="101">
        <v>1909389.6868730534</v>
      </c>
      <c r="I157" s="101">
        <v>548895.49610343552</v>
      </c>
      <c r="J157" s="101" t="s">
        <v>1867</v>
      </c>
      <c r="K157" t="str">
        <f>VLOOKUP(Historic_BCast_BASE[[#This Row],[Broadcast Market]],Continent_Look_Up[],2,FALSE)</f>
        <v>Asia Pacific</v>
      </c>
      <c r="L157" s="132" t="str">
        <f>IF(OR(Historic_BCast_BASE[[#This Row],[Broadcast Continent]]="Digital",Historic_BCast_BASE[[#This Row],[Programme Type]]="Digital"),"Y","N")</f>
        <v>N</v>
      </c>
      <c r="M157" s="132" t="str">
        <f>IF(ISNUMBER(SEARCH("Pan ",Historic_BCast_BASE[[#This Row],[Broadcast Market]]))=TRUE,"Y","N")</f>
        <v>Y</v>
      </c>
      <c r="N157" s="132" t="str">
        <f>VLOOKUP(CONCATENATE(Historic_BCast_BASE[[#This Row],[Broadcast Market]],Historic_BCast_BASE[[#This Row],[Broadcaster]]),Table1[[CC]:[Pay TV vs. Free-to-Air]],3,FALSE)</f>
        <v>Pay TV</v>
      </c>
      <c r="O157" s="133">
        <f>VLOOKUP(CONCATENATE(Historic_BCast_BASE[[#This Row],[Broadcast Market]],Historic_BCast_BASE[[#This Row],[Broadcaster]]),Table1[[CC]:[Pay TV vs. Free-to-Air]],2,FALSE)</f>
        <v>41686315</v>
      </c>
      <c r="P157" s="73">
        <f>Historic_BCast_BASE[[#This Row],[Rolex EXP]]*86400</f>
        <v>50315.796641640707</v>
      </c>
      <c r="Q157" s="19" t="str">
        <f>IF(Historic_BCast_BASE[[#This Row],[Dashboard Rated?]]="No","N","Y")</f>
        <v>N</v>
      </c>
      <c r="S157" s="22"/>
    </row>
    <row r="158" spans="1:19" x14ac:dyDescent="0.25">
      <c r="A158" s="72" t="s">
        <v>1869</v>
      </c>
      <c r="B158" t="s">
        <v>19</v>
      </c>
      <c r="C158" t="s">
        <v>1646</v>
      </c>
      <c r="D158" t="s">
        <v>1642</v>
      </c>
      <c r="E158" s="102">
        <v>0.96915509259259247</v>
      </c>
      <c r="F158" s="101">
        <v>70360</v>
      </c>
      <c r="G158" s="102">
        <v>9.2594143406094176E-2</v>
      </c>
      <c r="H158" s="101">
        <v>5900.7616485372191</v>
      </c>
      <c r="I158" s="101">
        <v>1695.1781730006364</v>
      </c>
      <c r="J158" s="101" t="s">
        <v>1867</v>
      </c>
      <c r="K158" t="str">
        <f>VLOOKUP(Historic_BCast_BASE[[#This Row],[Broadcast Market]],Continent_Look_Up[],2,FALSE)</f>
        <v>Asia Pacific</v>
      </c>
      <c r="L158" s="132" t="str">
        <f>IF(OR(Historic_BCast_BASE[[#This Row],[Broadcast Continent]]="Digital",Historic_BCast_BASE[[#This Row],[Programme Type]]="Digital"),"Y","N")</f>
        <v>N</v>
      </c>
      <c r="M158" s="132" t="str">
        <f>IF(ISNUMBER(SEARCH("Pan ",Historic_BCast_BASE[[#This Row],[Broadcast Market]]))=TRUE,"Y","N")</f>
        <v>Y</v>
      </c>
      <c r="N158" s="132" t="str">
        <f>VLOOKUP(CONCATENATE(Historic_BCast_BASE[[#This Row],[Broadcast Market]],Historic_BCast_BASE[[#This Row],[Broadcaster]]),Table1[[CC]:[Pay TV vs. Free-to-Air]],3,FALSE)</f>
        <v>Pay TV</v>
      </c>
      <c r="O158" s="133">
        <f>VLOOKUP(CONCATENATE(Historic_BCast_BASE[[#This Row],[Broadcast Market]],Historic_BCast_BASE[[#This Row],[Broadcaster]]),Table1[[CC]:[Pay TV vs. Free-to-Air]],2,FALSE)</f>
        <v>4400000</v>
      </c>
      <c r="P158" s="73">
        <f>Historic_BCast_BASE[[#This Row],[Rolex EXP]]*86400</f>
        <v>8000.1339902865366</v>
      </c>
      <c r="Q158" s="19" t="str">
        <f>IF(Historic_BCast_BASE[[#This Row],[Dashboard Rated?]]="No","N","Y")</f>
        <v>N</v>
      </c>
      <c r="S158" s="22"/>
    </row>
    <row r="159" spans="1:19" x14ac:dyDescent="0.25">
      <c r="A159" s="72" t="s">
        <v>1869</v>
      </c>
      <c r="B159" t="s">
        <v>19</v>
      </c>
      <c r="C159" t="s">
        <v>1646</v>
      </c>
      <c r="D159" t="s">
        <v>1643</v>
      </c>
      <c r="E159" s="102">
        <v>5.0412731481481483</v>
      </c>
      <c r="F159" s="101">
        <v>63440</v>
      </c>
      <c r="G159" s="102">
        <v>0.47818327860707871</v>
      </c>
      <c r="H159" s="101">
        <v>49326.875580449174</v>
      </c>
      <c r="I159" s="101">
        <v>14414.822590390373</v>
      </c>
      <c r="J159" s="101" t="s">
        <v>1867</v>
      </c>
      <c r="K159" t="str">
        <f>VLOOKUP(Historic_BCast_BASE[[#This Row],[Broadcast Market]],Continent_Look_Up[],2,FALSE)</f>
        <v>Asia Pacific</v>
      </c>
      <c r="L159" s="132" t="str">
        <f>IF(OR(Historic_BCast_BASE[[#This Row],[Broadcast Continent]]="Digital",Historic_BCast_BASE[[#This Row],[Programme Type]]="Digital"),"Y","N")</f>
        <v>N</v>
      </c>
      <c r="M159" s="132" t="str">
        <f>IF(ISNUMBER(SEARCH("Pan ",Historic_BCast_BASE[[#This Row],[Broadcast Market]]))=TRUE,"Y","N")</f>
        <v>Y</v>
      </c>
      <c r="N159" s="132" t="str">
        <f>VLOOKUP(CONCATENATE(Historic_BCast_BASE[[#This Row],[Broadcast Market]],Historic_BCast_BASE[[#This Row],[Broadcaster]]),Table1[[CC]:[Pay TV vs. Free-to-Air]],3,FALSE)</f>
        <v>Pay TV</v>
      </c>
      <c r="O159" s="133">
        <f>VLOOKUP(CONCATENATE(Historic_BCast_BASE[[#This Row],[Broadcast Market]],Historic_BCast_BASE[[#This Row],[Broadcaster]]),Table1[[CC]:[Pay TV vs. Free-to-Air]],2,FALSE)</f>
        <v>4400000</v>
      </c>
      <c r="P159" s="73">
        <f>Historic_BCast_BASE[[#This Row],[Rolex EXP]]*86400</f>
        <v>41315.035271651599</v>
      </c>
      <c r="Q159" s="19" t="str">
        <f>IF(Historic_BCast_BASE[[#This Row],[Dashboard Rated?]]="No","N","Y")</f>
        <v>N</v>
      </c>
      <c r="S159" s="22"/>
    </row>
    <row r="160" spans="1:19" x14ac:dyDescent="0.25">
      <c r="A160" s="72" t="s">
        <v>1869</v>
      </c>
      <c r="B160" t="s">
        <v>19</v>
      </c>
      <c r="C160" t="s">
        <v>868</v>
      </c>
      <c r="D160" t="s">
        <v>1642</v>
      </c>
      <c r="E160" s="102">
        <v>0.97233796296296304</v>
      </c>
      <c r="F160" s="101">
        <v>569106</v>
      </c>
      <c r="G160" s="102">
        <v>9.2898238341744446E-2</v>
      </c>
      <c r="H160" s="101">
        <v>47872.167676832491</v>
      </c>
      <c r="I160" s="101">
        <v>13752.776094609802</v>
      </c>
      <c r="J160" s="101" t="s">
        <v>1867</v>
      </c>
      <c r="K160" t="str">
        <f>VLOOKUP(Historic_BCast_BASE[[#This Row],[Broadcast Market]],Continent_Look_Up[],2,FALSE)</f>
        <v>Asia Pacific</v>
      </c>
      <c r="L160" s="132" t="str">
        <f>IF(OR(Historic_BCast_BASE[[#This Row],[Broadcast Continent]]="Digital",Historic_BCast_BASE[[#This Row],[Programme Type]]="Digital"),"Y","N")</f>
        <v>N</v>
      </c>
      <c r="M160" s="132" t="str">
        <f>IF(ISNUMBER(SEARCH("Pan ",Historic_BCast_BASE[[#This Row],[Broadcast Market]]))=TRUE,"Y","N")</f>
        <v>Y</v>
      </c>
      <c r="N160" s="132" t="str">
        <f>VLOOKUP(CONCATENATE(Historic_BCast_BASE[[#This Row],[Broadcast Market]],Historic_BCast_BASE[[#This Row],[Broadcaster]]),Table1[[CC]:[Pay TV vs. Free-to-Air]],3,FALSE)</f>
        <v>Pay TV</v>
      </c>
      <c r="O160" s="133">
        <f>VLOOKUP(CONCATENATE(Historic_BCast_BASE[[#This Row],[Broadcast Market]],Historic_BCast_BASE[[#This Row],[Broadcaster]]),Table1[[CC]:[Pay TV vs. Free-to-Air]],2,FALSE)</f>
        <v>35200000</v>
      </c>
      <c r="P160" s="73">
        <f>Historic_BCast_BASE[[#This Row],[Rolex EXP]]*86400</f>
        <v>8026.4077927267199</v>
      </c>
      <c r="Q160" s="19" t="str">
        <f>IF(Historic_BCast_BASE[[#This Row],[Dashboard Rated?]]="No","N","Y")</f>
        <v>N</v>
      </c>
      <c r="S160" s="22"/>
    </row>
    <row r="161" spans="1:19" x14ac:dyDescent="0.25">
      <c r="A161" s="72" t="s">
        <v>1869</v>
      </c>
      <c r="B161" t="s">
        <v>19</v>
      </c>
      <c r="C161" t="s">
        <v>868</v>
      </c>
      <c r="D161" t="s">
        <v>1643</v>
      </c>
      <c r="E161" s="102">
        <v>5.0405671296296299</v>
      </c>
      <c r="F161" s="101">
        <v>513032</v>
      </c>
      <c r="G161" s="102">
        <v>0.47803775701874224</v>
      </c>
      <c r="H161" s="101">
        <v>398771.69264233235</v>
      </c>
      <c r="I161" s="101">
        <v>116534.03811992418</v>
      </c>
      <c r="J161" s="101" t="s">
        <v>1867</v>
      </c>
      <c r="K161" t="str">
        <f>VLOOKUP(Historic_BCast_BASE[[#This Row],[Broadcast Market]],Continent_Look_Up[],2,FALSE)</f>
        <v>Asia Pacific</v>
      </c>
      <c r="L161" s="132" t="str">
        <f>IF(OR(Historic_BCast_BASE[[#This Row],[Broadcast Continent]]="Digital",Historic_BCast_BASE[[#This Row],[Programme Type]]="Digital"),"Y","N")</f>
        <v>N</v>
      </c>
      <c r="M161" s="132" t="str">
        <f>IF(ISNUMBER(SEARCH("Pan ",Historic_BCast_BASE[[#This Row],[Broadcast Market]]))=TRUE,"Y","N")</f>
        <v>Y</v>
      </c>
      <c r="N161" s="132" t="str">
        <f>VLOOKUP(CONCATENATE(Historic_BCast_BASE[[#This Row],[Broadcast Market]],Historic_BCast_BASE[[#This Row],[Broadcaster]]),Table1[[CC]:[Pay TV vs. Free-to-Air]],3,FALSE)</f>
        <v>Pay TV</v>
      </c>
      <c r="O161" s="133">
        <f>VLOOKUP(CONCATENATE(Historic_BCast_BASE[[#This Row],[Broadcast Market]],Historic_BCast_BASE[[#This Row],[Broadcaster]]),Table1[[CC]:[Pay TV vs. Free-to-Air]],2,FALSE)</f>
        <v>35200000</v>
      </c>
      <c r="P161" s="73">
        <f>Historic_BCast_BASE[[#This Row],[Rolex EXP]]*86400</f>
        <v>41302.462206419332</v>
      </c>
      <c r="Q161" s="19" t="str">
        <f>IF(Historic_BCast_BASE[[#This Row],[Dashboard Rated?]]="No","N","Y")</f>
        <v>N</v>
      </c>
      <c r="S161" s="22"/>
    </row>
    <row r="162" spans="1:19" x14ac:dyDescent="0.25">
      <c r="A162" s="72" t="s">
        <v>1869</v>
      </c>
      <c r="B162" t="s">
        <v>19</v>
      </c>
      <c r="C162" t="s">
        <v>1645</v>
      </c>
      <c r="D162" t="s">
        <v>1642</v>
      </c>
      <c r="E162" s="102">
        <v>2.6621180555555557</v>
      </c>
      <c r="F162" s="101">
        <v>126060</v>
      </c>
      <c r="G162" s="102">
        <v>0.25434168677859309</v>
      </c>
      <c r="H162" s="101">
        <v>11418.456632179299</v>
      </c>
      <c r="I162" s="101">
        <v>3280.3084762834069</v>
      </c>
      <c r="J162" s="101" t="s">
        <v>1867</v>
      </c>
      <c r="K162" t="str">
        <f>VLOOKUP(Historic_BCast_BASE[[#This Row],[Broadcast Market]],Continent_Look_Up[],2,FALSE)</f>
        <v>Asia Pacific</v>
      </c>
      <c r="L162" s="132" t="str">
        <f>IF(OR(Historic_BCast_BASE[[#This Row],[Broadcast Continent]]="Digital",Historic_BCast_BASE[[#This Row],[Programme Type]]="Digital"),"Y","N")</f>
        <v>N</v>
      </c>
      <c r="M162" s="132" t="str">
        <f>IF(ISNUMBER(SEARCH("Pan ",Historic_BCast_BASE[[#This Row],[Broadcast Market]]))=TRUE,"Y","N")</f>
        <v>Y</v>
      </c>
      <c r="N162" s="132" t="str">
        <f>VLOOKUP(CONCATENATE(Historic_BCast_BASE[[#This Row],[Broadcast Market]],Historic_BCast_BASE[[#This Row],[Broadcaster]]),Table1[[CC]:[Pay TV vs. Free-to-Air]],3,FALSE)</f>
        <v>Pay TV</v>
      </c>
      <c r="O162" s="133">
        <f>VLOOKUP(CONCATENATE(Historic_BCast_BASE[[#This Row],[Broadcast Market]],Historic_BCast_BASE[[#This Row],[Broadcaster]]),Table1[[CC]:[Pay TV vs. Free-to-Air]],2,FALSE)</f>
        <v>4400000</v>
      </c>
      <c r="P162" s="73">
        <f>Historic_BCast_BASE[[#This Row],[Rolex EXP]]*86400</f>
        <v>21975.121737670444</v>
      </c>
      <c r="Q162" s="19" t="str">
        <f>IF(Historic_BCast_BASE[[#This Row],[Dashboard Rated?]]="No","N","Y")</f>
        <v>N</v>
      </c>
      <c r="S162" s="22"/>
    </row>
    <row r="163" spans="1:19" x14ac:dyDescent="0.25">
      <c r="A163" s="72" t="s">
        <v>1869</v>
      </c>
      <c r="B163" t="s">
        <v>19</v>
      </c>
      <c r="C163" t="s">
        <v>1645</v>
      </c>
      <c r="D163" t="s">
        <v>1643</v>
      </c>
      <c r="E163" s="102">
        <v>5.1912499999999993</v>
      </c>
      <c r="F163" s="101">
        <v>56658</v>
      </c>
      <c r="G163" s="102">
        <v>0.47988729266903629</v>
      </c>
      <c r="H163" s="101">
        <v>36989.546236109651</v>
      </c>
      <c r="I163" s="101">
        <v>10887.912211424413</v>
      </c>
      <c r="J163" s="101" t="s">
        <v>1867</v>
      </c>
      <c r="K163" t="str">
        <f>VLOOKUP(Historic_BCast_BASE[[#This Row],[Broadcast Market]],Continent_Look_Up[],2,FALSE)</f>
        <v>Asia Pacific</v>
      </c>
      <c r="L163" s="132" t="str">
        <f>IF(OR(Historic_BCast_BASE[[#This Row],[Broadcast Continent]]="Digital",Historic_BCast_BASE[[#This Row],[Programme Type]]="Digital"),"Y","N")</f>
        <v>N</v>
      </c>
      <c r="M163" s="132" t="str">
        <f>IF(ISNUMBER(SEARCH("Pan ",Historic_BCast_BASE[[#This Row],[Broadcast Market]]))=TRUE,"Y","N")</f>
        <v>Y</v>
      </c>
      <c r="N163" s="132" t="str">
        <f>VLOOKUP(CONCATENATE(Historic_BCast_BASE[[#This Row],[Broadcast Market]],Historic_BCast_BASE[[#This Row],[Broadcaster]]),Table1[[CC]:[Pay TV vs. Free-to-Air]],3,FALSE)</f>
        <v>Pay TV</v>
      </c>
      <c r="O163" s="133">
        <f>VLOOKUP(CONCATENATE(Historic_BCast_BASE[[#This Row],[Broadcast Market]],Historic_BCast_BASE[[#This Row],[Broadcaster]]),Table1[[CC]:[Pay TV vs. Free-to-Air]],2,FALSE)</f>
        <v>4400000</v>
      </c>
      <c r="P163" s="73">
        <f>Historic_BCast_BASE[[#This Row],[Rolex EXP]]*86400</f>
        <v>41462.262086604736</v>
      </c>
      <c r="Q163" s="19" t="str">
        <f>IF(Historic_BCast_BASE[[#This Row],[Dashboard Rated?]]="No","N","Y")</f>
        <v>N</v>
      </c>
      <c r="S163" s="22"/>
    </row>
    <row r="164" spans="1:19" x14ac:dyDescent="0.25">
      <c r="A164" s="72" t="s">
        <v>1869</v>
      </c>
      <c r="B164" t="s">
        <v>19</v>
      </c>
      <c r="C164" t="s">
        <v>871</v>
      </c>
      <c r="D164" t="s">
        <v>1642</v>
      </c>
      <c r="E164" s="102">
        <v>2.6579976851851854</v>
      </c>
      <c r="F164" s="101">
        <v>791966</v>
      </c>
      <c r="G164" s="102">
        <v>0.25394802206189682</v>
      </c>
      <c r="H164" s="101">
        <v>72118.118803163656</v>
      </c>
      <c r="I164" s="101">
        <v>20718.183203230354</v>
      </c>
      <c r="J164" s="101" t="s">
        <v>1867</v>
      </c>
      <c r="K164" t="str">
        <f>VLOOKUP(Historic_BCast_BASE[[#This Row],[Broadcast Market]],Continent_Look_Up[],2,FALSE)</f>
        <v>Asia Pacific</v>
      </c>
      <c r="L164" s="132" t="str">
        <f>IF(OR(Historic_BCast_BASE[[#This Row],[Broadcast Continent]]="Digital",Historic_BCast_BASE[[#This Row],[Programme Type]]="Digital"),"Y","N")</f>
        <v>N</v>
      </c>
      <c r="M164" s="132" t="str">
        <f>IF(ISNUMBER(SEARCH("Pan ",Historic_BCast_BASE[[#This Row],[Broadcast Market]]))=TRUE,"Y","N")</f>
        <v>Y</v>
      </c>
      <c r="N164" s="132" t="str">
        <f>VLOOKUP(CONCATENATE(Historic_BCast_BASE[[#This Row],[Broadcast Market]],Historic_BCast_BASE[[#This Row],[Broadcaster]]),Table1[[CC]:[Pay TV vs. Free-to-Air]],3,FALSE)</f>
        <v>Pay TV</v>
      </c>
      <c r="O164" s="133">
        <f>VLOOKUP(CONCATENATE(Historic_BCast_BASE[[#This Row],[Broadcast Market]],Historic_BCast_BASE[[#This Row],[Broadcaster]]),Table1[[CC]:[Pay TV vs. Free-to-Air]],2,FALSE)</f>
        <v>25520000</v>
      </c>
      <c r="P164" s="73">
        <f>Historic_BCast_BASE[[#This Row],[Rolex EXP]]*86400</f>
        <v>21941.109106147884</v>
      </c>
      <c r="Q164" s="19" t="str">
        <f>IF(Historic_BCast_BASE[[#This Row],[Dashboard Rated?]]="No","N","Y")</f>
        <v>N</v>
      </c>
      <c r="S164" s="22"/>
    </row>
    <row r="165" spans="1:19" x14ac:dyDescent="0.25">
      <c r="A165" s="72" t="s">
        <v>1869</v>
      </c>
      <c r="B165" t="s">
        <v>19</v>
      </c>
      <c r="C165" t="s">
        <v>871</v>
      </c>
      <c r="D165" t="s">
        <v>1643</v>
      </c>
      <c r="E165" s="102">
        <v>5.1934953703703703</v>
      </c>
      <c r="F165" s="101">
        <v>358448</v>
      </c>
      <c r="G165" s="102">
        <v>0.4801769481697522</v>
      </c>
      <c r="H165" s="101">
        <v>234154.38676366795</v>
      </c>
      <c r="I165" s="101">
        <v>68927.334402797089</v>
      </c>
      <c r="J165" s="101" t="s">
        <v>1867</v>
      </c>
      <c r="K165" t="str">
        <f>VLOOKUP(Historic_BCast_BASE[[#This Row],[Broadcast Market]],Continent_Look_Up[],2,FALSE)</f>
        <v>Asia Pacific</v>
      </c>
      <c r="L165" s="132" t="str">
        <f>IF(OR(Historic_BCast_BASE[[#This Row],[Broadcast Continent]]="Digital",Historic_BCast_BASE[[#This Row],[Programme Type]]="Digital"),"Y","N")</f>
        <v>N</v>
      </c>
      <c r="M165" s="132" t="str">
        <f>IF(ISNUMBER(SEARCH("Pan ",Historic_BCast_BASE[[#This Row],[Broadcast Market]]))=TRUE,"Y","N")</f>
        <v>Y</v>
      </c>
      <c r="N165" s="132" t="str">
        <f>VLOOKUP(CONCATENATE(Historic_BCast_BASE[[#This Row],[Broadcast Market]],Historic_BCast_BASE[[#This Row],[Broadcaster]]),Table1[[CC]:[Pay TV vs. Free-to-Air]],3,FALSE)</f>
        <v>Pay TV</v>
      </c>
      <c r="O165" s="133">
        <f>VLOOKUP(CONCATENATE(Historic_BCast_BASE[[#This Row],[Broadcast Market]],Historic_BCast_BASE[[#This Row],[Broadcaster]]),Table1[[CC]:[Pay TV vs. Free-to-Air]],2,FALSE)</f>
        <v>25520000</v>
      </c>
      <c r="P165" s="73">
        <f>Historic_BCast_BASE[[#This Row],[Rolex EXP]]*86400</f>
        <v>41487.288321866588</v>
      </c>
      <c r="Q165" s="19" t="str">
        <f>IF(Historic_BCast_BASE[[#This Row],[Dashboard Rated?]]="No","N","Y")</f>
        <v>N</v>
      </c>
      <c r="S165" s="22"/>
    </row>
    <row r="166" spans="1:19" x14ac:dyDescent="0.25">
      <c r="A166" s="72" t="s">
        <v>1869</v>
      </c>
      <c r="B166" t="s">
        <v>95</v>
      </c>
      <c r="C166" t="s">
        <v>1223</v>
      </c>
      <c r="D166" t="s">
        <v>1644</v>
      </c>
      <c r="E166" s="102">
        <v>0.4375</v>
      </c>
      <c r="F166" s="101">
        <v>1275</v>
      </c>
      <c r="G166" s="102">
        <v>4.1799231154837996E-2</v>
      </c>
      <c r="H166" s="101">
        <v>1982.0766175131394</v>
      </c>
      <c r="I166" s="101">
        <v>569.41344513654963</v>
      </c>
      <c r="J166" s="101" t="s">
        <v>1867</v>
      </c>
      <c r="K166" t="str">
        <f>VLOOKUP(Historic_BCast_BASE[[#This Row],[Broadcast Market]],Continent_Look_Up[],2,FALSE)</f>
        <v>Central &amp; South America</v>
      </c>
      <c r="L166" s="132" t="str">
        <f>IF(OR(Historic_BCast_BASE[[#This Row],[Broadcast Continent]]="Digital",Historic_BCast_BASE[[#This Row],[Programme Type]]="Digital"),"Y","N")</f>
        <v>N</v>
      </c>
      <c r="M166" s="132" t="str">
        <f>IF(ISNUMBER(SEARCH("Pan ",Historic_BCast_BASE[[#This Row],[Broadcast Market]]))=TRUE,"Y","N")</f>
        <v>Y</v>
      </c>
      <c r="N166" s="132" t="str">
        <f>VLOOKUP(CONCATENATE(Historic_BCast_BASE[[#This Row],[Broadcast Market]],Historic_BCast_BASE[[#This Row],[Broadcaster]]),Table1[[CC]:[Pay TV vs. Free-to-Air]],3,FALSE)</f>
        <v>Pay TV</v>
      </c>
      <c r="O166" s="133">
        <f>VLOOKUP(CONCATENATE(Historic_BCast_BASE[[#This Row],[Broadcast Market]],Historic_BCast_BASE[[#This Row],[Broadcaster]]),Table1[[CC]:[Pay TV vs. Free-to-Air]],2,FALSE)</f>
        <v>954000</v>
      </c>
      <c r="P166" s="73">
        <f>Historic_BCast_BASE[[#This Row],[Rolex EXP]]*86400</f>
        <v>3611.4535717780027</v>
      </c>
      <c r="Q166" s="19" t="str">
        <f>IF(Historic_BCast_BASE[[#This Row],[Dashboard Rated?]]="No","N","Y")</f>
        <v>N</v>
      </c>
      <c r="S166" s="22"/>
    </row>
    <row r="167" spans="1:19" x14ac:dyDescent="0.25">
      <c r="A167" s="72" t="s">
        <v>1869</v>
      </c>
      <c r="B167" t="s">
        <v>95</v>
      </c>
      <c r="C167" t="s">
        <v>1224</v>
      </c>
      <c r="D167" t="s">
        <v>1642</v>
      </c>
      <c r="E167" s="102">
        <v>2.0833333333333332E-2</v>
      </c>
      <c r="F167" s="101">
        <v>1160</v>
      </c>
      <c r="G167" s="102">
        <v>1.9904395788018095E-3</v>
      </c>
      <c r="H167" s="101">
        <v>85.871479974425569</v>
      </c>
      <c r="I167" s="101">
        <v>24.669265970435038</v>
      </c>
      <c r="J167" s="101" t="s">
        <v>1867</v>
      </c>
      <c r="K167" t="str">
        <f>VLOOKUP(Historic_BCast_BASE[[#This Row],[Broadcast Market]],Continent_Look_Up[],2,FALSE)</f>
        <v>Central &amp; South America</v>
      </c>
      <c r="L167" s="132" t="str">
        <f>IF(OR(Historic_BCast_BASE[[#This Row],[Broadcast Continent]]="Digital",Historic_BCast_BASE[[#This Row],[Programme Type]]="Digital"),"Y","N")</f>
        <v>N</v>
      </c>
      <c r="M167" s="132" t="str">
        <f>IF(ISNUMBER(SEARCH("Pan ",Historic_BCast_BASE[[#This Row],[Broadcast Market]]))=TRUE,"Y","N")</f>
        <v>Y</v>
      </c>
      <c r="N167" s="132" t="str">
        <f>VLOOKUP(CONCATENATE(Historic_BCast_BASE[[#This Row],[Broadcast Market]],Historic_BCast_BASE[[#This Row],[Broadcaster]]),Table1[[CC]:[Pay TV vs. Free-to-Air]],3,FALSE)</f>
        <v>Pay TV</v>
      </c>
      <c r="O167" s="133">
        <f>VLOOKUP(CONCATENATE(Historic_BCast_BASE[[#This Row],[Broadcast Market]],Historic_BCast_BASE[[#This Row],[Broadcaster]]),Table1[[CC]:[Pay TV vs. Free-to-Air]],2,FALSE)</f>
        <v>954000</v>
      </c>
      <c r="P167" s="73">
        <f>Historic_BCast_BASE[[#This Row],[Rolex EXP]]*86400</f>
        <v>171.97397960847636</v>
      </c>
      <c r="Q167" s="19" t="str">
        <f>IF(Historic_BCast_BASE[[#This Row],[Dashboard Rated?]]="No","N","Y")</f>
        <v>N</v>
      </c>
      <c r="S167" s="22"/>
    </row>
    <row r="168" spans="1:19" x14ac:dyDescent="0.25">
      <c r="A168" s="72" t="s">
        <v>1869</v>
      </c>
      <c r="B168" t="s">
        <v>95</v>
      </c>
      <c r="C168" t="s">
        <v>1224</v>
      </c>
      <c r="D168" t="s">
        <v>1643</v>
      </c>
      <c r="E168" s="102">
        <v>3.0208333333333335</v>
      </c>
      <c r="F168" s="101">
        <v>93616</v>
      </c>
      <c r="G168" s="102">
        <v>0.30059242506769956</v>
      </c>
      <c r="H168" s="101">
        <v>47766.375772560496</v>
      </c>
      <c r="I168" s="101">
        <v>13983.330349685582</v>
      </c>
      <c r="J168" s="101" t="s">
        <v>1867</v>
      </c>
      <c r="K168" t="str">
        <f>VLOOKUP(Historic_BCast_BASE[[#This Row],[Broadcast Market]],Continent_Look_Up[],2,FALSE)</f>
        <v>Central &amp; South America</v>
      </c>
      <c r="L168" s="132" t="str">
        <f>IF(OR(Historic_BCast_BASE[[#This Row],[Broadcast Continent]]="Digital",Historic_BCast_BASE[[#This Row],[Programme Type]]="Digital"),"Y","N")</f>
        <v>N</v>
      </c>
      <c r="M168" s="132" t="str">
        <f>IF(ISNUMBER(SEARCH("Pan ",Historic_BCast_BASE[[#This Row],[Broadcast Market]]))=TRUE,"Y","N")</f>
        <v>Y</v>
      </c>
      <c r="N168" s="132" t="str">
        <f>VLOOKUP(CONCATENATE(Historic_BCast_BASE[[#This Row],[Broadcast Market]],Historic_BCast_BASE[[#This Row],[Broadcaster]]),Table1[[CC]:[Pay TV vs. Free-to-Air]],3,FALSE)</f>
        <v>Pay TV</v>
      </c>
      <c r="O168" s="133">
        <f>VLOOKUP(CONCATENATE(Historic_BCast_BASE[[#This Row],[Broadcast Market]],Historic_BCast_BASE[[#This Row],[Broadcaster]]),Table1[[CC]:[Pay TV vs. Free-to-Air]],2,FALSE)</f>
        <v>954000</v>
      </c>
      <c r="P168" s="73">
        <f>Historic_BCast_BASE[[#This Row],[Rolex EXP]]*86400</f>
        <v>25971.185525849243</v>
      </c>
      <c r="Q168" s="19" t="str">
        <f>IF(Historic_BCast_BASE[[#This Row],[Dashboard Rated?]]="No","N","Y")</f>
        <v>N</v>
      </c>
      <c r="S168" s="22"/>
    </row>
    <row r="169" spans="1:19" x14ac:dyDescent="0.25">
      <c r="A169" s="72" t="s">
        <v>1869</v>
      </c>
      <c r="B169" t="s">
        <v>11</v>
      </c>
      <c r="C169" t="s">
        <v>554</v>
      </c>
      <c r="D169" t="s">
        <v>1642</v>
      </c>
      <c r="E169" s="102">
        <v>8.3333333333333329E-2</v>
      </c>
      <c r="F169" s="101">
        <v>56782</v>
      </c>
      <c r="G169" s="102">
        <v>7.9617583152072381E-3</v>
      </c>
      <c r="H169" s="101">
        <v>8406.8178894962457</v>
      </c>
      <c r="I169" s="101">
        <v>2415.1211385055849</v>
      </c>
      <c r="J169" s="101" t="s">
        <v>1867</v>
      </c>
      <c r="K169" t="str">
        <f>VLOOKUP(Historic_BCast_BASE[[#This Row],[Broadcast Market]],Continent_Look_Up[],2,FALSE)</f>
        <v>Central &amp; South America</v>
      </c>
      <c r="L169" s="132" t="str">
        <f>IF(OR(Historic_BCast_BASE[[#This Row],[Broadcast Continent]]="Digital",Historic_BCast_BASE[[#This Row],[Programme Type]]="Digital"),"Y","N")</f>
        <v>N</v>
      </c>
      <c r="M169" s="132" t="str">
        <f>IF(ISNUMBER(SEARCH("Pan ",Historic_BCast_BASE[[#This Row],[Broadcast Market]]))=TRUE,"Y","N")</f>
        <v>Y</v>
      </c>
      <c r="N169" s="132" t="str">
        <f>VLOOKUP(CONCATENATE(Historic_BCast_BASE[[#This Row],[Broadcast Market]],Historic_BCast_BASE[[#This Row],[Broadcaster]]),Table1[[CC]:[Pay TV vs. Free-to-Air]],3,FALSE)</f>
        <v>Pay TV</v>
      </c>
      <c r="O169" s="133">
        <f>VLOOKUP(CONCATENATE(Historic_BCast_BASE[[#This Row],[Broadcast Market]],Historic_BCast_BASE[[#This Row],[Broadcaster]]),Table1[[CC]:[Pay TV vs. Free-to-Air]],2,FALSE)</f>
        <v>15017000</v>
      </c>
      <c r="P169" s="73">
        <f>Historic_BCast_BASE[[#This Row],[Rolex EXP]]*86400</f>
        <v>687.89591843390542</v>
      </c>
      <c r="Q169" s="19" t="str">
        <f>IF(Historic_BCast_BASE[[#This Row],[Dashboard Rated?]]="No","N","Y")</f>
        <v>N</v>
      </c>
      <c r="S169" s="22"/>
    </row>
    <row r="170" spans="1:19" x14ac:dyDescent="0.25">
      <c r="A170" s="72" t="s">
        <v>1869</v>
      </c>
      <c r="B170" t="s">
        <v>11</v>
      </c>
      <c r="C170" t="s">
        <v>554</v>
      </c>
      <c r="D170" t="s">
        <v>1643</v>
      </c>
      <c r="E170" s="102">
        <v>2.1666666666666665</v>
      </c>
      <c r="F170" s="101">
        <v>1628480</v>
      </c>
      <c r="G170" s="102">
        <v>0.20700571619538813</v>
      </c>
      <c r="H170" s="101">
        <v>410273.79593629349</v>
      </c>
      <c r="I170" s="101">
        <v>117863.96828920055</v>
      </c>
      <c r="J170" s="101" t="s">
        <v>1867</v>
      </c>
      <c r="K170" t="str">
        <f>VLOOKUP(Historic_BCast_BASE[[#This Row],[Broadcast Market]],Continent_Look_Up[],2,FALSE)</f>
        <v>Central &amp; South America</v>
      </c>
      <c r="L170" s="132" t="str">
        <f>IF(OR(Historic_BCast_BASE[[#This Row],[Broadcast Continent]]="Digital",Historic_BCast_BASE[[#This Row],[Programme Type]]="Digital"),"Y","N")</f>
        <v>N</v>
      </c>
      <c r="M170" s="132" t="str">
        <f>IF(ISNUMBER(SEARCH("Pan ",Historic_BCast_BASE[[#This Row],[Broadcast Market]]))=TRUE,"Y","N")</f>
        <v>Y</v>
      </c>
      <c r="N170" s="132" t="str">
        <f>VLOOKUP(CONCATENATE(Historic_BCast_BASE[[#This Row],[Broadcast Market]],Historic_BCast_BASE[[#This Row],[Broadcaster]]),Table1[[CC]:[Pay TV vs. Free-to-Air]],3,FALSE)</f>
        <v>Pay TV</v>
      </c>
      <c r="O170" s="133">
        <f>VLOOKUP(CONCATENATE(Historic_BCast_BASE[[#This Row],[Broadcast Market]],Historic_BCast_BASE[[#This Row],[Broadcaster]]),Table1[[CC]:[Pay TV vs. Free-to-Air]],2,FALSE)</f>
        <v>15017000</v>
      </c>
      <c r="P170" s="73">
        <f>Historic_BCast_BASE[[#This Row],[Rolex EXP]]*86400</f>
        <v>17885.293879281533</v>
      </c>
      <c r="Q170" s="19" t="str">
        <f>IF(Historic_BCast_BASE[[#This Row],[Dashboard Rated?]]="No","N","Y")</f>
        <v>N</v>
      </c>
      <c r="S170" s="22"/>
    </row>
    <row r="171" spans="1:19" x14ac:dyDescent="0.25">
      <c r="A171" s="72" t="s">
        <v>1869</v>
      </c>
      <c r="B171" t="s">
        <v>11</v>
      </c>
      <c r="C171" t="s">
        <v>554</v>
      </c>
      <c r="D171" t="s">
        <v>1644</v>
      </c>
      <c r="E171" s="102">
        <v>0.16666666666666666</v>
      </c>
      <c r="F171" s="101">
        <v>44998</v>
      </c>
      <c r="G171" s="102">
        <v>1.5923516630414476E-2</v>
      </c>
      <c r="H171" s="101">
        <v>13324.292606514457</v>
      </c>
      <c r="I171" s="101">
        <v>3827.8194142677007</v>
      </c>
      <c r="J171" s="101" t="s">
        <v>1867</v>
      </c>
      <c r="K171" t="str">
        <f>VLOOKUP(Historic_BCast_BASE[[#This Row],[Broadcast Market]],Continent_Look_Up[],2,FALSE)</f>
        <v>Central &amp; South America</v>
      </c>
      <c r="L171" s="132" t="str">
        <f>IF(OR(Historic_BCast_BASE[[#This Row],[Broadcast Continent]]="Digital",Historic_BCast_BASE[[#This Row],[Programme Type]]="Digital"),"Y","N")</f>
        <v>N</v>
      </c>
      <c r="M171" s="132" t="str">
        <f>IF(ISNUMBER(SEARCH("Pan ",Historic_BCast_BASE[[#This Row],[Broadcast Market]]))=TRUE,"Y","N")</f>
        <v>Y</v>
      </c>
      <c r="N171" s="132" t="str">
        <f>VLOOKUP(CONCATENATE(Historic_BCast_BASE[[#This Row],[Broadcast Market]],Historic_BCast_BASE[[#This Row],[Broadcaster]]),Table1[[CC]:[Pay TV vs. Free-to-Air]],3,FALSE)</f>
        <v>Pay TV</v>
      </c>
      <c r="O171" s="133">
        <f>VLOOKUP(CONCATENATE(Historic_BCast_BASE[[#This Row],[Broadcast Market]],Historic_BCast_BASE[[#This Row],[Broadcaster]]),Table1[[CC]:[Pay TV vs. Free-to-Air]],2,FALSE)</f>
        <v>15017000</v>
      </c>
      <c r="P171" s="73">
        <f>Historic_BCast_BASE[[#This Row],[Rolex EXP]]*86400</f>
        <v>1375.7918368678108</v>
      </c>
      <c r="Q171" s="19" t="str">
        <f>IF(Historic_BCast_BASE[[#This Row],[Dashboard Rated?]]="No","N","Y")</f>
        <v>N</v>
      </c>
      <c r="S171" s="22"/>
    </row>
    <row r="172" spans="1:19" x14ac:dyDescent="0.25">
      <c r="A172" s="72" t="s">
        <v>1869</v>
      </c>
      <c r="B172" t="s">
        <v>11</v>
      </c>
      <c r="C172" t="s">
        <v>184</v>
      </c>
      <c r="D172" t="s">
        <v>1643</v>
      </c>
      <c r="E172" s="102">
        <v>0.54166666666666663</v>
      </c>
      <c r="F172" s="101">
        <v>345052</v>
      </c>
      <c r="G172" s="102">
        <v>5.0244117680982296E-2</v>
      </c>
      <c r="H172" s="101">
        <v>161195.06500379994</v>
      </c>
      <c r="I172" s="101">
        <v>46748.548663107053</v>
      </c>
      <c r="J172" s="101" t="s">
        <v>1867</v>
      </c>
      <c r="K172" t="str">
        <f>VLOOKUP(Historic_BCast_BASE[[#This Row],[Broadcast Market]],Continent_Look_Up[],2,FALSE)</f>
        <v>Central &amp; South America</v>
      </c>
      <c r="L172" s="132" t="str">
        <f>IF(OR(Historic_BCast_BASE[[#This Row],[Broadcast Continent]]="Digital",Historic_BCast_BASE[[#This Row],[Programme Type]]="Digital"),"Y","N")</f>
        <v>N</v>
      </c>
      <c r="M172" s="132" t="str">
        <f>IF(ISNUMBER(SEARCH("Pan ",Historic_BCast_BASE[[#This Row],[Broadcast Market]]))=TRUE,"Y","N")</f>
        <v>Y</v>
      </c>
      <c r="N172" s="132" t="str">
        <f>VLOOKUP(CONCATENATE(Historic_BCast_BASE[[#This Row],[Broadcast Market]],Historic_BCast_BASE[[#This Row],[Broadcaster]]),Table1[[CC]:[Pay TV vs. Free-to-Air]],3,FALSE)</f>
        <v>Pay TV</v>
      </c>
      <c r="O172" s="133">
        <f>VLOOKUP(CONCATENATE(Historic_BCast_BASE[[#This Row],[Broadcast Market]],Historic_BCast_BASE[[#This Row],[Broadcaster]]),Table1[[CC]:[Pay TV vs. Free-to-Air]],2,FALSE)</f>
        <v>47600000</v>
      </c>
      <c r="P172" s="73">
        <f>Historic_BCast_BASE[[#This Row],[Rolex EXP]]*86400</f>
        <v>4341.0917676368708</v>
      </c>
      <c r="Q172" s="19" t="str">
        <f>IF(Historic_BCast_BASE[[#This Row],[Dashboard Rated?]]="No","N","Y")</f>
        <v>N</v>
      </c>
      <c r="S172" s="22"/>
    </row>
    <row r="173" spans="1:19" x14ac:dyDescent="0.25">
      <c r="A173" s="72" t="s">
        <v>1869</v>
      </c>
      <c r="B173" t="s">
        <v>11</v>
      </c>
      <c r="C173" t="s">
        <v>184</v>
      </c>
      <c r="D173" t="s">
        <v>1644</v>
      </c>
      <c r="E173" s="102">
        <v>8.3333333333333329E-2</v>
      </c>
      <c r="F173" s="101">
        <v>44354</v>
      </c>
      <c r="G173" s="102">
        <v>6.4544469473424822E-3</v>
      </c>
      <c r="H173" s="101">
        <v>10647.160171912263</v>
      </c>
      <c r="I173" s="101">
        <v>3285.0828707369565</v>
      </c>
      <c r="J173" s="101" t="s">
        <v>1867</v>
      </c>
      <c r="K173" t="str">
        <f>VLOOKUP(Historic_BCast_BASE[[#This Row],[Broadcast Market]],Continent_Look_Up[],2,FALSE)</f>
        <v>Central &amp; South America</v>
      </c>
      <c r="L173" s="132" t="str">
        <f>IF(OR(Historic_BCast_BASE[[#This Row],[Broadcast Continent]]="Digital",Historic_BCast_BASE[[#This Row],[Programme Type]]="Digital"),"Y","N")</f>
        <v>N</v>
      </c>
      <c r="M173" s="132" t="str">
        <f>IF(ISNUMBER(SEARCH("Pan ",Historic_BCast_BASE[[#This Row],[Broadcast Market]]))=TRUE,"Y","N")</f>
        <v>Y</v>
      </c>
      <c r="N173" s="132" t="str">
        <f>VLOOKUP(CONCATENATE(Historic_BCast_BASE[[#This Row],[Broadcast Market]],Historic_BCast_BASE[[#This Row],[Broadcaster]]),Table1[[CC]:[Pay TV vs. Free-to-Air]],3,FALSE)</f>
        <v>Pay TV</v>
      </c>
      <c r="O173" s="133">
        <f>VLOOKUP(CONCATENATE(Historic_BCast_BASE[[#This Row],[Broadcast Market]],Historic_BCast_BASE[[#This Row],[Broadcaster]]),Table1[[CC]:[Pay TV vs. Free-to-Air]],2,FALSE)</f>
        <v>47600000</v>
      </c>
      <c r="P173" s="73">
        <f>Historic_BCast_BASE[[#This Row],[Rolex EXP]]*86400</f>
        <v>557.6642162503905</v>
      </c>
      <c r="Q173" s="19" t="str">
        <f>IF(Historic_BCast_BASE[[#This Row],[Dashboard Rated?]]="No","N","Y")</f>
        <v>N</v>
      </c>
      <c r="S173" s="22"/>
    </row>
    <row r="174" spans="1:19" x14ac:dyDescent="0.25">
      <c r="A174" s="72" t="s">
        <v>1869</v>
      </c>
      <c r="B174" t="s">
        <v>11</v>
      </c>
      <c r="C174" t="s">
        <v>185</v>
      </c>
      <c r="D174" t="s">
        <v>1643</v>
      </c>
      <c r="E174" s="102">
        <v>0.76388888888888884</v>
      </c>
      <c r="F174" s="101">
        <v>554784</v>
      </c>
      <c r="G174" s="102">
        <v>7.2982784556066341E-2</v>
      </c>
      <c r="H174" s="101">
        <v>376466.49037891492</v>
      </c>
      <c r="I174" s="101">
        <v>108151.76334307498</v>
      </c>
      <c r="J174" s="101" t="s">
        <v>1867</v>
      </c>
      <c r="K174" t="str">
        <f>VLOOKUP(Historic_BCast_BASE[[#This Row],[Broadcast Market]],Continent_Look_Up[],2,FALSE)</f>
        <v>Central &amp; South America</v>
      </c>
      <c r="L174" s="132" t="str">
        <f>IF(OR(Historic_BCast_BASE[[#This Row],[Broadcast Continent]]="Digital",Historic_BCast_BASE[[#This Row],[Programme Type]]="Digital"),"Y","N")</f>
        <v>N</v>
      </c>
      <c r="M174" s="132" t="str">
        <f>IF(ISNUMBER(SEARCH("Pan ",Historic_BCast_BASE[[#This Row],[Broadcast Market]]))=TRUE,"Y","N")</f>
        <v>Y</v>
      </c>
      <c r="N174" s="132" t="str">
        <f>VLOOKUP(CONCATENATE(Historic_BCast_BASE[[#This Row],[Broadcast Market]],Historic_BCast_BASE[[#This Row],[Broadcaster]]),Table1[[CC]:[Pay TV vs. Free-to-Air]],3,FALSE)</f>
        <v>Pay TV</v>
      </c>
      <c r="O174" s="133">
        <f>VLOOKUP(CONCATENATE(Historic_BCast_BASE[[#This Row],[Broadcast Market]],Historic_BCast_BASE[[#This Row],[Broadcaster]]),Table1[[CC]:[Pay TV vs. Free-to-Air]],2,FALSE)</f>
        <v>47600000</v>
      </c>
      <c r="P174" s="73">
        <f>Historic_BCast_BASE[[#This Row],[Rolex EXP]]*86400</f>
        <v>6305.7125856441317</v>
      </c>
      <c r="Q174" s="19" t="str">
        <f>IF(Historic_BCast_BASE[[#This Row],[Dashboard Rated?]]="No","N","Y")</f>
        <v>N</v>
      </c>
      <c r="S174" s="22"/>
    </row>
    <row r="175" spans="1:19" x14ac:dyDescent="0.25">
      <c r="A175" s="72" t="s">
        <v>1869</v>
      </c>
      <c r="B175" t="s">
        <v>11</v>
      </c>
      <c r="C175" t="s">
        <v>185</v>
      </c>
      <c r="D175" t="s">
        <v>1644</v>
      </c>
      <c r="E175" s="102">
        <v>0.21180555555555555</v>
      </c>
      <c r="F175" s="101">
        <v>142628</v>
      </c>
      <c r="G175" s="102">
        <v>1.5463746859917133E-2</v>
      </c>
      <c r="H175" s="101">
        <v>41013.939675104491</v>
      </c>
      <c r="I175" s="101">
        <v>11870.692425730442</v>
      </c>
      <c r="J175" s="101" t="s">
        <v>1867</v>
      </c>
      <c r="K175" t="str">
        <f>VLOOKUP(Historic_BCast_BASE[[#This Row],[Broadcast Market]],Continent_Look_Up[],2,FALSE)</f>
        <v>Central &amp; South America</v>
      </c>
      <c r="L175" s="132" t="str">
        <f>IF(OR(Historic_BCast_BASE[[#This Row],[Broadcast Continent]]="Digital",Historic_BCast_BASE[[#This Row],[Programme Type]]="Digital"),"Y","N")</f>
        <v>N</v>
      </c>
      <c r="M175" s="132" t="str">
        <f>IF(ISNUMBER(SEARCH("Pan ",Historic_BCast_BASE[[#This Row],[Broadcast Market]]))=TRUE,"Y","N")</f>
        <v>Y</v>
      </c>
      <c r="N175" s="132" t="str">
        <f>VLOOKUP(CONCATENATE(Historic_BCast_BASE[[#This Row],[Broadcast Market]],Historic_BCast_BASE[[#This Row],[Broadcaster]]),Table1[[CC]:[Pay TV vs. Free-to-Air]],3,FALSE)</f>
        <v>Pay TV</v>
      </c>
      <c r="O175" s="133">
        <f>VLOOKUP(CONCATENATE(Historic_BCast_BASE[[#This Row],[Broadcast Market]],Historic_BCast_BASE[[#This Row],[Broadcaster]]),Table1[[CC]:[Pay TV vs. Free-to-Air]],2,FALSE)</f>
        <v>47600000</v>
      </c>
      <c r="P175" s="73">
        <f>Historic_BCast_BASE[[#This Row],[Rolex EXP]]*86400</f>
        <v>1336.0677286968403</v>
      </c>
      <c r="Q175" s="19" t="str">
        <f>IF(Historic_BCast_BASE[[#This Row],[Dashboard Rated?]]="No","N","Y")</f>
        <v>N</v>
      </c>
      <c r="S175" s="22"/>
    </row>
    <row r="176" spans="1:19" x14ac:dyDescent="0.25">
      <c r="A176" s="72" t="s">
        <v>1869</v>
      </c>
      <c r="B176" t="s">
        <v>11</v>
      </c>
      <c r="C176" t="s">
        <v>186</v>
      </c>
      <c r="D176" t="s">
        <v>1643</v>
      </c>
      <c r="E176" s="102">
        <v>1.7256944444444444</v>
      </c>
      <c r="F176" s="101">
        <v>1463502</v>
      </c>
      <c r="G176" s="102">
        <v>0.15974786685540376</v>
      </c>
      <c r="H176" s="101">
        <v>854760.88756533898</v>
      </c>
      <c r="I176" s="101">
        <v>244255.85711003208</v>
      </c>
      <c r="J176" s="101" t="s">
        <v>1867</v>
      </c>
      <c r="K176" t="str">
        <f>VLOOKUP(Historic_BCast_BASE[[#This Row],[Broadcast Market]],Continent_Look_Up[],2,FALSE)</f>
        <v>Central &amp; South America</v>
      </c>
      <c r="L176" s="132" t="str">
        <f>IF(OR(Historic_BCast_BASE[[#This Row],[Broadcast Continent]]="Digital",Historic_BCast_BASE[[#This Row],[Programme Type]]="Digital"),"Y","N")</f>
        <v>N</v>
      </c>
      <c r="M176" s="132" t="str">
        <f>IF(ISNUMBER(SEARCH("Pan ",Historic_BCast_BASE[[#This Row],[Broadcast Market]]))=TRUE,"Y","N")</f>
        <v>Y</v>
      </c>
      <c r="N176" s="132" t="str">
        <f>VLOOKUP(CONCATENATE(Historic_BCast_BASE[[#This Row],[Broadcast Market]],Historic_BCast_BASE[[#This Row],[Broadcaster]]),Table1[[CC]:[Pay TV vs. Free-to-Air]],3,FALSE)</f>
        <v>Pay TV</v>
      </c>
      <c r="O176" s="133">
        <f>VLOOKUP(CONCATENATE(Historic_BCast_BASE[[#This Row],[Broadcast Market]],Historic_BCast_BASE[[#This Row],[Broadcaster]]),Table1[[CC]:[Pay TV vs. Free-to-Air]],2,FALSE)</f>
        <v>47600000</v>
      </c>
      <c r="P176" s="73">
        <f>Historic_BCast_BASE[[#This Row],[Rolex EXP]]*86400</f>
        <v>13802.215696306885</v>
      </c>
      <c r="Q176" s="19" t="str">
        <f>IF(Historic_BCast_BASE[[#This Row],[Dashboard Rated?]]="No","N","Y")</f>
        <v>N</v>
      </c>
      <c r="S176" s="22"/>
    </row>
    <row r="177" spans="1:19" x14ac:dyDescent="0.25">
      <c r="A177" s="72" t="s">
        <v>1869</v>
      </c>
      <c r="B177" t="s">
        <v>11</v>
      </c>
      <c r="C177" t="s">
        <v>191</v>
      </c>
      <c r="D177" t="s">
        <v>1642</v>
      </c>
      <c r="E177" s="102">
        <v>2.0833333333333332E-2</v>
      </c>
      <c r="F177" s="101">
        <v>57890</v>
      </c>
      <c r="G177" s="102">
        <v>1.7138215248058335E-3</v>
      </c>
      <c r="H177" s="101">
        <v>3689.870314232719</v>
      </c>
      <c r="I177" s="101">
        <v>1127.1193036998018</v>
      </c>
      <c r="J177" s="101" t="s">
        <v>1867</v>
      </c>
      <c r="K177" t="str">
        <f>VLOOKUP(Historic_BCast_BASE[[#This Row],[Broadcast Market]],Continent_Look_Up[],2,FALSE)</f>
        <v>Central &amp; South America</v>
      </c>
      <c r="L177" s="132" t="str">
        <f>IF(OR(Historic_BCast_BASE[[#This Row],[Broadcast Continent]]="Digital",Historic_BCast_BASE[[#This Row],[Programme Type]]="Digital"),"Y","N")</f>
        <v>N</v>
      </c>
      <c r="M177" s="132" t="str">
        <f>IF(ISNUMBER(SEARCH("Pan ",Historic_BCast_BASE[[#This Row],[Broadcast Market]]))=TRUE,"Y","N")</f>
        <v>Y</v>
      </c>
      <c r="N177" s="132" t="str">
        <f>VLOOKUP(CONCATENATE(Historic_BCast_BASE[[#This Row],[Broadcast Market]],Historic_BCast_BASE[[#This Row],[Broadcaster]]),Table1[[CC]:[Pay TV vs. Free-to-Air]],3,FALSE)</f>
        <v>Pay TV</v>
      </c>
      <c r="O177" s="133">
        <f>VLOOKUP(CONCATENATE(Historic_BCast_BASE[[#This Row],[Broadcast Market]],Historic_BCast_BASE[[#This Row],[Broadcaster]]),Table1[[CC]:[Pay TV vs. Free-to-Air]],2,FALSE)</f>
        <v>47600000</v>
      </c>
      <c r="P177" s="73">
        <f>Historic_BCast_BASE[[#This Row],[Rolex EXP]]*86400</f>
        <v>148.07417974322402</v>
      </c>
      <c r="Q177" s="19" t="str">
        <f>IF(Historic_BCast_BASE[[#This Row],[Dashboard Rated?]]="No","N","Y")</f>
        <v>N</v>
      </c>
      <c r="S177" s="22"/>
    </row>
    <row r="178" spans="1:19" x14ac:dyDescent="0.25">
      <c r="A178" s="72" t="s">
        <v>1869</v>
      </c>
      <c r="B178" t="s">
        <v>11</v>
      </c>
      <c r="C178" t="s">
        <v>191</v>
      </c>
      <c r="D178" t="s">
        <v>1643</v>
      </c>
      <c r="E178" s="102">
        <v>4.989583333333333</v>
      </c>
      <c r="F178" s="101">
        <v>3816732</v>
      </c>
      <c r="G178" s="102">
        <v>0.47174619335866536</v>
      </c>
      <c r="H178" s="101">
        <v>2891757.4441344901</v>
      </c>
      <c r="I178" s="101">
        <v>842551.417131925</v>
      </c>
      <c r="J178" s="101" t="s">
        <v>1867</v>
      </c>
      <c r="K178" t="str">
        <f>VLOOKUP(Historic_BCast_BASE[[#This Row],[Broadcast Market]],Continent_Look_Up[],2,FALSE)</f>
        <v>Central &amp; South America</v>
      </c>
      <c r="L178" s="132" t="str">
        <f>IF(OR(Historic_BCast_BASE[[#This Row],[Broadcast Continent]]="Digital",Historic_BCast_BASE[[#This Row],[Programme Type]]="Digital"),"Y","N")</f>
        <v>N</v>
      </c>
      <c r="M178" s="132" t="str">
        <f>IF(ISNUMBER(SEARCH("Pan ",Historic_BCast_BASE[[#This Row],[Broadcast Market]]))=TRUE,"Y","N")</f>
        <v>Y</v>
      </c>
      <c r="N178" s="132" t="str">
        <f>VLOOKUP(CONCATENATE(Historic_BCast_BASE[[#This Row],[Broadcast Market]],Historic_BCast_BASE[[#This Row],[Broadcaster]]),Table1[[CC]:[Pay TV vs. Free-to-Air]],3,FALSE)</f>
        <v>Pay TV</v>
      </c>
      <c r="O178" s="133">
        <f>VLOOKUP(CONCATENATE(Historic_BCast_BASE[[#This Row],[Broadcast Market]],Historic_BCast_BASE[[#This Row],[Broadcaster]]),Table1[[CC]:[Pay TV vs. Free-to-Air]],2,FALSE)</f>
        <v>47600000</v>
      </c>
      <c r="P178" s="73">
        <f>Historic_BCast_BASE[[#This Row],[Rolex EXP]]*86400</f>
        <v>40758.871106188686</v>
      </c>
      <c r="Q178" s="19" t="str">
        <f>IF(Historic_BCast_BASE[[#This Row],[Dashboard Rated?]]="No","N","Y")</f>
        <v>N</v>
      </c>
      <c r="S178" s="22"/>
    </row>
    <row r="179" spans="1:19" x14ac:dyDescent="0.25">
      <c r="A179" s="72" t="s">
        <v>1869</v>
      </c>
      <c r="B179" t="s">
        <v>11</v>
      </c>
      <c r="C179" t="s">
        <v>191</v>
      </c>
      <c r="D179" t="s">
        <v>1644</v>
      </c>
      <c r="E179" s="102">
        <v>0.21875</v>
      </c>
      <c r="F179" s="101">
        <v>71314</v>
      </c>
      <c r="G179" s="102">
        <v>1.6942923236774016E-2</v>
      </c>
      <c r="H179" s="101">
        <v>44937.105983943882</v>
      </c>
      <c r="I179" s="101">
        <v>13864.92874576826</v>
      </c>
      <c r="J179" s="101" t="s">
        <v>1867</v>
      </c>
      <c r="K179" t="str">
        <f>VLOOKUP(Historic_BCast_BASE[[#This Row],[Broadcast Market]],Continent_Look_Up[],2,FALSE)</f>
        <v>Central &amp; South America</v>
      </c>
      <c r="L179" s="132" t="str">
        <f>IF(OR(Historic_BCast_BASE[[#This Row],[Broadcast Continent]]="Digital",Historic_BCast_BASE[[#This Row],[Programme Type]]="Digital"),"Y","N")</f>
        <v>N</v>
      </c>
      <c r="M179" s="132" t="str">
        <f>IF(ISNUMBER(SEARCH("Pan ",Historic_BCast_BASE[[#This Row],[Broadcast Market]]))=TRUE,"Y","N")</f>
        <v>Y</v>
      </c>
      <c r="N179" s="132" t="str">
        <f>VLOOKUP(CONCATENATE(Historic_BCast_BASE[[#This Row],[Broadcast Market]],Historic_BCast_BASE[[#This Row],[Broadcaster]]),Table1[[CC]:[Pay TV vs. Free-to-Air]],3,FALSE)</f>
        <v>Pay TV</v>
      </c>
      <c r="O179" s="133">
        <f>VLOOKUP(CONCATENATE(Historic_BCast_BASE[[#This Row],[Broadcast Market]],Historic_BCast_BASE[[#This Row],[Broadcaster]]),Table1[[CC]:[Pay TV vs. Free-to-Air]],2,FALSE)</f>
        <v>47600000</v>
      </c>
      <c r="P179" s="73">
        <f>Historic_BCast_BASE[[#This Row],[Rolex EXP]]*86400</f>
        <v>1463.868567657275</v>
      </c>
      <c r="Q179" s="19" t="str">
        <f>IF(Historic_BCast_BASE[[#This Row],[Dashboard Rated?]]="No","N","Y")</f>
        <v>N</v>
      </c>
      <c r="S179" s="22"/>
    </row>
    <row r="180" spans="1:19" x14ac:dyDescent="0.25">
      <c r="A180" s="72" t="s">
        <v>1869</v>
      </c>
      <c r="B180" t="s">
        <v>24</v>
      </c>
      <c r="C180" t="s">
        <v>221</v>
      </c>
      <c r="D180" t="s">
        <v>1642</v>
      </c>
      <c r="E180" s="102">
        <v>1.6472337962962964</v>
      </c>
      <c r="F180" s="101">
        <v>5322426</v>
      </c>
      <c r="G180" s="102">
        <v>0.14996715077333198</v>
      </c>
      <c r="H180" s="101">
        <v>719709.74407664093</v>
      </c>
      <c r="I180" s="101">
        <v>216488.90204870605</v>
      </c>
      <c r="J180" s="101" t="s">
        <v>1867</v>
      </c>
      <c r="K180" t="str">
        <f>VLOOKUP(Historic_BCast_BASE[[#This Row],[Broadcast Market]],Continent_Look_Up[],2,FALSE)</f>
        <v>Europe</v>
      </c>
      <c r="L180" s="132" t="str">
        <f>IF(OR(Historic_BCast_BASE[[#This Row],[Broadcast Continent]]="Digital",Historic_BCast_BASE[[#This Row],[Programme Type]]="Digital"),"Y","N")</f>
        <v>N</v>
      </c>
      <c r="M180" s="132" t="str">
        <f>IF(ISNUMBER(SEARCH("Pan ",Historic_BCast_BASE[[#This Row],[Broadcast Market]]))=TRUE,"Y","N")</f>
        <v>Y</v>
      </c>
      <c r="N180" s="132" t="str">
        <f>VLOOKUP(CONCATENATE(Historic_BCast_BASE[[#This Row],[Broadcast Market]],Historic_BCast_BASE[[#This Row],[Broadcaster]]),Table1[[CC]:[Pay TV vs. Free-to-Air]],3,FALSE)</f>
        <v>Pay TV</v>
      </c>
      <c r="O180" s="133">
        <f>VLOOKUP(CONCATENATE(Historic_BCast_BASE[[#This Row],[Broadcast Market]],Historic_BCast_BASE[[#This Row],[Broadcaster]]),Table1[[CC]:[Pay TV vs. Free-to-Air]],2,FALSE)</f>
        <v>69759000</v>
      </c>
      <c r="P180" s="73">
        <f>Historic_BCast_BASE[[#This Row],[Rolex EXP]]*86400</f>
        <v>12957.161826815882</v>
      </c>
      <c r="Q180" s="19" t="str">
        <f>IF(Historic_BCast_BASE[[#This Row],[Dashboard Rated?]]="No","N","Y")</f>
        <v>N</v>
      </c>
      <c r="S180" s="22"/>
    </row>
    <row r="181" spans="1:19" x14ac:dyDescent="0.25">
      <c r="A181" s="72" t="s">
        <v>1869</v>
      </c>
      <c r="B181" t="s">
        <v>24</v>
      </c>
      <c r="C181" t="s">
        <v>221</v>
      </c>
      <c r="D181" t="s">
        <v>1643</v>
      </c>
      <c r="E181" s="102">
        <v>5.6700462962962961</v>
      </c>
      <c r="F181" s="101">
        <v>15425506</v>
      </c>
      <c r="G181" s="102">
        <v>0.53315954661086218</v>
      </c>
      <c r="H181" s="101">
        <v>6237103.2793789031</v>
      </c>
      <c r="I181" s="101">
        <v>1871260.6540037091</v>
      </c>
      <c r="J181" s="101" t="s">
        <v>1867</v>
      </c>
      <c r="K181" t="str">
        <f>VLOOKUP(Historic_BCast_BASE[[#This Row],[Broadcast Market]],Continent_Look_Up[],2,FALSE)</f>
        <v>Europe</v>
      </c>
      <c r="L181" s="132" t="str">
        <f>IF(OR(Historic_BCast_BASE[[#This Row],[Broadcast Continent]]="Digital",Historic_BCast_BASE[[#This Row],[Programme Type]]="Digital"),"Y","N")</f>
        <v>N</v>
      </c>
      <c r="M181" s="132" t="str">
        <f>IF(ISNUMBER(SEARCH("Pan ",Historic_BCast_BASE[[#This Row],[Broadcast Market]]))=TRUE,"Y","N")</f>
        <v>Y</v>
      </c>
      <c r="N181" s="132" t="str">
        <f>VLOOKUP(CONCATENATE(Historic_BCast_BASE[[#This Row],[Broadcast Market]],Historic_BCast_BASE[[#This Row],[Broadcaster]]),Table1[[CC]:[Pay TV vs. Free-to-Air]],3,FALSE)</f>
        <v>Pay TV</v>
      </c>
      <c r="O181" s="133">
        <f>VLOOKUP(CONCATENATE(Historic_BCast_BASE[[#This Row],[Broadcast Market]],Historic_BCast_BASE[[#This Row],[Broadcaster]]),Table1[[CC]:[Pay TV vs. Free-to-Air]],2,FALSE)</f>
        <v>69759000</v>
      </c>
      <c r="P181" s="73">
        <f>Historic_BCast_BASE[[#This Row],[Rolex EXP]]*86400</f>
        <v>46064.984827178494</v>
      </c>
      <c r="Q181" s="19" t="str">
        <f>IF(Historic_BCast_BASE[[#This Row],[Dashboard Rated?]]="No","N","Y")</f>
        <v>N</v>
      </c>
      <c r="S181" s="22"/>
    </row>
    <row r="182" spans="1:19" x14ac:dyDescent="0.25">
      <c r="A182" s="72" t="s">
        <v>1869</v>
      </c>
      <c r="B182" t="s">
        <v>24</v>
      </c>
      <c r="C182" t="s">
        <v>221</v>
      </c>
      <c r="D182" t="s">
        <v>1644</v>
      </c>
      <c r="E182" s="102">
        <v>0.92519675925925926</v>
      </c>
      <c r="F182" s="101">
        <v>1900648</v>
      </c>
      <c r="G182" s="102">
        <v>6.3053808264102104E-2</v>
      </c>
      <c r="H182" s="101">
        <v>377366.82864223002</v>
      </c>
      <c r="I182" s="101">
        <v>106828.90836656503</v>
      </c>
      <c r="J182" s="101" t="s">
        <v>1867</v>
      </c>
      <c r="K182" t="str">
        <f>VLOOKUP(Historic_BCast_BASE[[#This Row],[Broadcast Market]],Continent_Look_Up[],2,FALSE)</f>
        <v>Europe</v>
      </c>
      <c r="L182" s="132" t="str">
        <f>IF(OR(Historic_BCast_BASE[[#This Row],[Broadcast Continent]]="Digital",Historic_BCast_BASE[[#This Row],[Programme Type]]="Digital"),"Y","N")</f>
        <v>N</v>
      </c>
      <c r="M182" s="132" t="str">
        <f>IF(ISNUMBER(SEARCH("Pan ",Historic_BCast_BASE[[#This Row],[Broadcast Market]]))=TRUE,"Y","N")</f>
        <v>Y</v>
      </c>
      <c r="N182" s="132" t="str">
        <f>VLOOKUP(CONCATENATE(Historic_BCast_BASE[[#This Row],[Broadcast Market]],Historic_BCast_BASE[[#This Row],[Broadcaster]]),Table1[[CC]:[Pay TV vs. Free-to-Air]],3,FALSE)</f>
        <v>Pay TV</v>
      </c>
      <c r="O182" s="133">
        <f>VLOOKUP(CONCATENATE(Historic_BCast_BASE[[#This Row],[Broadcast Market]],Historic_BCast_BASE[[#This Row],[Broadcaster]]),Table1[[CC]:[Pay TV vs. Free-to-Air]],2,FALSE)</f>
        <v>69759000</v>
      </c>
      <c r="P182" s="73">
        <f>Historic_BCast_BASE[[#This Row],[Rolex EXP]]*86400</f>
        <v>5447.8490340184217</v>
      </c>
      <c r="Q182" s="19" t="str">
        <f>IF(Historic_BCast_BASE[[#This Row],[Dashboard Rated?]]="No","N","Y")</f>
        <v>N</v>
      </c>
      <c r="S182" s="22"/>
    </row>
    <row r="183" spans="1:19" x14ac:dyDescent="0.25">
      <c r="A183" s="72" t="s">
        <v>1869</v>
      </c>
      <c r="B183" t="s">
        <v>24</v>
      </c>
      <c r="C183" t="s">
        <v>269</v>
      </c>
      <c r="D183" t="s">
        <v>1642</v>
      </c>
      <c r="E183" s="102">
        <v>1.1555555555555557</v>
      </c>
      <c r="F183" s="101">
        <v>3549850</v>
      </c>
      <c r="G183" s="102">
        <v>0.11839960800836975</v>
      </c>
      <c r="H183" s="101">
        <v>494156.8165479544</v>
      </c>
      <c r="I183" s="101">
        <v>152177.14663518296</v>
      </c>
      <c r="J183" s="101" t="s">
        <v>1867</v>
      </c>
      <c r="K183" t="str">
        <f>VLOOKUP(Historic_BCast_BASE[[#This Row],[Broadcast Market]],Continent_Look_Up[],2,FALSE)</f>
        <v>Europe</v>
      </c>
      <c r="L183" s="132" t="str">
        <f>IF(OR(Historic_BCast_BASE[[#This Row],[Broadcast Continent]]="Digital",Historic_BCast_BASE[[#This Row],[Programme Type]]="Digital"),"Y","N")</f>
        <v>N</v>
      </c>
      <c r="M183" s="132" t="str">
        <f>IF(ISNUMBER(SEARCH("Pan ",Historic_BCast_BASE[[#This Row],[Broadcast Market]]))=TRUE,"Y","N")</f>
        <v>Y</v>
      </c>
      <c r="N183" s="132" t="str">
        <f>VLOOKUP(CONCATENATE(Historic_BCast_BASE[[#This Row],[Broadcast Market]],Historic_BCast_BASE[[#This Row],[Broadcaster]]),Table1[[CC]:[Pay TV vs. Free-to-Air]],3,FALSE)</f>
        <v>Pay TV</v>
      </c>
      <c r="O183" s="133">
        <f>VLOOKUP(CONCATENATE(Historic_BCast_BASE[[#This Row],[Broadcast Market]],Historic_BCast_BASE[[#This Row],[Broadcaster]]),Table1[[CC]:[Pay TV vs. Free-to-Air]],2,FALSE)</f>
        <v>75200000</v>
      </c>
      <c r="P183" s="73">
        <f>Historic_BCast_BASE[[#This Row],[Rolex EXP]]*86400</f>
        <v>10229.726131923147</v>
      </c>
      <c r="Q183" s="19" t="str">
        <f>IF(Historic_BCast_BASE[[#This Row],[Dashboard Rated?]]="No","N","Y")</f>
        <v>N</v>
      </c>
      <c r="S183" s="22"/>
    </row>
    <row r="184" spans="1:19" x14ac:dyDescent="0.25">
      <c r="A184" s="72" t="s">
        <v>1869</v>
      </c>
      <c r="B184" t="s">
        <v>24</v>
      </c>
      <c r="C184" t="s">
        <v>269</v>
      </c>
      <c r="D184" t="s">
        <v>1643</v>
      </c>
      <c r="E184" s="102">
        <v>2.9608333333333334</v>
      </c>
      <c r="F184" s="101">
        <v>11881849</v>
      </c>
      <c r="G184" s="102">
        <v>0.34654565009975324</v>
      </c>
      <c r="H184" s="101">
        <v>4202154.6337645659</v>
      </c>
      <c r="I184" s="101">
        <v>1216313.2060604312</v>
      </c>
      <c r="J184" s="101" t="s">
        <v>1867</v>
      </c>
      <c r="K184" t="str">
        <f>VLOOKUP(Historic_BCast_BASE[[#This Row],[Broadcast Market]],Continent_Look_Up[],2,FALSE)</f>
        <v>Europe</v>
      </c>
      <c r="L184" s="132" t="str">
        <f>IF(OR(Historic_BCast_BASE[[#This Row],[Broadcast Continent]]="Digital",Historic_BCast_BASE[[#This Row],[Programme Type]]="Digital"),"Y","N")</f>
        <v>N</v>
      </c>
      <c r="M184" s="132" t="str">
        <f>IF(ISNUMBER(SEARCH("Pan ",Historic_BCast_BASE[[#This Row],[Broadcast Market]]))=TRUE,"Y","N")</f>
        <v>Y</v>
      </c>
      <c r="N184" s="132" t="str">
        <f>VLOOKUP(CONCATENATE(Historic_BCast_BASE[[#This Row],[Broadcast Market]],Historic_BCast_BASE[[#This Row],[Broadcaster]]),Table1[[CC]:[Pay TV vs. Free-to-Air]],3,FALSE)</f>
        <v>Pay TV</v>
      </c>
      <c r="O184" s="133">
        <f>VLOOKUP(CONCATENATE(Historic_BCast_BASE[[#This Row],[Broadcast Market]],Historic_BCast_BASE[[#This Row],[Broadcaster]]),Table1[[CC]:[Pay TV vs. Free-to-Air]],2,FALSE)</f>
        <v>75200000</v>
      </c>
      <c r="P184" s="73">
        <f>Historic_BCast_BASE[[#This Row],[Rolex EXP]]*86400</f>
        <v>29941.544168618679</v>
      </c>
      <c r="Q184" s="19" t="str">
        <f>IF(Historic_BCast_BASE[[#This Row],[Dashboard Rated?]]="No","N","Y")</f>
        <v>N</v>
      </c>
      <c r="S184" s="22"/>
    </row>
    <row r="185" spans="1:19" x14ac:dyDescent="0.25">
      <c r="A185" s="72" t="s">
        <v>1869</v>
      </c>
      <c r="B185" t="s">
        <v>24</v>
      </c>
      <c r="C185" t="s">
        <v>269</v>
      </c>
      <c r="D185" t="s">
        <v>1644</v>
      </c>
      <c r="E185" s="102">
        <v>2.5350925925925925</v>
      </c>
      <c r="F185" s="101">
        <v>4352181</v>
      </c>
      <c r="G185" s="102">
        <v>0.23658934051131941</v>
      </c>
      <c r="H185" s="101">
        <v>1121187.2057434854</v>
      </c>
      <c r="I185" s="101">
        <v>330824.88445239619</v>
      </c>
      <c r="J185" s="101" t="s">
        <v>1867</v>
      </c>
      <c r="K185" t="str">
        <f>VLOOKUP(Historic_BCast_BASE[[#This Row],[Broadcast Market]],Continent_Look_Up[],2,FALSE)</f>
        <v>Europe</v>
      </c>
      <c r="L185" s="132" t="str">
        <f>IF(OR(Historic_BCast_BASE[[#This Row],[Broadcast Continent]]="Digital",Historic_BCast_BASE[[#This Row],[Programme Type]]="Digital"),"Y","N")</f>
        <v>N</v>
      </c>
      <c r="M185" s="132" t="str">
        <f>IF(ISNUMBER(SEARCH("Pan ",Historic_BCast_BASE[[#This Row],[Broadcast Market]]))=TRUE,"Y","N")</f>
        <v>Y</v>
      </c>
      <c r="N185" s="132" t="str">
        <f>VLOOKUP(CONCATENATE(Historic_BCast_BASE[[#This Row],[Broadcast Market]],Historic_BCast_BASE[[#This Row],[Broadcaster]]),Table1[[CC]:[Pay TV vs. Free-to-Air]],3,FALSE)</f>
        <v>Pay TV</v>
      </c>
      <c r="O185" s="133">
        <f>VLOOKUP(CONCATENATE(Historic_BCast_BASE[[#This Row],[Broadcast Market]],Historic_BCast_BASE[[#This Row],[Broadcaster]]),Table1[[CC]:[Pay TV vs. Free-to-Air]],2,FALSE)</f>
        <v>75200000</v>
      </c>
      <c r="P185" s="73">
        <f>Historic_BCast_BASE[[#This Row],[Rolex EXP]]*86400</f>
        <v>20441.319020177998</v>
      </c>
      <c r="Q185" s="19" t="str">
        <f>IF(Historic_BCast_BASE[[#This Row],[Dashboard Rated?]]="No","N","Y")</f>
        <v>N</v>
      </c>
      <c r="S185" s="22"/>
    </row>
    <row r="186" spans="1:19" x14ac:dyDescent="0.25">
      <c r="A186" s="72" t="s">
        <v>1869</v>
      </c>
      <c r="B186" t="s">
        <v>21</v>
      </c>
      <c r="C186" t="s">
        <v>1649</v>
      </c>
      <c r="D186" t="s">
        <v>1643</v>
      </c>
      <c r="E186" s="102">
        <v>8.3333333333333329E-2</v>
      </c>
      <c r="F186" s="101">
        <v>24494</v>
      </c>
      <c r="G186" s="102">
        <v>7.9617583152072381E-3</v>
      </c>
      <c r="H186" s="101">
        <v>2724.1897775582015</v>
      </c>
      <c r="I186" s="101">
        <v>782.60864022069165</v>
      </c>
      <c r="J186" s="101" t="s">
        <v>1867</v>
      </c>
      <c r="K186" t="str">
        <f>VLOOKUP(Historic_BCast_BASE[[#This Row],[Broadcast Market]],Continent_Look_Up[],2,FALSE)</f>
        <v>Africa &amp; Middle East</v>
      </c>
      <c r="L186" s="132" t="str">
        <f>IF(OR(Historic_BCast_BASE[[#This Row],[Broadcast Continent]]="Digital",Historic_BCast_BASE[[#This Row],[Programme Type]]="Digital"),"Y","N")</f>
        <v>N</v>
      </c>
      <c r="M186" s="132" t="str">
        <f>IF(ISNUMBER(SEARCH("Pan ",Historic_BCast_BASE[[#This Row],[Broadcast Market]]))=TRUE,"Y","N")</f>
        <v>Y</v>
      </c>
      <c r="N186" s="132" t="str">
        <f>VLOOKUP(CONCATENATE(Historic_BCast_BASE[[#This Row],[Broadcast Market]],Historic_BCast_BASE[[#This Row],[Broadcaster]]),Table1[[CC]:[Pay TV vs. Free-to-Air]],3,FALSE)</f>
        <v>Pay TV</v>
      </c>
      <c r="O186" s="133">
        <f>VLOOKUP(CONCATENATE(Historic_BCast_BASE[[#This Row],[Broadcast Market]],Historic_BCast_BASE[[#This Row],[Broadcaster]]),Table1[[CC]:[Pay TV vs. Free-to-Air]],2,FALSE)</f>
        <v>2185000</v>
      </c>
      <c r="P186" s="73">
        <f>Historic_BCast_BASE[[#This Row],[Rolex EXP]]*86400</f>
        <v>687.89591843390542</v>
      </c>
      <c r="Q186" s="19" t="str">
        <f>IF(Historic_BCast_BASE[[#This Row],[Dashboard Rated?]]="No","N","Y")</f>
        <v>N</v>
      </c>
      <c r="S186" s="22"/>
    </row>
    <row r="187" spans="1:19" x14ac:dyDescent="0.25">
      <c r="A187" s="72" t="s">
        <v>1869</v>
      </c>
      <c r="B187" t="s">
        <v>21</v>
      </c>
      <c r="C187" t="s">
        <v>1268</v>
      </c>
      <c r="D187" t="s">
        <v>1642</v>
      </c>
      <c r="E187" s="102">
        <v>0.25</v>
      </c>
      <c r="F187" s="101">
        <v>51050</v>
      </c>
      <c r="G187" s="102">
        <v>2.3885274945621714E-2</v>
      </c>
      <c r="H187" s="101">
        <v>1703.3137275783392</v>
      </c>
      <c r="I187" s="101">
        <v>489.33009410385768</v>
      </c>
      <c r="J187" s="101" t="s">
        <v>1867</v>
      </c>
      <c r="K187" t="str">
        <f>VLOOKUP(Historic_BCast_BASE[[#This Row],[Broadcast Market]],Continent_Look_Up[],2,FALSE)</f>
        <v>Africa &amp; Middle East</v>
      </c>
      <c r="L187" s="132" t="str">
        <f>IF(OR(Historic_BCast_BASE[[#This Row],[Broadcast Continent]]="Digital",Historic_BCast_BASE[[#This Row],[Programme Type]]="Digital"),"Y","N")</f>
        <v>N</v>
      </c>
      <c r="M187" s="132" t="str">
        <f>IF(ISNUMBER(SEARCH("Pan ",Historic_BCast_BASE[[#This Row],[Broadcast Market]]))=TRUE,"Y","N")</f>
        <v>Y</v>
      </c>
      <c r="N187" s="132" t="str">
        <f>VLOOKUP(CONCATENATE(Historic_BCast_BASE[[#This Row],[Broadcast Market]],Historic_BCast_BASE[[#This Row],[Broadcaster]]),Table1[[CC]:[Pay TV vs. Free-to-Air]],3,FALSE)</f>
        <v>Pay TV</v>
      </c>
      <c r="O187" s="133">
        <f>VLOOKUP(CONCATENATE(Historic_BCast_BASE[[#This Row],[Broadcast Market]],Historic_BCast_BASE[[#This Row],[Broadcaster]]),Table1[[CC]:[Pay TV vs. Free-to-Air]],2,FALSE)</f>
        <v>2185000</v>
      </c>
      <c r="P187" s="73">
        <f>Historic_BCast_BASE[[#This Row],[Rolex EXP]]*86400</f>
        <v>2063.6877553017162</v>
      </c>
      <c r="Q187" s="19" t="str">
        <f>IF(Historic_BCast_BASE[[#This Row],[Dashboard Rated?]]="No","N","Y")</f>
        <v>N</v>
      </c>
      <c r="S187" s="22"/>
    </row>
    <row r="188" spans="1:19" x14ac:dyDescent="0.25">
      <c r="A188" s="72" t="s">
        <v>1869</v>
      </c>
      <c r="B188" t="s">
        <v>21</v>
      </c>
      <c r="C188" t="s">
        <v>1268</v>
      </c>
      <c r="D188" t="s">
        <v>1643</v>
      </c>
      <c r="E188" s="102">
        <v>5.2118055555555554</v>
      </c>
      <c r="F188" s="101">
        <v>996352</v>
      </c>
      <c r="G188" s="102">
        <v>0.49794163463025215</v>
      </c>
      <c r="H188" s="101">
        <v>112910.2554099618</v>
      </c>
      <c r="I188" s="101">
        <v>32436.999133212295</v>
      </c>
      <c r="J188" s="101" t="s">
        <v>1867</v>
      </c>
      <c r="K188" t="str">
        <f>VLOOKUP(Historic_BCast_BASE[[#This Row],[Broadcast Market]],Continent_Look_Up[],2,FALSE)</f>
        <v>Africa &amp; Middle East</v>
      </c>
      <c r="L188" s="132" t="str">
        <f>IF(OR(Historic_BCast_BASE[[#This Row],[Broadcast Continent]]="Digital",Historic_BCast_BASE[[#This Row],[Programme Type]]="Digital"),"Y","N")</f>
        <v>N</v>
      </c>
      <c r="M188" s="132" t="str">
        <f>IF(ISNUMBER(SEARCH("Pan ",Historic_BCast_BASE[[#This Row],[Broadcast Market]]))=TRUE,"Y","N")</f>
        <v>Y</v>
      </c>
      <c r="N188" s="132" t="str">
        <f>VLOOKUP(CONCATENATE(Historic_BCast_BASE[[#This Row],[Broadcast Market]],Historic_BCast_BASE[[#This Row],[Broadcaster]]),Table1[[CC]:[Pay TV vs. Free-to-Air]],3,FALSE)</f>
        <v>Pay TV</v>
      </c>
      <c r="O188" s="133">
        <f>VLOOKUP(CONCATENATE(Historic_BCast_BASE[[#This Row],[Broadcast Market]],Historic_BCast_BASE[[#This Row],[Broadcaster]]),Table1[[CC]:[Pay TV vs. Free-to-Air]],2,FALSE)</f>
        <v>2185000</v>
      </c>
      <c r="P188" s="73">
        <f>Historic_BCast_BASE[[#This Row],[Rolex EXP]]*86400</f>
        <v>43022.157232053789</v>
      </c>
      <c r="Q188" s="19" t="str">
        <f>IF(Historic_BCast_BASE[[#This Row],[Dashboard Rated?]]="No","N","Y")</f>
        <v>N</v>
      </c>
      <c r="S188" s="22"/>
    </row>
    <row r="189" spans="1:19" x14ac:dyDescent="0.25">
      <c r="A189" s="72" t="s">
        <v>1869</v>
      </c>
      <c r="B189" t="s">
        <v>21</v>
      </c>
      <c r="C189" t="s">
        <v>1268</v>
      </c>
      <c r="D189" t="s">
        <v>1644</v>
      </c>
      <c r="E189" s="102">
        <v>2.5284722222222222</v>
      </c>
      <c r="F189" s="101">
        <v>194323</v>
      </c>
      <c r="G189" s="102">
        <v>0.34324439777229016</v>
      </c>
      <c r="H189" s="101">
        <v>31769.696779199141</v>
      </c>
      <c r="I189" s="101">
        <v>9496.7872864630444</v>
      </c>
      <c r="J189" s="101" t="s">
        <v>1867</v>
      </c>
      <c r="K189" t="str">
        <f>VLOOKUP(Historic_BCast_BASE[[#This Row],[Broadcast Market]],Continent_Look_Up[],2,FALSE)</f>
        <v>Africa &amp; Middle East</v>
      </c>
      <c r="L189" s="132" t="str">
        <f>IF(OR(Historic_BCast_BASE[[#This Row],[Broadcast Continent]]="Digital",Historic_BCast_BASE[[#This Row],[Programme Type]]="Digital"),"Y","N")</f>
        <v>N</v>
      </c>
      <c r="M189" s="132" t="str">
        <f>IF(ISNUMBER(SEARCH("Pan ",Historic_BCast_BASE[[#This Row],[Broadcast Market]]))=TRUE,"Y","N")</f>
        <v>Y</v>
      </c>
      <c r="N189" s="132" t="str">
        <f>VLOOKUP(CONCATENATE(Historic_BCast_BASE[[#This Row],[Broadcast Market]],Historic_BCast_BASE[[#This Row],[Broadcaster]]),Table1[[CC]:[Pay TV vs. Free-to-Air]],3,FALSE)</f>
        <v>Pay TV</v>
      </c>
      <c r="O189" s="133">
        <f>VLOOKUP(CONCATENATE(Historic_BCast_BASE[[#This Row],[Broadcast Market]],Historic_BCast_BASE[[#This Row],[Broadcaster]]),Table1[[CC]:[Pay TV vs. Free-to-Air]],2,FALSE)</f>
        <v>2185000</v>
      </c>
      <c r="P189" s="73">
        <f>Historic_BCast_BASE[[#This Row],[Rolex EXP]]*86400</f>
        <v>29656.315967525868</v>
      </c>
      <c r="Q189" s="19" t="str">
        <f>IF(Historic_BCast_BASE[[#This Row],[Dashboard Rated?]]="No","N","Y")</f>
        <v>N</v>
      </c>
      <c r="S189" s="22"/>
    </row>
    <row r="190" spans="1:19" x14ac:dyDescent="0.25">
      <c r="A190" s="72" t="s">
        <v>1869</v>
      </c>
      <c r="B190" t="s">
        <v>21</v>
      </c>
      <c r="C190" t="s">
        <v>1271</v>
      </c>
      <c r="D190" t="s">
        <v>1642</v>
      </c>
      <c r="E190" s="102">
        <v>4.1666666666666664E-2</v>
      </c>
      <c r="F190" s="101">
        <v>10210</v>
      </c>
      <c r="G190" s="102">
        <v>3.9808791576036191E-3</v>
      </c>
      <c r="H190" s="101">
        <v>283.88562126305663</v>
      </c>
      <c r="I190" s="101">
        <v>81.555015683976293</v>
      </c>
      <c r="J190" s="101" t="s">
        <v>1867</v>
      </c>
      <c r="K190" t="str">
        <f>VLOOKUP(Historic_BCast_BASE[[#This Row],[Broadcast Market]],Continent_Look_Up[],2,FALSE)</f>
        <v>Africa &amp; Middle East</v>
      </c>
      <c r="L190" s="132" t="str">
        <f>IF(OR(Historic_BCast_BASE[[#This Row],[Broadcast Continent]]="Digital",Historic_BCast_BASE[[#This Row],[Programme Type]]="Digital"),"Y","N")</f>
        <v>N</v>
      </c>
      <c r="M190" s="132" t="str">
        <f>IF(ISNUMBER(SEARCH("Pan ",Historic_BCast_BASE[[#This Row],[Broadcast Market]]))=TRUE,"Y","N")</f>
        <v>Y</v>
      </c>
      <c r="N190" s="132" t="str">
        <f>VLOOKUP(CONCATENATE(Historic_BCast_BASE[[#This Row],[Broadcast Market]],Historic_BCast_BASE[[#This Row],[Broadcaster]]),Table1[[CC]:[Pay TV vs. Free-to-Air]],3,FALSE)</f>
        <v>Pay TV</v>
      </c>
      <c r="O190" s="133">
        <f>VLOOKUP(CONCATENATE(Historic_BCast_BASE[[#This Row],[Broadcast Market]],Historic_BCast_BASE[[#This Row],[Broadcaster]]),Table1[[CC]:[Pay TV vs. Free-to-Air]],2,FALSE)</f>
        <v>2185000</v>
      </c>
      <c r="P190" s="73">
        <f>Historic_BCast_BASE[[#This Row],[Rolex EXP]]*86400</f>
        <v>343.94795921695271</v>
      </c>
      <c r="Q190" s="19" t="str">
        <f>IF(Historic_BCast_BASE[[#This Row],[Dashboard Rated?]]="No","N","Y")</f>
        <v>N</v>
      </c>
      <c r="S190" s="22"/>
    </row>
    <row r="191" spans="1:19" x14ac:dyDescent="0.25">
      <c r="A191" s="72" t="s">
        <v>1869</v>
      </c>
      <c r="B191" t="s">
        <v>21</v>
      </c>
      <c r="C191" t="s">
        <v>1547</v>
      </c>
      <c r="D191" t="s">
        <v>1643</v>
      </c>
      <c r="E191" s="102">
        <v>1.75</v>
      </c>
      <c r="F191" s="101">
        <v>389963</v>
      </c>
      <c r="G191" s="102">
        <v>0.32174011419896853</v>
      </c>
      <c r="H191" s="101">
        <v>83202.631247714555</v>
      </c>
      <c r="I191" s="101">
        <v>24468.022035426176</v>
      </c>
      <c r="J191" s="101" t="s">
        <v>1867</v>
      </c>
      <c r="K191" t="str">
        <f>VLOOKUP(Historic_BCast_BASE[[#This Row],[Broadcast Market]],Continent_Look_Up[],2,FALSE)</f>
        <v>Africa &amp; Middle East</v>
      </c>
      <c r="L191" s="132" t="str">
        <f>IF(OR(Historic_BCast_BASE[[#This Row],[Broadcast Continent]]="Digital",Historic_BCast_BASE[[#This Row],[Programme Type]]="Digital"),"Y","N")</f>
        <v>N</v>
      </c>
      <c r="M191" s="132" t="str">
        <f>IF(ISNUMBER(SEARCH("Pan ",Historic_BCast_BASE[[#This Row],[Broadcast Market]]))=TRUE,"Y","N")</f>
        <v>Y</v>
      </c>
      <c r="N191" s="132" t="str">
        <f>VLOOKUP(CONCATENATE(Historic_BCast_BASE[[#This Row],[Broadcast Market]],Historic_BCast_BASE[[#This Row],[Broadcaster]]),Table1[[CC]:[Pay TV vs. Free-to-Air]],3,FALSE)</f>
        <v>Pay TV</v>
      </c>
      <c r="O191" s="133">
        <f>VLOOKUP(CONCATENATE(Historic_BCast_BASE[[#This Row],[Broadcast Market]],Historic_BCast_BASE[[#This Row],[Broadcaster]]),Table1[[CC]:[Pay TV vs. Free-to-Air]],2,FALSE)</f>
        <v>2185000</v>
      </c>
      <c r="P191" s="73">
        <f>Historic_BCast_BASE[[#This Row],[Rolex EXP]]*86400</f>
        <v>27798.345866790882</v>
      </c>
      <c r="Q191" s="19" t="str">
        <f>IF(Historic_BCast_BASE[[#This Row],[Dashboard Rated?]]="No","N","Y")</f>
        <v>N</v>
      </c>
      <c r="S191" s="22"/>
    </row>
    <row r="192" spans="1:19" x14ac:dyDescent="0.25">
      <c r="A192" s="72" t="s">
        <v>1869</v>
      </c>
      <c r="B192" t="s">
        <v>21</v>
      </c>
      <c r="C192" t="s">
        <v>1648</v>
      </c>
      <c r="D192" t="s">
        <v>1642</v>
      </c>
      <c r="E192" s="102">
        <v>0.56180555555555556</v>
      </c>
      <c r="F192" s="101">
        <v>122520</v>
      </c>
      <c r="G192" s="102">
        <v>5.6390007106960731E-2</v>
      </c>
      <c r="H192" s="101">
        <v>4021.3007144442659</v>
      </c>
      <c r="I192" s="101">
        <v>1197.4871158485967</v>
      </c>
      <c r="J192" s="101" t="s">
        <v>1867</v>
      </c>
      <c r="K192" t="str">
        <f>VLOOKUP(Historic_BCast_BASE[[#This Row],[Broadcast Market]],Continent_Look_Up[],2,FALSE)</f>
        <v>Africa &amp; Middle East</v>
      </c>
      <c r="L192" s="132" t="str">
        <f>IF(OR(Historic_BCast_BASE[[#This Row],[Broadcast Continent]]="Digital",Historic_BCast_BASE[[#This Row],[Programme Type]]="Digital"),"Y","N")</f>
        <v>N</v>
      </c>
      <c r="M192" s="132" t="str">
        <f>IF(ISNUMBER(SEARCH("Pan ",Historic_BCast_BASE[[#This Row],[Broadcast Market]]))=TRUE,"Y","N")</f>
        <v>Y</v>
      </c>
      <c r="N192" s="132" t="str">
        <f>VLOOKUP(CONCATENATE(Historic_BCast_BASE[[#This Row],[Broadcast Market]],Historic_BCast_BASE[[#This Row],[Broadcaster]]),Table1[[CC]:[Pay TV vs. Free-to-Air]],3,FALSE)</f>
        <v>Pay TV</v>
      </c>
      <c r="O192" s="133">
        <f>VLOOKUP(CONCATENATE(Historic_BCast_BASE[[#This Row],[Broadcast Market]],Historic_BCast_BASE[[#This Row],[Broadcaster]]),Table1[[CC]:[Pay TV vs. Free-to-Air]],2,FALSE)</f>
        <v>2185000</v>
      </c>
      <c r="P192" s="73">
        <f>Historic_BCast_BASE[[#This Row],[Rolex EXP]]*86400</f>
        <v>4872.0966140414075</v>
      </c>
      <c r="Q192" s="19" t="str">
        <f>IF(Historic_BCast_BASE[[#This Row],[Dashboard Rated?]]="No","N","Y")</f>
        <v>N</v>
      </c>
      <c r="S192" s="22"/>
    </row>
    <row r="193" spans="1:19" x14ac:dyDescent="0.25">
      <c r="A193" s="72" t="s">
        <v>1869</v>
      </c>
      <c r="B193" t="s">
        <v>21</v>
      </c>
      <c r="C193" t="s">
        <v>1648</v>
      </c>
      <c r="D193" t="s">
        <v>1643</v>
      </c>
      <c r="E193" s="102">
        <v>2.5</v>
      </c>
      <c r="F193" s="101">
        <v>531326</v>
      </c>
      <c r="G193" s="102">
        <v>0.24601644885401164</v>
      </c>
      <c r="H193" s="101">
        <v>59433.045285800108</v>
      </c>
      <c r="I193" s="101">
        <v>17373.161168049017</v>
      </c>
      <c r="J193" s="101" t="s">
        <v>1867</v>
      </c>
      <c r="K193" t="str">
        <f>VLOOKUP(Historic_BCast_BASE[[#This Row],[Broadcast Market]],Continent_Look_Up[],2,FALSE)</f>
        <v>Africa &amp; Middle East</v>
      </c>
      <c r="L193" s="132" t="str">
        <f>IF(OR(Historic_BCast_BASE[[#This Row],[Broadcast Continent]]="Digital",Historic_BCast_BASE[[#This Row],[Programme Type]]="Digital"),"Y","N")</f>
        <v>N</v>
      </c>
      <c r="M193" s="132" t="str">
        <f>IF(ISNUMBER(SEARCH("Pan ",Historic_BCast_BASE[[#This Row],[Broadcast Market]]))=TRUE,"Y","N")</f>
        <v>Y</v>
      </c>
      <c r="N193" s="132" t="str">
        <f>VLOOKUP(CONCATENATE(Historic_BCast_BASE[[#This Row],[Broadcast Market]],Historic_BCast_BASE[[#This Row],[Broadcaster]]),Table1[[CC]:[Pay TV vs. Free-to-Air]],3,FALSE)</f>
        <v>Pay TV</v>
      </c>
      <c r="O193" s="133">
        <f>VLOOKUP(CONCATENATE(Historic_BCast_BASE[[#This Row],[Broadcast Market]],Historic_BCast_BASE[[#This Row],[Broadcaster]]),Table1[[CC]:[Pay TV vs. Free-to-Air]],2,FALSE)</f>
        <v>2185000</v>
      </c>
      <c r="P193" s="73">
        <f>Historic_BCast_BASE[[#This Row],[Rolex EXP]]*86400</f>
        <v>21255.821180986604</v>
      </c>
      <c r="Q193" s="19" t="str">
        <f>IF(Historic_BCast_BASE[[#This Row],[Dashboard Rated?]]="No","N","Y")</f>
        <v>N</v>
      </c>
      <c r="S193" s="22"/>
    </row>
    <row r="194" spans="1:19" x14ac:dyDescent="0.25">
      <c r="A194" s="72" t="s">
        <v>1869</v>
      </c>
      <c r="B194" t="s">
        <v>21</v>
      </c>
      <c r="C194" t="s">
        <v>1648</v>
      </c>
      <c r="D194" t="s">
        <v>1644</v>
      </c>
      <c r="E194" s="102">
        <v>3.2881944444444446</v>
      </c>
      <c r="F194" s="101">
        <v>238257</v>
      </c>
      <c r="G194" s="102">
        <v>0.31731551407582087</v>
      </c>
      <c r="H194" s="101">
        <v>29317.594937230853</v>
      </c>
      <c r="I194" s="101">
        <v>8407.2556094837273</v>
      </c>
      <c r="J194" s="101" t="s">
        <v>1867</v>
      </c>
      <c r="K194" t="str">
        <f>VLOOKUP(Historic_BCast_BASE[[#This Row],[Broadcast Market]],Continent_Look_Up[],2,FALSE)</f>
        <v>Africa &amp; Middle East</v>
      </c>
      <c r="L194" s="132" t="str">
        <f>IF(OR(Historic_BCast_BASE[[#This Row],[Broadcast Continent]]="Digital",Historic_BCast_BASE[[#This Row],[Programme Type]]="Digital"),"Y","N")</f>
        <v>N</v>
      </c>
      <c r="M194" s="132" t="str">
        <f>IF(ISNUMBER(SEARCH("Pan ",Historic_BCast_BASE[[#This Row],[Broadcast Market]]))=TRUE,"Y","N")</f>
        <v>Y</v>
      </c>
      <c r="N194" s="132" t="str">
        <f>VLOOKUP(CONCATENATE(Historic_BCast_BASE[[#This Row],[Broadcast Market]],Historic_BCast_BASE[[#This Row],[Broadcaster]]),Table1[[CC]:[Pay TV vs. Free-to-Air]],3,FALSE)</f>
        <v>Pay TV</v>
      </c>
      <c r="O194" s="133">
        <f>VLOOKUP(CONCATENATE(Historic_BCast_BASE[[#This Row],[Broadcast Market]],Historic_BCast_BASE[[#This Row],[Broadcaster]]),Table1[[CC]:[Pay TV vs. Free-to-Air]],2,FALSE)</f>
        <v>2185000</v>
      </c>
      <c r="P194" s="73">
        <f>Historic_BCast_BASE[[#This Row],[Rolex EXP]]*86400</f>
        <v>27416.060416150922</v>
      </c>
      <c r="Q194" s="19" t="str">
        <f>IF(Historic_BCast_BASE[[#This Row],[Dashboard Rated?]]="No","N","Y")</f>
        <v>N</v>
      </c>
      <c r="S194" s="22"/>
    </row>
    <row r="195" spans="1:19" x14ac:dyDescent="0.25">
      <c r="A195" s="72" t="s">
        <v>1869</v>
      </c>
      <c r="B195" t="s">
        <v>21</v>
      </c>
      <c r="C195" t="s">
        <v>1647</v>
      </c>
      <c r="D195" t="s">
        <v>1642</v>
      </c>
      <c r="E195" s="102">
        <v>2.6958333333333333</v>
      </c>
      <c r="F195" s="101">
        <v>845390</v>
      </c>
      <c r="G195" s="102">
        <v>0.24397228908792887</v>
      </c>
      <c r="H195" s="101">
        <v>23550.099819494531</v>
      </c>
      <c r="I195" s="101">
        <v>6858.4594667242518</v>
      </c>
      <c r="J195" s="101" t="s">
        <v>1867</v>
      </c>
      <c r="K195" t="str">
        <f>VLOOKUP(Historic_BCast_BASE[[#This Row],[Broadcast Market]],Continent_Look_Up[],2,FALSE)</f>
        <v>Africa &amp; Middle East</v>
      </c>
      <c r="L195" s="132" t="str">
        <f>IF(OR(Historic_BCast_BASE[[#This Row],[Broadcast Continent]]="Digital",Historic_BCast_BASE[[#This Row],[Programme Type]]="Digital"),"Y","N")</f>
        <v>N</v>
      </c>
      <c r="M195" s="132" t="str">
        <f>IF(ISNUMBER(SEARCH("Pan ",Historic_BCast_BASE[[#This Row],[Broadcast Market]]))=TRUE,"Y","N")</f>
        <v>Y</v>
      </c>
      <c r="N195" s="132" t="str">
        <f>VLOOKUP(CONCATENATE(Historic_BCast_BASE[[#This Row],[Broadcast Market]],Historic_BCast_BASE[[#This Row],[Broadcaster]]),Table1[[CC]:[Pay TV vs. Free-to-Air]],3,FALSE)</f>
        <v>Pay TV</v>
      </c>
      <c r="O195" s="133">
        <f>VLOOKUP(CONCATENATE(Historic_BCast_BASE[[#This Row],[Broadcast Market]],Historic_BCast_BASE[[#This Row],[Broadcaster]]),Table1[[CC]:[Pay TV vs. Free-to-Air]],2,FALSE)</f>
        <v>2185000</v>
      </c>
      <c r="P195" s="73">
        <f>Historic_BCast_BASE[[#This Row],[Rolex EXP]]*86400</f>
        <v>21079.205777197054</v>
      </c>
      <c r="Q195" s="19" t="str">
        <f>IF(Historic_BCast_BASE[[#This Row],[Dashboard Rated?]]="No","N","Y")</f>
        <v>N</v>
      </c>
      <c r="S195" s="22"/>
    </row>
    <row r="196" spans="1:19" x14ac:dyDescent="0.25">
      <c r="A196" s="72" t="s">
        <v>1869</v>
      </c>
      <c r="B196" t="s">
        <v>21</v>
      </c>
      <c r="C196" t="s">
        <v>1647</v>
      </c>
      <c r="D196" t="s">
        <v>1643</v>
      </c>
      <c r="E196" s="102">
        <v>3.7395833333333335</v>
      </c>
      <c r="F196" s="101">
        <v>815963</v>
      </c>
      <c r="G196" s="102">
        <v>0.34224293461040767</v>
      </c>
      <c r="H196" s="101">
        <v>88708.418525854111</v>
      </c>
      <c r="I196" s="101">
        <v>26513.765139080264</v>
      </c>
      <c r="J196" s="101" t="s">
        <v>1867</v>
      </c>
      <c r="K196" t="str">
        <f>VLOOKUP(Historic_BCast_BASE[[#This Row],[Broadcast Market]],Continent_Look_Up[],2,FALSE)</f>
        <v>Africa &amp; Middle East</v>
      </c>
      <c r="L196" s="132" t="str">
        <f>IF(OR(Historic_BCast_BASE[[#This Row],[Broadcast Continent]]="Digital",Historic_BCast_BASE[[#This Row],[Programme Type]]="Digital"),"Y","N")</f>
        <v>N</v>
      </c>
      <c r="M196" s="132" t="str">
        <f>IF(ISNUMBER(SEARCH("Pan ",Historic_BCast_BASE[[#This Row],[Broadcast Market]]))=TRUE,"Y","N")</f>
        <v>Y</v>
      </c>
      <c r="N196" s="132" t="str">
        <f>VLOOKUP(CONCATENATE(Historic_BCast_BASE[[#This Row],[Broadcast Market]],Historic_BCast_BASE[[#This Row],[Broadcaster]]),Table1[[CC]:[Pay TV vs. Free-to-Air]],3,FALSE)</f>
        <v>Pay TV</v>
      </c>
      <c r="O196" s="133">
        <f>VLOOKUP(CONCATENATE(Historic_BCast_BASE[[#This Row],[Broadcast Market]],Historic_BCast_BASE[[#This Row],[Broadcaster]]),Table1[[CC]:[Pay TV vs. Free-to-Air]],2,FALSE)</f>
        <v>2185000</v>
      </c>
      <c r="P196" s="73">
        <f>Historic_BCast_BASE[[#This Row],[Rolex EXP]]*86400</f>
        <v>29569.789550339221</v>
      </c>
      <c r="Q196" s="19" t="str">
        <f>IF(Historic_BCast_BASE[[#This Row],[Dashboard Rated?]]="No","N","Y")</f>
        <v>N</v>
      </c>
      <c r="S196" s="22"/>
    </row>
    <row r="197" spans="1:19" x14ac:dyDescent="0.25">
      <c r="A197" s="72" t="s">
        <v>1869</v>
      </c>
      <c r="B197" t="s">
        <v>21</v>
      </c>
      <c r="C197" t="s">
        <v>1647</v>
      </c>
      <c r="D197" t="s">
        <v>1644</v>
      </c>
      <c r="E197" s="102">
        <v>4.8472222222222223</v>
      </c>
      <c r="F197" s="101">
        <v>370415</v>
      </c>
      <c r="G197" s="102">
        <v>0.44658511337739615</v>
      </c>
      <c r="H197" s="101">
        <v>40684.970168736778</v>
      </c>
      <c r="I197" s="101">
        <v>12124.306400209442</v>
      </c>
      <c r="J197" s="101" t="s">
        <v>1867</v>
      </c>
      <c r="K197" t="str">
        <f>VLOOKUP(Historic_BCast_BASE[[#This Row],[Broadcast Market]],Continent_Look_Up[],2,FALSE)</f>
        <v>Africa &amp; Middle East</v>
      </c>
      <c r="L197" s="132" t="str">
        <f>IF(OR(Historic_BCast_BASE[[#This Row],[Broadcast Continent]]="Digital",Historic_BCast_BASE[[#This Row],[Programme Type]]="Digital"),"Y","N")</f>
        <v>N</v>
      </c>
      <c r="M197" s="132" t="str">
        <f>IF(ISNUMBER(SEARCH("Pan ",Historic_BCast_BASE[[#This Row],[Broadcast Market]]))=TRUE,"Y","N")</f>
        <v>Y</v>
      </c>
      <c r="N197" s="132" t="str">
        <f>VLOOKUP(CONCATENATE(Historic_BCast_BASE[[#This Row],[Broadcast Market]],Historic_BCast_BASE[[#This Row],[Broadcaster]]),Table1[[CC]:[Pay TV vs. Free-to-Air]],3,FALSE)</f>
        <v>Pay TV</v>
      </c>
      <c r="O197" s="133">
        <f>VLOOKUP(CONCATENATE(Historic_BCast_BASE[[#This Row],[Broadcast Market]],Historic_BCast_BASE[[#This Row],[Broadcaster]]),Table1[[CC]:[Pay TV vs. Free-to-Air]],2,FALSE)</f>
        <v>2185000</v>
      </c>
      <c r="P197" s="73">
        <f>Historic_BCast_BASE[[#This Row],[Rolex EXP]]*86400</f>
        <v>38584.953795807029</v>
      </c>
      <c r="Q197" s="19" t="str">
        <f>IF(Historic_BCast_BASE[[#This Row],[Dashboard Rated?]]="No","N","Y")</f>
        <v>N</v>
      </c>
      <c r="S197" s="22"/>
    </row>
    <row r="198" spans="1:19" x14ac:dyDescent="0.25">
      <c r="A198" s="72" t="s">
        <v>1869</v>
      </c>
      <c r="B198" t="s">
        <v>97</v>
      </c>
      <c r="C198" t="s">
        <v>183</v>
      </c>
      <c r="D198" t="s">
        <v>1643</v>
      </c>
      <c r="E198" s="102">
        <v>0.49234953703703704</v>
      </c>
      <c r="F198" s="101">
        <v>9384</v>
      </c>
      <c r="G198" s="102">
        <v>3.9892710027580804E-2</v>
      </c>
      <c r="H198" s="101">
        <v>3480.675271994236</v>
      </c>
      <c r="I198" s="101">
        <v>1006.8143003668084</v>
      </c>
      <c r="J198" s="101" t="s">
        <v>1867</v>
      </c>
      <c r="K198" t="str">
        <f>VLOOKUP(Historic_BCast_BASE[[#This Row],[Broadcast Market]],Continent_Look_Up[],2,FALSE)</f>
        <v>Asia Pacific</v>
      </c>
      <c r="L198" s="132" t="str">
        <f>IF(OR(Historic_BCast_BASE[[#This Row],[Broadcast Continent]]="Digital",Historic_BCast_BASE[[#This Row],[Programme Type]]="Digital"),"Y","N")</f>
        <v>N</v>
      </c>
      <c r="M198" s="132" t="str">
        <f>IF(ISNUMBER(SEARCH("Pan ",Historic_BCast_BASE[[#This Row],[Broadcast Market]]))=TRUE,"Y","N")</f>
        <v>Y</v>
      </c>
      <c r="N198" s="132" t="str">
        <f>VLOOKUP(CONCATENATE(Historic_BCast_BASE[[#This Row],[Broadcast Market]],Historic_BCast_BASE[[#This Row],[Broadcaster]]),Table1[[CC]:[Pay TV vs. Free-to-Air]],3,FALSE)</f>
        <v>Pay TV</v>
      </c>
      <c r="O198" s="133">
        <f>VLOOKUP(CONCATENATE(Historic_BCast_BASE[[#This Row],[Broadcast Market]],Historic_BCast_BASE[[#This Row],[Broadcaster]]),Table1[[CC]:[Pay TV vs. Free-to-Air]],2,FALSE)</f>
        <v>805000</v>
      </c>
      <c r="P198" s="73">
        <f>Historic_BCast_BASE[[#This Row],[Rolex EXP]]*86400</f>
        <v>3446.7301463829813</v>
      </c>
      <c r="Q198" s="19" t="str">
        <f>IF(Historic_BCast_BASE[[#This Row],[Dashboard Rated?]]="No","N","Y")</f>
        <v>N</v>
      </c>
      <c r="S198" s="22"/>
    </row>
    <row r="199" spans="1:19" x14ac:dyDescent="0.25">
      <c r="A199" s="72" t="s">
        <v>1869</v>
      </c>
      <c r="B199" t="s">
        <v>97</v>
      </c>
      <c r="C199" t="s">
        <v>185</v>
      </c>
      <c r="D199" t="s">
        <v>1642</v>
      </c>
      <c r="E199" s="102">
        <v>0.29166666666666669</v>
      </c>
      <c r="F199" s="101">
        <v>28910</v>
      </c>
      <c r="G199" s="102">
        <v>2.7866154103225335E-2</v>
      </c>
      <c r="H199" s="101">
        <v>2140.1245569488265</v>
      </c>
      <c r="I199" s="101">
        <v>614.81765448730664</v>
      </c>
      <c r="J199" s="101" t="s">
        <v>1867</v>
      </c>
      <c r="K199" t="str">
        <f>VLOOKUP(Historic_BCast_BASE[[#This Row],[Broadcast Market]],Continent_Look_Up[],2,FALSE)</f>
        <v>Asia Pacific</v>
      </c>
      <c r="L199" s="132" t="str">
        <f>IF(OR(Historic_BCast_BASE[[#This Row],[Broadcast Continent]]="Digital",Historic_BCast_BASE[[#This Row],[Programme Type]]="Digital"),"Y","N")</f>
        <v>N</v>
      </c>
      <c r="M199" s="132" t="str">
        <f>IF(ISNUMBER(SEARCH("Pan ",Historic_BCast_BASE[[#This Row],[Broadcast Market]]))=TRUE,"Y","N")</f>
        <v>Y</v>
      </c>
      <c r="N199" s="132" t="str">
        <f>VLOOKUP(CONCATENATE(Historic_BCast_BASE[[#This Row],[Broadcast Market]],Historic_BCast_BASE[[#This Row],[Broadcaster]]),Table1[[CC]:[Pay TV vs. Free-to-Air]],3,FALSE)</f>
        <v>Pay TV</v>
      </c>
      <c r="O199" s="133">
        <f>VLOOKUP(CONCATENATE(Historic_BCast_BASE[[#This Row],[Broadcast Market]],Historic_BCast_BASE[[#This Row],[Broadcaster]]),Table1[[CC]:[Pay TV vs. Free-to-Air]],2,FALSE)</f>
        <v>805000</v>
      </c>
      <c r="P199" s="73">
        <f>Historic_BCast_BASE[[#This Row],[Rolex EXP]]*86400</f>
        <v>2407.6357145186689</v>
      </c>
      <c r="Q199" s="19" t="str">
        <f>IF(Historic_BCast_BASE[[#This Row],[Dashboard Rated?]]="No","N","Y")</f>
        <v>N</v>
      </c>
      <c r="S199" s="22"/>
    </row>
    <row r="200" spans="1:19" x14ac:dyDescent="0.25">
      <c r="A200" s="72" t="s">
        <v>1869</v>
      </c>
      <c r="B200" t="s">
        <v>97</v>
      </c>
      <c r="C200" t="s">
        <v>185</v>
      </c>
      <c r="D200" t="s">
        <v>1643</v>
      </c>
      <c r="E200" s="102">
        <v>4.645833333333333</v>
      </c>
      <c r="F200" s="101">
        <v>58650</v>
      </c>
      <c r="G200" s="102">
        <v>0.44386802607280357</v>
      </c>
      <c r="H200" s="101">
        <v>38727.88941419006</v>
      </c>
      <c r="I200" s="101">
        <v>11125.796419448998</v>
      </c>
      <c r="J200" s="101" t="s">
        <v>1867</v>
      </c>
      <c r="K200" t="str">
        <f>VLOOKUP(Historic_BCast_BASE[[#This Row],[Broadcast Market]],Continent_Look_Up[],2,FALSE)</f>
        <v>Asia Pacific</v>
      </c>
      <c r="L200" s="132" t="str">
        <f>IF(OR(Historic_BCast_BASE[[#This Row],[Broadcast Continent]]="Digital",Historic_BCast_BASE[[#This Row],[Programme Type]]="Digital"),"Y","N")</f>
        <v>N</v>
      </c>
      <c r="M200" s="132" t="str">
        <f>IF(ISNUMBER(SEARCH("Pan ",Historic_BCast_BASE[[#This Row],[Broadcast Market]]))=TRUE,"Y","N")</f>
        <v>Y</v>
      </c>
      <c r="N200" s="132" t="str">
        <f>VLOOKUP(CONCATENATE(Historic_BCast_BASE[[#This Row],[Broadcast Market]],Historic_BCast_BASE[[#This Row],[Broadcaster]]),Table1[[CC]:[Pay TV vs. Free-to-Air]],3,FALSE)</f>
        <v>Pay TV</v>
      </c>
      <c r="O200" s="133">
        <f>VLOOKUP(CONCATENATE(Historic_BCast_BASE[[#This Row],[Broadcast Market]],Historic_BCast_BASE[[#This Row],[Broadcaster]]),Table1[[CC]:[Pay TV vs. Free-to-Air]],2,FALSE)</f>
        <v>805000</v>
      </c>
      <c r="P200" s="73">
        <f>Historic_BCast_BASE[[#This Row],[Rolex EXP]]*86400</f>
        <v>38350.197452690227</v>
      </c>
      <c r="Q200" s="19" t="str">
        <f>IF(Historic_BCast_BASE[[#This Row],[Dashboard Rated?]]="No","N","Y")</f>
        <v>N</v>
      </c>
      <c r="S200" s="22"/>
    </row>
    <row r="201" spans="1:19" x14ac:dyDescent="0.25">
      <c r="A201" s="72" t="s">
        <v>1869</v>
      </c>
      <c r="B201" t="s">
        <v>97</v>
      </c>
      <c r="C201" t="s">
        <v>185</v>
      </c>
      <c r="D201" t="s">
        <v>1644</v>
      </c>
      <c r="E201" s="102">
        <v>4.145833333333333</v>
      </c>
      <c r="F201" s="101">
        <v>74358</v>
      </c>
      <c r="G201" s="102">
        <v>0.40081453235872688</v>
      </c>
      <c r="H201" s="101">
        <v>28888.002123462418</v>
      </c>
      <c r="I201" s="101">
        <v>8229.0176077438591</v>
      </c>
      <c r="J201" s="101" t="s">
        <v>1867</v>
      </c>
      <c r="K201" t="str">
        <f>VLOOKUP(Historic_BCast_BASE[[#This Row],[Broadcast Market]],Continent_Look_Up[],2,FALSE)</f>
        <v>Asia Pacific</v>
      </c>
      <c r="L201" s="132" t="str">
        <f>IF(OR(Historic_BCast_BASE[[#This Row],[Broadcast Continent]]="Digital",Historic_BCast_BASE[[#This Row],[Programme Type]]="Digital"),"Y","N")</f>
        <v>N</v>
      </c>
      <c r="M201" s="132" t="str">
        <f>IF(ISNUMBER(SEARCH("Pan ",Historic_BCast_BASE[[#This Row],[Broadcast Market]]))=TRUE,"Y","N")</f>
        <v>Y</v>
      </c>
      <c r="N201" s="132" t="str">
        <f>VLOOKUP(CONCATENATE(Historic_BCast_BASE[[#This Row],[Broadcast Market]],Historic_BCast_BASE[[#This Row],[Broadcaster]]),Table1[[CC]:[Pay TV vs. Free-to-Air]],3,FALSE)</f>
        <v>Pay TV</v>
      </c>
      <c r="O201" s="133">
        <f>VLOOKUP(CONCATENATE(Historic_BCast_BASE[[#This Row],[Broadcast Market]],Historic_BCast_BASE[[#This Row],[Broadcaster]]),Table1[[CC]:[Pay TV vs. Free-to-Air]],2,FALSE)</f>
        <v>805000</v>
      </c>
      <c r="P201" s="73">
        <f>Historic_BCast_BASE[[#This Row],[Rolex EXP]]*86400</f>
        <v>34630.375595794001</v>
      </c>
      <c r="Q201" s="19" t="str">
        <f>IF(Historic_BCast_BASE[[#This Row],[Dashboard Rated?]]="No","N","Y")</f>
        <v>N</v>
      </c>
      <c r="S201" s="22"/>
    </row>
    <row r="202" spans="1:19" x14ac:dyDescent="0.25">
      <c r="A202" s="72" t="s">
        <v>1869</v>
      </c>
      <c r="B202" t="s">
        <v>99</v>
      </c>
      <c r="C202" t="s">
        <v>194</v>
      </c>
      <c r="D202" t="s">
        <v>1642</v>
      </c>
      <c r="E202" s="102">
        <v>2.6181712962962962</v>
      </c>
      <c r="F202" s="101">
        <v>165000</v>
      </c>
      <c r="G202" s="102">
        <v>0.25014296506708744</v>
      </c>
      <c r="H202" s="101">
        <v>29491.440136755547</v>
      </c>
      <c r="I202" s="101">
        <v>8472.3377400909048</v>
      </c>
      <c r="J202" s="101" t="s">
        <v>1868</v>
      </c>
      <c r="K202" t="str">
        <f>VLOOKUP(Historic_BCast_BASE[[#This Row],[Broadcast Market]],Continent_Look_Up[],2,FALSE)</f>
        <v>Asia Pacific</v>
      </c>
      <c r="L202" s="132" t="str">
        <f>IF(OR(Historic_BCast_BASE[[#This Row],[Broadcast Continent]]="Digital",Historic_BCast_BASE[[#This Row],[Programme Type]]="Digital"),"Y","N")</f>
        <v>N</v>
      </c>
      <c r="M202" s="132" t="str">
        <f>IF(ISNUMBER(SEARCH("Pan ",Historic_BCast_BASE[[#This Row],[Broadcast Market]]))=TRUE,"Y","N")</f>
        <v>N</v>
      </c>
      <c r="N202" s="132" t="str">
        <f>VLOOKUP(CONCATENATE(Historic_BCast_BASE[[#This Row],[Broadcast Market]],Historic_BCast_BASE[[#This Row],[Broadcaster]]),Table1[[CC]:[Pay TV vs. Free-to-Air]],3,FALSE)</f>
        <v>Pay TV</v>
      </c>
      <c r="O202" s="133">
        <f>VLOOKUP(CONCATENATE(Historic_BCast_BASE[[#This Row],[Broadcast Market]],Historic_BCast_BASE[[#This Row],[Broadcaster]]),Table1[[CC]:[Pay TV vs. Free-to-Air]],2,FALSE)</f>
        <v>2274000</v>
      </c>
      <c r="P202" s="73">
        <f>Historic_BCast_BASE[[#This Row],[Rolex EXP]]*86400</f>
        <v>21612.352181796356</v>
      </c>
      <c r="Q202" s="19" t="str">
        <f>IF(Historic_BCast_BASE[[#This Row],[Dashboard Rated?]]="No","N","Y")</f>
        <v>Y</v>
      </c>
      <c r="S202" s="22"/>
    </row>
    <row r="203" spans="1:19" x14ac:dyDescent="0.25">
      <c r="A203" s="72" t="s">
        <v>1869</v>
      </c>
      <c r="B203" t="s">
        <v>99</v>
      </c>
      <c r="C203" t="s">
        <v>194</v>
      </c>
      <c r="D203" t="s">
        <v>1643</v>
      </c>
      <c r="E203" s="102">
        <v>3.214479166666667</v>
      </c>
      <c r="F203" s="101">
        <v>67000</v>
      </c>
      <c r="G203" s="102">
        <v>0.30551033642135178</v>
      </c>
      <c r="H203" s="101">
        <v>55884.599785998442</v>
      </c>
      <c r="I203" s="101">
        <v>16160.473300183301</v>
      </c>
      <c r="J203" s="101" t="s">
        <v>1868</v>
      </c>
      <c r="K203" t="str">
        <f>VLOOKUP(Historic_BCast_BASE[[#This Row],[Broadcast Market]],Continent_Look_Up[],2,FALSE)</f>
        <v>Asia Pacific</v>
      </c>
      <c r="L203" s="132" t="str">
        <f>IF(OR(Historic_BCast_BASE[[#This Row],[Broadcast Continent]]="Digital",Historic_BCast_BASE[[#This Row],[Programme Type]]="Digital"),"Y","N")</f>
        <v>N</v>
      </c>
      <c r="M203" s="132" t="str">
        <f>IF(ISNUMBER(SEARCH("Pan ",Historic_BCast_BASE[[#This Row],[Broadcast Market]]))=TRUE,"Y","N")</f>
        <v>N</v>
      </c>
      <c r="N203" s="132" t="str">
        <f>VLOOKUP(CONCATENATE(Historic_BCast_BASE[[#This Row],[Broadcast Market]],Historic_BCast_BASE[[#This Row],[Broadcaster]]),Table1[[CC]:[Pay TV vs. Free-to-Air]],3,FALSE)</f>
        <v>Pay TV</v>
      </c>
      <c r="O203" s="133">
        <f>VLOOKUP(CONCATENATE(Historic_BCast_BASE[[#This Row],[Broadcast Market]],Historic_BCast_BASE[[#This Row],[Broadcaster]]),Table1[[CC]:[Pay TV vs. Free-to-Air]],2,FALSE)</f>
        <v>2274000</v>
      </c>
      <c r="P203" s="73">
        <f>Historic_BCast_BASE[[#This Row],[Rolex EXP]]*86400</f>
        <v>26396.093066804795</v>
      </c>
      <c r="Q203" s="19" t="str">
        <f>IF(Historic_BCast_BASE[[#This Row],[Dashboard Rated?]]="No","N","Y")</f>
        <v>Y</v>
      </c>
      <c r="S203" s="22"/>
    </row>
    <row r="204" spans="1:19" x14ac:dyDescent="0.25">
      <c r="A204" s="72" t="s">
        <v>1869</v>
      </c>
      <c r="B204" t="s">
        <v>99</v>
      </c>
      <c r="C204" t="s">
        <v>225</v>
      </c>
      <c r="D204" t="s">
        <v>1642</v>
      </c>
      <c r="E204" s="102">
        <v>0.20833333333333334</v>
      </c>
      <c r="F204" s="101">
        <v>7416</v>
      </c>
      <c r="G204" s="102">
        <v>1.58097502594658E-2</v>
      </c>
      <c r="H204" s="101">
        <v>774.07002167854944</v>
      </c>
      <c r="I204" s="101">
        <v>221.44791409326791</v>
      </c>
      <c r="J204" s="101" t="s">
        <v>1867</v>
      </c>
      <c r="K204" t="str">
        <f>VLOOKUP(Historic_BCast_BASE[[#This Row],[Broadcast Market]],Continent_Look_Up[],2,FALSE)</f>
        <v>Asia Pacific</v>
      </c>
      <c r="L204" s="132" t="str">
        <f>IF(OR(Historic_BCast_BASE[[#This Row],[Broadcast Continent]]="Digital",Historic_BCast_BASE[[#This Row],[Programme Type]]="Digital"),"Y","N")</f>
        <v>N</v>
      </c>
      <c r="M204" s="132" t="str">
        <f>IF(ISNUMBER(SEARCH("Pan ",Historic_BCast_BASE[[#This Row],[Broadcast Market]]))=TRUE,"Y","N")</f>
        <v>N</v>
      </c>
      <c r="N204" s="132" t="str">
        <f>VLOOKUP(CONCATENATE(Historic_BCast_BASE[[#This Row],[Broadcast Market]],Historic_BCast_BASE[[#This Row],[Broadcaster]]),Table1[[CC]:[Pay TV vs. Free-to-Air]],3,FALSE)</f>
        <v>Pay TV</v>
      </c>
      <c r="O204" s="133">
        <f>VLOOKUP(CONCATENATE(Historic_BCast_BASE[[#This Row],[Broadcast Market]],Historic_BCast_BASE[[#This Row],[Broadcaster]]),Table1[[CC]:[Pay TV vs. Free-to-Air]],2,FALSE)</f>
        <v>2274000</v>
      </c>
      <c r="P204" s="235">
        <f>Historic_BCast_BASE[[#This Row],[Rolex EXP]]*86400</f>
        <v>1365.9624224178451</v>
      </c>
      <c r="Q204" s="19" t="str">
        <f>IF(Historic_BCast_BASE[[#This Row],[Dashboard Rated?]]="No","N","Y")</f>
        <v>N</v>
      </c>
      <c r="S204" s="22"/>
    </row>
    <row r="205" spans="1:19" x14ac:dyDescent="0.25">
      <c r="A205" s="72" t="s">
        <v>1869</v>
      </c>
      <c r="B205" t="s">
        <v>99</v>
      </c>
      <c r="C205" t="s">
        <v>225</v>
      </c>
      <c r="D205" t="s">
        <v>1643</v>
      </c>
      <c r="E205" s="102">
        <v>2.5625</v>
      </c>
      <c r="F205" s="101">
        <v>11253</v>
      </c>
      <c r="G205" s="102">
        <v>0.24482406819262259</v>
      </c>
      <c r="H205" s="101">
        <v>15285.669385589837</v>
      </c>
      <c r="I205" s="101">
        <v>4391.2861839758298</v>
      </c>
      <c r="J205" s="101" t="s">
        <v>1867</v>
      </c>
      <c r="K205" t="str">
        <f>VLOOKUP(Historic_BCast_BASE[[#This Row],[Broadcast Market]],Continent_Look_Up[],2,FALSE)</f>
        <v>Asia Pacific</v>
      </c>
      <c r="L205" s="132" t="str">
        <f>IF(OR(Historic_BCast_BASE[[#This Row],[Broadcast Continent]]="Digital",Historic_BCast_BASE[[#This Row],[Programme Type]]="Digital"),"Y","N")</f>
        <v>N</v>
      </c>
      <c r="M205" s="132" t="str">
        <f>IF(ISNUMBER(SEARCH("Pan ",Historic_BCast_BASE[[#This Row],[Broadcast Market]]))=TRUE,"Y","N")</f>
        <v>N</v>
      </c>
      <c r="N205" s="132" t="str">
        <f>VLOOKUP(CONCATENATE(Historic_BCast_BASE[[#This Row],[Broadcast Market]],Historic_BCast_BASE[[#This Row],[Broadcaster]]),Table1[[CC]:[Pay TV vs. Free-to-Air]],3,FALSE)</f>
        <v>Pay TV</v>
      </c>
      <c r="O205" s="133">
        <f>VLOOKUP(CONCATENATE(Historic_BCast_BASE[[#This Row],[Broadcast Market]],Historic_BCast_BASE[[#This Row],[Broadcaster]]),Table1[[CC]:[Pay TV vs. Free-to-Air]],2,FALSE)</f>
        <v>2274000</v>
      </c>
      <c r="P205" s="235">
        <f>Historic_BCast_BASE[[#This Row],[Rolex EXP]]*86400</f>
        <v>21152.79949184259</v>
      </c>
      <c r="Q205" s="19" t="str">
        <f>IF(Historic_BCast_BASE[[#This Row],[Dashboard Rated?]]="No","N","Y")</f>
        <v>N</v>
      </c>
      <c r="S205" s="22"/>
    </row>
    <row r="206" spans="1:19" x14ac:dyDescent="0.25">
      <c r="A206" s="72" t="s">
        <v>1869</v>
      </c>
      <c r="B206" t="s">
        <v>99</v>
      </c>
      <c r="C206" t="s">
        <v>197</v>
      </c>
      <c r="D206" t="s">
        <v>1643</v>
      </c>
      <c r="E206" s="102">
        <v>0.50694444444444442</v>
      </c>
      <c r="F206" s="101">
        <v>1490</v>
      </c>
      <c r="G206" s="102">
        <v>4.8434029750844036E-2</v>
      </c>
      <c r="H206" s="101">
        <v>3019.4744213852177</v>
      </c>
      <c r="I206" s="101">
        <v>867.4383813375714</v>
      </c>
      <c r="J206" s="101" t="s">
        <v>1867</v>
      </c>
      <c r="K206" t="str">
        <f>VLOOKUP(Historic_BCast_BASE[[#This Row],[Broadcast Market]],Continent_Look_Up[],2,FALSE)</f>
        <v>Asia Pacific</v>
      </c>
      <c r="L206" s="132" t="str">
        <f>IF(OR(Historic_BCast_BASE[[#This Row],[Broadcast Continent]]="Digital",Historic_BCast_BASE[[#This Row],[Programme Type]]="Digital"),"Y","N")</f>
        <v>N</v>
      </c>
      <c r="M206" s="132" t="str">
        <f>IF(ISNUMBER(SEARCH("Pan ",Historic_BCast_BASE[[#This Row],[Broadcast Market]]))=TRUE,"Y","N")</f>
        <v>N</v>
      </c>
      <c r="N206" s="132" t="str">
        <f>VLOOKUP(CONCATENATE(Historic_BCast_BASE[[#This Row],[Broadcast Market]],Historic_BCast_BASE[[#This Row],[Broadcaster]]),Table1[[CC]:[Pay TV vs. Free-to-Air]],3,FALSE)</f>
        <v>Pay TV</v>
      </c>
      <c r="O206" s="133">
        <f>VLOOKUP(CONCATENATE(Historic_BCast_BASE[[#This Row],[Broadcast Market]],Historic_BCast_BASE[[#This Row],[Broadcaster]]),Table1[[CC]:[Pay TV vs. Free-to-Air]],2,FALSE)</f>
        <v>2274000</v>
      </c>
      <c r="P206" s="235">
        <f>Historic_BCast_BASE[[#This Row],[Rolex EXP]]*86400</f>
        <v>4184.7001704729246</v>
      </c>
      <c r="Q206" s="19" t="str">
        <f>IF(Historic_BCast_BASE[[#This Row],[Dashboard Rated?]]="No","N","Y")</f>
        <v>N</v>
      </c>
      <c r="S206" s="22"/>
    </row>
    <row r="207" spans="1:19" x14ac:dyDescent="0.25">
      <c r="A207" s="72" t="s">
        <v>1869</v>
      </c>
      <c r="B207" t="s">
        <v>100</v>
      </c>
      <c r="C207" t="s">
        <v>268</v>
      </c>
      <c r="D207" t="s">
        <v>1642</v>
      </c>
      <c r="E207" s="102">
        <v>0.64586805555555549</v>
      </c>
      <c r="F207" s="101">
        <v>195800</v>
      </c>
      <c r="G207" s="102">
        <v>5.7362320497240209E-2</v>
      </c>
      <c r="H207" s="101">
        <v>3593.7042028497735</v>
      </c>
      <c r="I207" s="101">
        <v>1087.116042622828</v>
      </c>
      <c r="J207" s="101" t="s">
        <v>1868</v>
      </c>
      <c r="K207" t="str">
        <f>VLOOKUP(Historic_BCast_BASE[[#This Row],[Broadcast Market]],Continent_Look_Up[],2,FALSE)</f>
        <v>Europe</v>
      </c>
      <c r="L207" s="132" t="str">
        <f>IF(OR(Historic_BCast_BASE[[#This Row],[Broadcast Continent]]="Digital",Historic_BCast_BASE[[#This Row],[Programme Type]]="Digital"),"Y","N")</f>
        <v>N</v>
      </c>
      <c r="M207" s="132" t="str">
        <f>IF(ISNUMBER(SEARCH("Pan ",Historic_BCast_BASE[[#This Row],[Broadcast Market]]))=TRUE,"Y","N")</f>
        <v>N</v>
      </c>
      <c r="N207" s="132" t="str">
        <f>VLOOKUP(CONCATENATE(Historic_BCast_BASE[[#This Row],[Broadcast Market]],Historic_BCast_BASE[[#This Row],[Broadcaster]]),Table1[[CC]:[Pay TV vs. Free-to-Air]],3,FALSE)</f>
        <v>Pay TV</v>
      </c>
      <c r="O207" s="133">
        <f>VLOOKUP(CONCATENATE(Historic_BCast_BASE[[#This Row],[Broadcast Market]],Historic_BCast_BASE[[#This Row],[Broadcaster]]),Table1[[CC]:[Pay TV vs. Free-to-Air]],2,FALSE)</f>
        <v>8671000</v>
      </c>
      <c r="P207" s="235">
        <f>Historic_BCast_BASE[[#This Row],[Rolex EXP]]*86400</f>
        <v>4956.1044909615539</v>
      </c>
      <c r="Q207" s="19" t="str">
        <f>IF(Historic_BCast_BASE[[#This Row],[Dashboard Rated?]]="No","N","Y")</f>
        <v>Y</v>
      </c>
      <c r="S207" s="22"/>
    </row>
    <row r="208" spans="1:19" x14ac:dyDescent="0.25">
      <c r="A208" s="72" t="s">
        <v>1869</v>
      </c>
      <c r="B208" t="s">
        <v>100</v>
      </c>
      <c r="C208" t="s">
        <v>268</v>
      </c>
      <c r="D208" t="s">
        <v>1643</v>
      </c>
      <c r="E208" s="102">
        <v>5.8221643518518507</v>
      </c>
      <c r="F208" s="101">
        <v>1935507</v>
      </c>
      <c r="G208" s="102">
        <v>0.56096087892382207</v>
      </c>
      <c r="H208" s="101">
        <v>126527.14267458311</v>
      </c>
      <c r="I208" s="101">
        <v>37640.239814446279</v>
      </c>
      <c r="J208" s="101" t="s">
        <v>1868</v>
      </c>
      <c r="K208" t="str">
        <f>VLOOKUP(Historic_BCast_BASE[[#This Row],[Broadcast Market]],Continent_Look_Up[],2,FALSE)</f>
        <v>Europe</v>
      </c>
      <c r="L208" s="132" t="str">
        <f>IF(OR(Historic_BCast_BASE[[#This Row],[Broadcast Continent]]="Digital",Historic_BCast_BASE[[#This Row],[Programme Type]]="Digital"),"Y","N")</f>
        <v>N</v>
      </c>
      <c r="M208" s="132" t="str">
        <f>IF(ISNUMBER(SEARCH("Pan ",Historic_BCast_BASE[[#This Row],[Broadcast Market]]))=TRUE,"Y","N")</f>
        <v>N</v>
      </c>
      <c r="N208" s="132" t="str">
        <f>VLOOKUP(CONCATENATE(Historic_BCast_BASE[[#This Row],[Broadcast Market]],Historic_BCast_BASE[[#This Row],[Broadcaster]]),Table1[[CC]:[Pay TV vs. Free-to-Air]],3,FALSE)</f>
        <v>Pay TV</v>
      </c>
      <c r="O208" s="133">
        <f>VLOOKUP(CONCATENATE(Historic_BCast_BASE[[#This Row],[Broadcast Market]],Historic_BCast_BASE[[#This Row],[Broadcaster]]),Table1[[CC]:[Pay TV vs. Free-to-Air]],2,FALSE)</f>
        <v>8671000</v>
      </c>
      <c r="P208" s="235">
        <f>Historic_BCast_BASE[[#This Row],[Rolex EXP]]*86400</f>
        <v>48467.019939018224</v>
      </c>
      <c r="Q208" s="19" t="str">
        <f>IF(Historic_BCast_BASE[[#This Row],[Dashboard Rated?]]="No","N","Y")</f>
        <v>Y</v>
      </c>
      <c r="S208" s="22"/>
    </row>
    <row r="209" spans="1:19" x14ac:dyDescent="0.25">
      <c r="A209" s="72" t="s">
        <v>1869</v>
      </c>
      <c r="B209" t="s">
        <v>100</v>
      </c>
      <c r="C209" t="s">
        <v>268</v>
      </c>
      <c r="D209" t="s">
        <v>1644</v>
      </c>
      <c r="E209" s="102">
        <v>2.052835648148148</v>
      </c>
      <c r="F209" s="101">
        <v>571400</v>
      </c>
      <c r="G209" s="102">
        <v>0.16543182248450664</v>
      </c>
      <c r="H209" s="101">
        <v>11704.439774945558</v>
      </c>
      <c r="I209" s="101">
        <v>3519.9795738894932</v>
      </c>
      <c r="J209" s="101" t="s">
        <v>1868</v>
      </c>
      <c r="K209" t="str">
        <f>VLOOKUP(Historic_BCast_BASE[[#This Row],[Broadcast Market]],Continent_Look_Up[],2,FALSE)</f>
        <v>Europe</v>
      </c>
      <c r="L209" s="132" t="str">
        <f>IF(OR(Historic_BCast_BASE[[#This Row],[Broadcast Continent]]="Digital",Historic_BCast_BASE[[#This Row],[Programme Type]]="Digital"),"Y","N")</f>
        <v>N</v>
      </c>
      <c r="M209" s="132" t="str">
        <f>IF(ISNUMBER(SEARCH("Pan ",Historic_BCast_BASE[[#This Row],[Broadcast Market]]))=TRUE,"Y","N")</f>
        <v>N</v>
      </c>
      <c r="N209" s="132" t="str">
        <f>VLOOKUP(CONCATENATE(Historic_BCast_BASE[[#This Row],[Broadcast Market]],Historic_BCast_BASE[[#This Row],[Broadcaster]]),Table1[[CC]:[Pay TV vs. Free-to-Air]],3,FALSE)</f>
        <v>Pay TV</v>
      </c>
      <c r="O209" s="133">
        <f>VLOOKUP(CONCATENATE(Historic_BCast_BASE[[#This Row],[Broadcast Market]],Historic_BCast_BASE[[#This Row],[Broadcaster]]),Table1[[CC]:[Pay TV vs. Free-to-Air]],2,FALSE)</f>
        <v>8671000</v>
      </c>
      <c r="P209" s="235">
        <f>Historic_BCast_BASE[[#This Row],[Rolex EXP]]*86400</f>
        <v>14293.309462661373</v>
      </c>
      <c r="Q209" s="19" t="str">
        <f>IF(Historic_BCast_BASE[[#This Row],[Dashboard Rated?]]="No","N","Y")</f>
        <v>Y</v>
      </c>
      <c r="S209" s="22"/>
    </row>
    <row r="210" spans="1:19" x14ac:dyDescent="0.25">
      <c r="A210" s="72" t="s">
        <v>1869</v>
      </c>
      <c r="B210" t="s">
        <v>100</v>
      </c>
      <c r="C210" t="s">
        <v>269</v>
      </c>
      <c r="D210" t="s">
        <v>1642</v>
      </c>
      <c r="E210" s="102">
        <v>7.6909722222222227E-2</v>
      </c>
      <c r="F210" s="101">
        <v>6000</v>
      </c>
      <c r="G210" s="102">
        <v>7.3480394450766784E-3</v>
      </c>
      <c r="H210" s="101">
        <v>139.33005030093287</v>
      </c>
      <c r="I210" s="101">
        <v>40.026910792401296</v>
      </c>
      <c r="J210" s="101" t="s">
        <v>1868</v>
      </c>
      <c r="K210" t="str">
        <f>VLOOKUP(Historic_BCast_BASE[[#This Row],[Broadcast Market]],Continent_Look_Up[],2,FALSE)</f>
        <v>Europe</v>
      </c>
      <c r="L210" s="132" t="str">
        <f>IF(OR(Historic_BCast_BASE[[#This Row],[Broadcast Continent]]="Digital",Historic_BCast_BASE[[#This Row],[Programme Type]]="Digital"),"Y","N")</f>
        <v>N</v>
      </c>
      <c r="M210" s="132" t="str">
        <f>IF(ISNUMBER(SEARCH("Pan ",Historic_BCast_BASE[[#This Row],[Broadcast Market]]))=TRUE,"Y","N")</f>
        <v>N</v>
      </c>
      <c r="N210" s="132" t="str">
        <f>VLOOKUP(CONCATENATE(Historic_BCast_BASE[[#This Row],[Broadcast Market]],Historic_BCast_BASE[[#This Row],[Broadcaster]]),Table1[[CC]:[Pay TV vs. Free-to-Air]],3,FALSE)</f>
        <v>Pay TV</v>
      </c>
      <c r="O210" s="133">
        <f>VLOOKUP(CONCATENATE(Historic_BCast_BASE[[#This Row],[Broadcast Market]],Historic_BCast_BASE[[#This Row],[Broadcaster]]),Table1[[CC]:[Pay TV vs. Free-to-Air]],2,FALSE)</f>
        <v>4406000</v>
      </c>
      <c r="P210" s="235">
        <f>Historic_BCast_BASE[[#This Row],[Rolex EXP]]*86400</f>
        <v>634.870608054625</v>
      </c>
      <c r="Q210" s="19" t="str">
        <f>IF(Historic_BCast_BASE[[#This Row],[Dashboard Rated?]]="No","N","Y")</f>
        <v>Y</v>
      </c>
      <c r="S210" s="22"/>
    </row>
    <row r="211" spans="1:19" x14ac:dyDescent="0.25">
      <c r="A211" s="72" t="s">
        <v>1869</v>
      </c>
      <c r="B211" t="s">
        <v>100</v>
      </c>
      <c r="C211" t="s">
        <v>269</v>
      </c>
      <c r="D211" t="s">
        <v>1643</v>
      </c>
      <c r="E211" s="102">
        <v>2.7807291666666667</v>
      </c>
      <c r="F211" s="101">
        <v>237865</v>
      </c>
      <c r="G211" s="102">
        <v>0.32527002824413848</v>
      </c>
      <c r="H211" s="101">
        <v>14308.784837684767</v>
      </c>
      <c r="I211" s="101">
        <v>4274.373915465806</v>
      </c>
      <c r="J211" s="101" t="s">
        <v>1868</v>
      </c>
      <c r="K211" t="str">
        <f>VLOOKUP(Historic_BCast_BASE[[#This Row],[Broadcast Market]],Continent_Look_Up[],2,FALSE)</f>
        <v>Europe</v>
      </c>
      <c r="L211" s="132" t="str">
        <f>IF(OR(Historic_BCast_BASE[[#This Row],[Broadcast Continent]]="Digital",Historic_BCast_BASE[[#This Row],[Programme Type]]="Digital"),"Y","N")</f>
        <v>N</v>
      </c>
      <c r="M211" s="132" t="str">
        <f>IF(ISNUMBER(SEARCH("Pan ",Historic_BCast_BASE[[#This Row],[Broadcast Market]]))=TRUE,"Y","N")</f>
        <v>N</v>
      </c>
      <c r="N211" s="132" t="str">
        <f>VLOOKUP(CONCATENATE(Historic_BCast_BASE[[#This Row],[Broadcast Market]],Historic_BCast_BASE[[#This Row],[Broadcaster]]),Table1[[CC]:[Pay TV vs. Free-to-Air]],3,FALSE)</f>
        <v>Pay TV</v>
      </c>
      <c r="O211" s="133">
        <f>VLOOKUP(CONCATENATE(Historic_BCast_BASE[[#This Row],[Broadcast Market]],Historic_BCast_BASE[[#This Row],[Broadcaster]]),Table1[[CC]:[Pay TV vs. Free-to-Air]],2,FALSE)</f>
        <v>4406000</v>
      </c>
      <c r="P211" s="235">
        <f>Historic_BCast_BASE[[#This Row],[Rolex EXP]]*86400</f>
        <v>28103.330440293565</v>
      </c>
      <c r="Q211" s="19" t="str">
        <f>IF(Historic_BCast_BASE[[#This Row],[Dashboard Rated?]]="No","N","Y")</f>
        <v>Y</v>
      </c>
      <c r="S211" s="22"/>
    </row>
    <row r="212" spans="1:19" x14ac:dyDescent="0.25">
      <c r="A212" s="72" t="s">
        <v>1869</v>
      </c>
      <c r="B212" t="s">
        <v>100</v>
      </c>
      <c r="C212" t="s">
        <v>269</v>
      </c>
      <c r="D212" t="s">
        <v>1644</v>
      </c>
      <c r="E212" s="102">
        <v>4.0528819444444446</v>
      </c>
      <c r="F212" s="101">
        <v>581600</v>
      </c>
      <c r="G212" s="102">
        <v>0.38564146452521691</v>
      </c>
      <c r="H212" s="101">
        <v>20175.114515374364</v>
      </c>
      <c r="I212" s="101">
        <v>5981.2715065642178</v>
      </c>
      <c r="J212" s="101" t="s">
        <v>1868</v>
      </c>
      <c r="K212" t="str">
        <f>VLOOKUP(Historic_BCast_BASE[[#This Row],[Broadcast Market]],Continent_Look_Up[],2,FALSE)</f>
        <v>Europe</v>
      </c>
      <c r="L212" s="132" t="str">
        <f>IF(OR(Historic_BCast_BASE[[#This Row],[Broadcast Continent]]="Digital",Historic_BCast_BASE[[#This Row],[Programme Type]]="Digital"),"Y","N")</f>
        <v>N</v>
      </c>
      <c r="M212" s="132" t="str">
        <f>IF(ISNUMBER(SEARCH("Pan ",Historic_BCast_BASE[[#This Row],[Broadcast Market]]))=TRUE,"Y","N")</f>
        <v>N</v>
      </c>
      <c r="N212" s="132" t="str">
        <f>VLOOKUP(CONCATENATE(Historic_BCast_BASE[[#This Row],[Broadcast Market]],Historic_BCast_BASE[[#This Row],[Broadcaster]]),Table1[[CC]:[Pay TV vs. Free-to-Air]],3,FALSE)</f>
        <v>Pay TV</v>
      </c>
      <c r="O212" s="133">
        <f>VLOOKUP(CONCATENATE(Historic_BCast_BASE[[#This Row],[Broadcast Market]],Historic_BCast_BASE[[#This Row],[Broadcaster]]),Table1[[CC]:[Pay TV vs. Free-to-Air]],2,FALSE)</f>
        <v>4406000</v>
      </c>
      <c r="P212" s="235">
        <f>Historic_BCast_BASE[[#This Row],[Rolex EXP]]*86400</f>
        <v>33319.422534978745</v>
      </c>
      <c r="Q212" s="19" t="str">
        <f>IF(Historic_BCast_BASE[[#This Row],[Dashboard Rated?]]="No","N","Y")</f>
        <v>Y</v>
      </c>
      <c r="S212" s="22"/>
    </row>
    <row r="213" spans="1:19" x14ac:dyDescent="0.25">
      <c r="A213" s="72" t="s">
        <v>1869</v>
      </c>
      <c r="B213" t="s">
        <v>103</v>
      </c>
      <c r="C213" t="s">
        <v>221</v>
      </c>
      <c r="D213" t="s">
        <v>1642</v>
      </c>
      <c r="E213" s="102">
        <v>1.5186805555555558</v>
      </c>
      <c r="F213" s="101">
        <v>264000</v>
      </c>
      <c r="G213" s="102">
        <v>0.13950051815626716</v>
      </c>
      <c r="H213" s="101">
        <v>38612.406938575856</v>
      </c>
      <c r="I213" s="101">
        <v>11741.871234958684</v>
      </c>
      <c r="J213" s="101" t="s">
        <v>1868</v>
      </c>
      <c r="K213" t="str">
        <f>VLOOKUP(Historic_BCast_BASE[[#This Row],[Broadcast Market]],Continent_Look_Up[],2,FALSE)</f>
        <v>Europe</v>
      </c>
      <c r="L213" s="132" t="str">
        <f>IF(OR(Historic_BCast_BASE[[#This Row],[Broadcast Continent]]="Digital",Historic_BCast_BASE[[#This Row],[Programme Type]]="Digital"),"Y","N")</f>
        <v>N</v>
      </c>
      <c r="M213" s="132" t="str">
        <f>IF(ISNUMBER(SEARCH("Pan ",Historic_BCast_BASE[[#This Row],[Broadcast Market]]))=TRUE,"Y","N")</f>
        <v>N</v>
      </c>
      <c r="N213" s="132" t="str">
        <f>VLOOKUP(CONCATENATE(Historic_BCast_BASE[[#This Row],[Broadcast Market]],Historic_BCast_BASE[[#This Row],[Broadcaster]]),Table1[[CC]:[Pay TV vs. Free-to-Air]],3,FALSE)</f>
        <v>Pay TV</v>
      </c>
      <c r="O213" s="133">
        <f>VLOOKUP(CONCATENATE(Historic_BCast_BASE[[#This Row],[Broadcast Market]],Historic_BCast_BASE[[#This Row],[Broadcaster]]),Table1[[CC]:[Pay TV vs. Free-to-Air]],2,FALSE)</f>
        <v>5553000</v>
      </c>
      <c r="P213" s="235">
        <f>Historic_BCast_BASE[[#This Row],[Rolex EXP]]*86400</f>
        <v>12052.844768701481</v>
      </c>
      <c r="Q213" s="19" t="str">
        <f>IF(Historic_BCast_BASE[[#This Row],[Dashboard Rated?]]="No","N","Y")</f>
        <v>Y</v>
      </c>
      <c r="S213" s="22"/>
    </row>
    <row r="214" spans="1:19" x14ac:dyDescent="0.25">
      <c r="A214" s="72" t="s">
        <v>1869</v>
      </c>
      <c r="B214" t="s">
        <v>103</v>
      </c>
      <c r="C214" t="s">
        <v>221</v>
      </c>
      <c r="D214" t="s">
        <v>1643</v>
      </c>
      <c r="E214" s="102">
        <v>5.7985995370370373</v>
      </c>
      <c r="F214" s="101">
        <v>868438</v>
      </c>
      <c r="G214" s="102">
        <v>0.543626179227927</v>
      </c>
      <c r="H214" s="101">
        <v>387373.81309656665</v>
      </c>
      <c r="I214" s="101">
        <v>115201.73273260622</v>
      </c>
      <c r="J214" s="101" t="s">
        <v>1868</v>
      </c>
      <c r="K214" t="str">
        <f>VLOOKUP(Historic_BCast_BASE[[#This Row],[Broadcast Market]],Continent_Look_Up[],2,FALSE)</f>
        <v>Europe</v>
      </c>
      <c r="L214" s="132" t="str">
        <f>IF(OR(Historic_BCast_BASE[[#This Row],[Broadcast Continent]]="Digital",Historic_BCast_BASE[[#This Row],[Programme Type]]="Digital"),"Y","N")</f>
        <v>N</v>
      </c>
      <c r="M214" s="132" t="str">
        <f>IF(ISNUMBER(SEARCH("Pan ",Historic_BCast_BASE[[#This Row],[Broadcast Market]]))=TRUE,"Y","N")</f>
        <v>N</v>
      </c>
      <c r="N214" s="132" t="str">
        <f>VLOOKUP(CONCATENATE(Historic_BCast_BASE[[#This Row],[Broadcast Market]],Historic_BCast_BASE[[#This Row],[Broadcaster]]),Table1[[CC]:[Pay TV vs. Free-to-Air]],3,FALSE)</f>
        <v>Pay TV</v>
      </c>
      <c r="O214" s="133">
        <f>VLOOKUP(CONCATENATE(Historic_BCast_BASE[[#This Row],[Broadcast Market]],Historic_BCast_BASE[[#This Row],[Broadcaster]]),Table1[[CC]:[Pay TV vs. Free-to-Air]],2,FALSE)</f>
        <v>5553000</v>
      </c>
      <c r="P214" s="235">
        <f>Historic_BCast_BASE[[#This Row],[Rolex EXP]]*86400</f>
        <v>46969.301885292894</v>
      </c>
      <c r="Q214" s="19" t="str">
        <f>IF(Historic_BCast_BASE[[#This Row],[Dashboard Rated?]]="No","N","Y")</f>
        <v>Y</v>
      </c>
      <c r="S214" s="22"/>
    </row>
    <row r="215" spans="1:19" x14ac:dyDescent="0.25">
      <c r="A215" s="72" t="s">
        <v>1869</v>
      </c>
      <c r="B215" t="s">
        <v>103</v>
      </c>
      <c r="C215" t="s">
        <v>221</v>
      </c>
      <c r="D215" t="s">
        <v>1644</v>
      </c>
      <c r="E215" s="102">
        <v>0.92519675925925926</v>
      </c>
      <c r="F215" s="101">
        <v>52000</v>
      </c>
      <c r="G215" s="102">
        <v>6.3053808264102104E-2</v>
      </c>
      <c r="H215" s="101">
        <v>11179.248088515869</v>
      </c>
      <c r="I215" s="101">
        <v>3111.4780878149195</v>
      </c>
      <c r="J215" s="101" t="s">
        <v>1868</v>
      </c>
      <c r="K215" t="str">
        <f>VLOOKUP(Historic_BCast_BASE[[#This Row],[Broadcast Market]],Continent_Look_Up[],2,FALSE)</f>
        <v>Europe</v>
      </c>
      <c r="L215" s="132" t="str">
        <f>IF(OR(Historic_BCast_BASE[[#This Row],[Broadcast Continent]]="Digital",Historic_BCast_BASE[[#This Row],[Programme Type]]="Digital"),"Y","N")</f>
        <v>N</v>
      </c>
      <c r="M215" s="132" t="str">
        <f>IF(ISNUMBER(SEARCH("Pan ",Historic_BCast_BASE[[#This Row],[Broadcast Market]]))=TRUE,"Y","N")</f>
        <v>N</v>
      </c>
      <c r="N215" s="132" t="str">
        <f>VLOOKUP(CONCATENATE(Historic_BCast_BASE[[#This Row],[Broadcast Market]],Historic_BCast_BASE[[#This Row],[Broadcaster]]),Table1[[CC]:[Pay TV vs. Free-to-Air]],3,FALSE)</f>
        <v>Pay TV</v>
      </c>
      <c r="O215" s="133">
        <f>VLOOKUP(CONCATENATE(Historic_BCast_BASE[[#This Row],[Broadcast Market]],Historic_BCast_BASE[[#This Row],[Broadcaster]]),Table1[[CC]:[Pay TV vs. Free-to-Air]],2,FALSE)</f>
        <v>5553000</v>
      </c>
      <c r="P215" s="235">
        <f>Historic_BCast_BASE[[#This Row],[Rolex EXP]]*86400</f>
        <v>5447.8490340184217</v>
      </c>
      <c r="Q215" s="19" t="str">
        <f>IF(Historic_BCast_BASE[[#This Row],[Dashboard Rated?]]="No","N","Y")</f>
        <v>Y</v>
      </c>
      <c r="S215" s="22"/>
    </row>
    <row r="216" spans="1:19" x14ac:dyDescent="0.25">
      <c r="A216" s="72" t="s">
        <v>1869</v>
      </c>
      <c r="B216" t="s">
        <v>103</v>
      </c>
      <c r="C216" t="s">
        <v>269</v>
      </c>
      <c r="D216" t="s">
        <v>1642</v>
      </c>
      <c r="E216" s="102">
        <v>1.0657407407407409</v>
      </c>
      <c r="F216" s="101">
        <v>222000</v>
      </c>
      <c r="G216" s="102">
        <v>0.10713181347927275</v>
      </c>
      <c r="H216" s="101">
        <v>41928.566281772823</v>
      </c>
      <c r="I216" s="101">
        <v>12757.139313207575</v>
      </c>
      <c r="J216" s="101" t="s">
        <v>1868</v>
      </c>
      <c r="K216" t="str">
        <f>VLOOKUP(Historic_BCast_BASE[[#This Row],[Broadcast Market]],Continent_Look_Up[],2,FALSE)</f>
        <v>Europe</v>
      </c>
      <c r="L216" s="132" t="str">
        <f>IF(OR(Historic_BCast_BASE[[#This Row],[Broadcast Continent]]="Digital",Historic_BCast_BASE[[#This Row],[Programme Type]]="Digital"),"Y","N")</f>
        <v>N</v>
      </c>
      <c r="M216" s="132" t="str">
        <f>IF(ISNUMBER(SEARCH("Pan ",Historic_BCast_BASE[[#This Row],[Broadcast Market]]))=TRUE,"Y","N")</f>
        <v>N</v>
      </c>
      <c r="N216" s="132" t="str">
        <f>VLOOKUP(CONCATENATE(Historic_BCast_BASE[[#This Row],[Broadcast Market]],Historic_BCast_BASE[[#This Row],[Broadcaster]]),Table1[[CC]:[Pay TV vs. Free-to-Air]],3,FALSE)</f>
        <v>Pay TV</v>
      </c>
      <c r="O216" s="133">
        <f>VLOOKUP(CONCATENATE(Historic_BCast_BASE[[#This Row],[Broadcast Market]],Historic_BCast_BASE[[#This Row],[Broadcaster]]),Table1[[CC]:[Pay TV vs. Free-to-Air]],2,FALSE)</f>
        <v>4844000</v>
      </c>
      <c r="P216" s="235">
        <f>Historic_BCast_BASE[[#This Row],[Rolex EXP]]*86400</f>
        <v>9256.1886846091656</v>
      </c>
      <c r="Q216" s="19" t="str">
        <f>IF(Historic_BCast_BASE[[#This Row],[Dashboard Rated?]]="No","N","Y")</f>
        <v>Y</v>
      </c>
      <c r="S216" s="22"/>
    </row>
    <row r="217" spans="1:19" x14ac:dyDescent="0.25">
      <c r="A217" s="72" t="s">
        <v>1869</v>
      </c>
      <c r="B217" t="s">
        <v>103</v>
      </c>
      <c r="C217" t="s">
        <v>269</v>
      </c>
      <c r="D217" t="s">
        <v>1643</v>
      </c>
      <c r="E217" s="102">
        <v>3.0506481481481482</v>
      </c>
      <c r="F217" s="101">
        <v>582306</v>
      </c>
      <c r="G217" s="102">
        <v>0.35781344462885017</v>
      </c>
      <c r="H217" s="101">
        <v>213055.2720321682</v>
      </c>
      <c r="I217" s="101">
        <v>60689.254506613222</v>
      </c>
      <c r="J217" s="101" t="s">
        <v>1868</v>
      </c>
      <c r="K217" t="str">
        <f>VLOOKUP(Historic_BCast_BASE[[#This Row],[Broadcast Market]],Continent_Look_Up[],2,FALSE)</f>
        <v>Europe</v>
      </c>
      <c r="L217" s="132" t="str">
        <f>IF(OR(Historic_BCast_BASE[[#This Row],[Broadcast Continent]]="Digital",Historic_BCast_BASE[[#This Row],[Programme Type]]="Digital"),"Y","N")</f>
        <v>N</v>
      </c>
      <c r="M217" s="132" t="str">
        <f>IF(ISNUMBER(SEARCH("Pan ",Historic_BCast_BASE[[#This Row],[Broadcast Market]]))=TRUE,"Y","N")</f>
        <v>N</v>
      </c>
      <c r="N217" s="132" t="str">
        <f>VLOOKUP(CONCATENATE(Historic_BCast_BASE[[#This Row],[Broadcast Market]],Historic_BCast_BASE[[#This Row],[Broadcaster]]),Table1[[CC]:[Pay TV vs. Free-to-Air]],3,FALSE)</f>
        <v>Pay TV</v>
      </c>
      <c r="O217" s="133">
        <f>VLOOKUP(CONCATENATE(Historic_BCast_BASE[[#This Row],[Broadcast Market]],Historic_BCast_BASE[[#This Row],[Broadcaster]]),Table1[[CC]:[Pay TV vs. Free-to-Air]],2,FALSE)</f>
        <v>4844000</v>
      </c>
      <c r="P217" s="235">
        <f>Historic_BCast_BASE[[#This Row],[Rolex EXP]]*86400</f>
        <v>30915.081615932657</v>
      </c>
      <c r="Q217" s="19" t="str">
        <f>IF(Historic_BCast_BASE[[#This Row],[Dashboard Rated?]]="No","N","Y")</f>
        <v>Y</v>
      </c>
      <c r="S217" s="22"/>
    </row>
    <row r="218" spans="1:19" x14ac:dyDescent="0.25">
      <c r="A218" s="72" t="s">
        <v>1869</v>
      </c>
      <c r="B218" t="s">
        <v>103</v>
      </c>
      <c r="C218" t="s">
        <v>269</v>
      </c>
      <c r="D218" t="s">
        <v>1644</v>
      </c>
      <c r="E218" s="102">
        <v>2.5350925925925925</v>
      </c>
      <c r="F218" s="101">
        <v>249000</v>
      </c>
      <c r="G218" s="102">
        <v>0.23658934051131941</v>
      </c>
      <c r="H218" s="101">
        <v>70393.290476180249</v>
      </c>
      <c r="I218" s="101">
        <v>20702.18953571382</v>
      </c>
      <c r="J218" s="101" t="s">
        <v>1868</v>
      </c>
      <c r="K218" t="str">
        <f>VLOOKUP(Historic_BCast_BASE[[#This Row],[Broadcast Market]],Continent_Look_Up[],2,FALSE)</f>
        <v>Europe</v>
      </c>
      <c r="L218" s="132" t="str">
        <f>IF(OR(Historic_BCast_BASE[[#This Row],[Broadcast Continent]]="Digital",Historic_BCast_BASE[[#This Row],[Programme Type]]="Digital"),"Y","N")</f>
        <v>N</v>
      </c>
      <c r="M218" s="132" t="str">
        <f>IF(ISNUMBER(SEARCH("Pan ",Historic_BCast_BASE[[#This Row],[Broadcast Market]]))=TRUE,"Y","N")</f>
        <v>N</v>
      </c>
      <c r="N218" s="132" t="str">
        <f>VLOOKUP(CONCATENATE(Historic_BCast_BASE[[#This Row],[Broadcast Market]],Historic_BCast_BASE[[#This Row],[Broadcaster]]),Table1[[CC]:[Pay TV vs. Free-to-Air]],3,FALSE)</f>
        <v>Pay TV</v>
      </c>
      <c r="O218" s="133">
        <f>VLOOKUP(CONCATENATE(Historic_BCast_BASE[[#This Row],[Broadcast Market]],Historic_BCast_BASE[[#This Row],[Broadcaster]]),Table1[[CC]:[Pay TV vs. Free-to-Air]],2,FALSE)</f>
        <v>4844000</v>
      </c>
      <c r="P218" s="235">
        <f>Historic_BCast_BASE[[#This Row],[Rolex EXP]]*86400</f>
        <v>20441.319020177998</v>
      </c>
      <c r="Q218" s="19" t="str">
        <f>IF(Historic_BCast_BASE[[#This Row],[Dashboard Rated?]]="No","N","Y")</f>
        <v>Y</v>
      </c>
      <c r="S218" s="22"/>
    </row>
    <row r="219" spans="1:19" x14ac:dyDescent="0.25">
      <c r="A219" s="72" t="s">
        <v>1869</v>
      </c>
      <c r="B219" t="s">
        <v>104</v>
      </c>
      <c r="C219" t="s">
        <v>1397</v>
      </c>
      <c r="D219" t="s">
        <v>1643</v>
      </c>
      <c r="E219" s="102">
        <v>0.12983796296296296</v>
      </c>
      <c r="F219" s="101">
        <v>84033</v>
      </c>
      <c r="G219" s="102">
        <v>1.0428101769989812E-2</v>
      </c>
      <c r="H219" s="101">
        <v>8491.1166558582117</v>
      </c>
      <c r="I219" s="101">
        <v>2784.8471524953184</v>
      </c>
      <c r="J219" s="101" t="s">
        <v>1868</v>
      </c>
      <c r="K219" t="str">
        <f>VLOOKUP(Historic_BCast_BASE[[#This Row],[Broadcast Market]],Continent_Look_Up[],2,FALSE)</f>
        <v>Europe</v>
      </c>
      <c r="L219" s="132" t="str">
        <f>IF(OR(Historic_BCast_BASE[[#This Row],[Broadcast Continent]]="Digital",Historic_BCast_BASE[[#This Row],[Programme Type]]="Digital"),"Y","N")</f>
        <v>N</v>
      </c>
      <c r="M219" s="132" t="str">
        <f>IF(ISNUMBER(SEARCH("Pan ",Historic_BCast_BASE[[#This Row],[Broadcast Market]]))=TRUE,"Y","N")</f>
        <v>N</v>
      </c>
      <c r="N219" s="132" t="str">
        <f>VLOOKUP(CONCATENATE(Historic_BCast_BASE[[#This Row],[Broadcast Market]],Historic_BCast_BASE[[#This Row],[Broadcaster]]),Table1[[CC]:[Pay TV vs. Free-to-Air]],3,FALSE)</f>
        <v>Pay TV</v>
      </c>
      <c r="O219" s="133">
        <f>VLOOKUP(CONCATENATE(Historic_BCast_BASE[[#This Row],[Broadcast Market]],Historic_BCast_BASE[[#This Row],[Broadcaster]]),Table1[[CC]:[Pay TV vs. Free-to-Air]],2,FALSE)</f>
        <v>27627000</v>
      </c>
      <c r="P219" s="235">
        <f>Historic_BCast_BASE[[#This Row],[Rolex EXP]]*86400</f>
        <v>900.98799292711976</v>
      </c>
      <c r="Q219" s="19" t="str">
        <f>IF(Historic_BCast_BASE[[#This Row],[Dashboard Rated?]]="No","N","Y")</f>
        <v>Y</v>
      </c>
      <c r="S219" s="22"/>
    </row>
    <row r="220" spans="1:19" x14ac:dyDescent="0.25">
      <c r="A220" s="72" t="s">
        <v>1869</v>
      </c>
      <c r="B220" t="s">
        <v>106</v>
      </c>
      <c r="C220" t="s">
        <v>194</v>
      </c>
      <c r="D220" t="s">
        <v>1642</v>
      </c>
      <c r="E220" s="102">
        <v>2.625</v>
      </c>
      <c r="F220" s="101">
        <v>95944</v>
      </c>
      <c r="G220" s="102">
        <v>0.25079538692902764</v>
      </c>
      <c r="H220" s="101">
        <v>10945.780185945016</v>
      </c>
      <c r="I220" s="101">
        <v>3144.5173967120941</v>
      </c>
      <c r="J220" s="101" t="s">
        <v>1867</v>
      </c>
      <c r="K220" t="str">
        <f>VLOOKUP(Historic_BCast_BASE[[#This Row],[Broadcast Market]],Continent_Look_Up[],2,FALSE)</f>
        <v>Asia Pacific</v>
      </c>
      <c r="L220" s="132" t="str">
        <f>IF(OR(Historic_BCast_BASE[[#This Row],[Broadcast Continent]]="Digital",Historic_BCast_BASE[[#This Row],[Programme Type]]="Digital"),"Y","N")</f>
        <v>N</v>
      </c>
      <c r="M220" s="132" t="str">
        <f>IF(ISNUMBER(SEARCH("Pan ",Historic_BCast_BASE[[#This Row],[Broadcast Market]]))=TRUE,"Y","N")</f>
        <v>N</v>
      </c>
      <c r="N220" s="132" t="str">
        <f>VLOOKUP(CONCATENATE(Historic_BCast_BASE[[#This Row],[Broadcast Market]],Historic_BCast_BASE[[#This Row],[Broadcaster]]),Table1[[CC]:[Pay TV vs. Free-to-Air]],3,FALSE)</f>
        <v>Pay TV</v>
      </c>
      <c r="O220" s="133">
        <f>VLOOKUP(CONCATENATE(Historic_BCast_BASE[[#This Row],[Broadcast Market]],Historic_BCast_BASE[[#This Row],[Broadcaster]]),Table1[[CC]:[Pay TV vs. Free-to-Air]],2,FALSE)</f>
        <v>964000</v>
      </c>
      <c r="P220" s="235">
        <f>Historic_BCast_BASE[[#This Row],[Rolex EXP]]*86400</f>
        <v>21668.721430667989</v>
      </c>
      <c r="Q220" s="19" t="str">
        <f>IF(Historic_BCast_BASE[[#This Row],[Dashboard Rated?]]="No","N","Y")</f>
        <v>N</v>
      </c>
      <c r="S220" s="22"/>
    </row>
    <row r="221" spans="1:19" x14ac:dyDescent="0.25">
      <c r="A221" s="72" t="s">
        <v>1869</v>
      </c>
      <c r="B221" t="s">
        <v>106</v>
      </c>
      <c r="C221" t="s">
        <v>194</v>
      </c>
      <c r="D221" t="s">
        <v>1643</v>
      </c>
      <c r="E221" s="102">
        <v>6.3263888888888893</v>
      </c>
      <c r="F221" s="101">
        <v>40279.999999999993</v>
      </c>
      <c r="G221" s="102">
        <v>0.60249382571817767</v>
      </c>
      <c r="H221" s="101">
        <v>44727.331421215975</v>
      </c>
      <c r="I221" s="101">
        <v>12865.516434655136</v>
      </c>
      <c r="J221" s="101" t="s">
        <v>1867</v>
      </c>
      <c r="K221" t="str">
        <f>VLOOKUP(Historic_BCast_BASE[[#This Row],[Broadcast Market]],Continent_Look_Up[],2,FALSE)</f>
        <v>Asia Pacific</v>
      </c>
      <c r="L221" s="132" t="str">
        <f>IF(OR(Historic_BCast_BASE[[#This Row],[Broadcast Continent]]="Digital",Historic_BCast_BASE[[#This Row],[Programme Type]]="Digital"),"Y","N")</f>
        <v>N</v>
      </c>
      <c r="M221" s="132" t="str">
        <f>IF(ISNUMBER(SEARCH("Pan ",Historic_BCast_BASE[[#This Row],[Broadcast Market]]))=TRUE,"Y","N")</f>
        <v>N</v>
      </c>
      <c r="N221" s="132" t="str">
        <f>VLOOKUP(CONCATENATE(Historic_BCast_BASE[[#This Row],[Broadcast Market]],Historic_BCast_BASE[[#This Row],[Broadcaster]]),Table1[[CC]:[Pay TV vs. Free-to-Air]],3,FALSE)</f>
        <v>Pay TV</v>
      </c>
      <c r="O221" s="133">
        <f>VLOOKUP(CONCATENATE(Historic_BCast_BASE[[#This Row],[Broadcast Market]],Historic_BCast_BASE[[#This Row],[Broadcaster]]),Table1[[CC]:[Pay TV vs. Free-to-Air]],2,FALSE)</f>
        <v>964000</v>
      </c>
      <c r="P221" s="235">
        <f>Historic_BCast_BASE[[#This Row],[Rolex EXP]]*86400</f>
        <v>52055.466542050548</v>
      </c>
      <c r="Q221" s="19" t="str">
        <f>IF(Historic_BCast_BASE[[#This Row],[Dashboard Rated?]]="No","N","Y")</f>
        <v>N</v>
      </c>
      <c r="S221" s="22"/>
    </row>
    <row r="222" spans="1:19" x14ac:dyDescent="0.25">
      <c r="A222" s="72" t="s">
        <v>1869</v>
      </c>
      <c r="B222" t="s">
        <v>106</v>
      </c>
      <c r="C222" t="s">
        <v>225</v>
      </c>
      <c r="D222" t="s">
        <v>1642</v>
      </c>
      <c r="E222" s="102">
        <v>0.58333333333333337</v>
      </c>
      <c r="F222" s="101">
        <v>29600</v>
      </c>
      <c r="G222" s="102">
        <v>5.573230820645067E-2</v>
      </c>
      <c r="H222" s="101">
        <v>3840.4032338383158</v>
      </c>
      <c r="I222" s="101">
        <v>1103.275835440264</v>
      </c>
      <c r="J222" s="101" t="s">
        <v>1867</v>
      </c>
      <c r="K222" t="str">
        <f>VLOOKUP(Historic_BCast_BASE[[#This Row],[Broadcast Market]],Continent_Look_Up[],2,FALSE)</f>
        <v>Asia Pacific</v>
      </c>
      <c r="L222" s="132" t="str">
        <f>IF(OR(Historic_BCast_BASE[[#This Row],[Broadcast Continent]]="Digital",Historic_BCast_BASE[[#This Row],[Programme Type]]="Digital"),"Y","N")</f>
        <v>N</v>
      </c>
      <c r="M222" s="132" t="str">
        <f>IF(ISNUMBER(SEARCH("Pan ",Historic_BCast_BASE[[#This Row],[Broadcast Market]]))=TRUE,"Y","N")</f>
        <v>N</v>
      </c>
      <c r="N222" s="132" t="str">
        <f>VLOOKUP(CONCATENATE(Historic_BCast_BASE[[#This Row],[Broadcast Market]],Historic_BCast_BASE[[#This Row],[Broadcaster]]),Table1[[CC]:[Pay TV vs. Free-to-Air]],3,FALSE)</f>
        <v>Pay TV</v>
      </c>
      <c r="O222" s="133">
        <f>VLOOKUP(CONCATENATE(Historic_BCast_BASE[[#This Row],[Broadcast Market]],Historic_BCast_BASE[[#This Row],[Broadcaster]]),Table1[[CC]:[Pay TV vs. Free-to-Air]],2,FALSE)</f>
        <v>964000</v>
      </c>
      <c r="P222" s="235">
        <f>Historic_BCast_BASE[[#This Row],[Rolex EXP]]*86400</f>
        <v>4815.2714290373378</v>
      </c>
      <c r="Q222" s="19" t="str">
        <f>IF(Historic_BCast_BASE[[#This Row],[Dashboard Rated?]]="No","N","Y")</f>
        <v>N</v>
      </c>
      <c r="S222" s="22"/>
    </row>
    <row r="223" spans="1:19" x14ac:dyDescent="0.25">
      <c r="A223" s="72" t="s">
        <v>1869</v>
      </c>
      <c r="B223" t="s">
        <v>106</v>
      </c>
      <c r="C223" t="s">
        <v>225</v>
      </c>
      <c r="D223" t="s">
        <v>1643</v>
      </c>
      <c r="E223" s="102">
        <v>2.8958333333333335</v>
      </c>
      <c r="F223" s="101">
        <v>20160</v>
      </c>
      <c r="G223" s="102">
        <v>0.27667110145345153</v>
      </c>
      <c r="H223" s="101">
        <v>29370.896808997357</v>
      </c>
      <c r="I223" s="101">
        <v>8437.7079024042359</v>
      </c>
      <c r="J223" s="101" t="s">
        <v>1867</v>
      </c>
      <c r="K223" t="str">
        <f>VLOOKUP(Historic_BCast_BASE[[#This Row],[Broadcast Market]],Continent_Look_Up[],2,FALSE)</f>
        <v>Asia Pacific</v>
      </c>
      <c r="L223" s="132" t="str">
        <f>IF(OR(Historic_BCast_BASE[[#This Row],[Broadcast Continent]]="Digital",Historic_BCast_BASE[[#This Row],[Programme Type]]="Digital"),"Y","N")</f>
        <v>N</v>
      </c>
      <c r="M223" s="132" t="str">
        <f>IF(ISNUMBER(SEARCH("Pan ",Historic_BCast_BASE[[#This Row],[Broadcast Market]]))=TRUE,"Y","N")</f>
        <v>N</v>
      </c>
      <c r="N223" s="132" t="str">
        <f>VLOOKUP(CONCATENATE(Historic_BCast_BASE[[#This Row],[Broadcast Market]],Historic_BCast_BASE[[#This Row],[Broadcaster]]),Table1[[CC]:[Pay TV vs. Free-to-Air]],3,FALSE)</f>
        <v>Pay TV</v>
      </c>
      <c r="O223" s="133">
        <f>VLOOKUP(CONCATENATE(Historic_BCast_BASE[[#This Row],[Broadcast Market]],Historic_BCast_BASE[[#This Row],[Broadcaster]]),Table1[[CC]:[Pay TV vs. Free-to-Air]],2,FALSE)</f>
        <v>964000</v>
      </c>
      <c r="P223" s="235">
        <f>Historic_BCast_BASE[[#This Row],[Rolex EXP]]*86400</f>
        <v>23904.383165578212</v>
      </c>
      <c r="Q223" s="19" t="str">
        <f>IF(Historic_BCast_BASE[[#This Row],[Dashboard Rated?]]="No","N","Y")</f>
        <v>N</v>
      </c>
      <c r="S223" s="22"/>
    </row>
    <row r="224" spans="1:19" x14ac:dyDescent="0.25">
      <c r="A224" s="72" t="s">
        <v>1869</v>
      </c>
      <c r="B224" t="s">
        <v>106</v>
      </c>
      <c r="C224" t="s">
        <v>197</v>
      </c>
      <c r="D224" t="s">
        <v>1642</v>
      </c>
      <c r="E224" s="102">
        <v>2.0833333333333332E-2</v>
      </c>
      <c r="F224" s="101">
        <v>3428</v>
      </c>
      <c r="G224" s="102">
        <v>1.9904395788018095E-3</v>
      </c>
      <c r="H224" s="101">
        <v>251.5073797493076</v>
      </c>
      <c r="I224" s="101">
        <v>72.253354040371903</v>
      </c>
      <c r="J224" s="101" t="s">
        <v>1867</v>
      </c>
      <c r="K224" t="str">
        <f>VLOOKUP(Historic_BCast_BASE[[#This Row],[Broadcast Market]],Continent_Look_Up[],2,FALSE)</f>
        <v>Asia Pacific</v>
      </c>
      <c r="L224" s="132" t="str">
        <f>IF(OR(Historic_BCast_BASE[[#This Row],[Broadcast Continent]]="Digital",Historic_BCast_BASE[[#This Row],[Programme Type]]="Digital"),"Y","N")</f>
        <v>N</v>
      </c>
      <c r="M224" s="132" t="str">
        <f>IF(ISNUMBER(SEARCH("Pan ",Historic_BCast_BASE[[#This Row],[Broadcast Market]]))=TRUE,"Y","N")</f>
        <v>N</v>
      </c>
      <c r="N224" s="132" t="str">
        <f>VLOOKUP(CONCATENATE(Historic_BCast_BASE[[#This Row],[Broadcast Market]],Historic_BCast_BASE[[#This Row],[Broadcaster]]),Table1[[CC]:[Pay TV vs. Free-to-Air]],3,FALSE)</f>
        <v>Pay TV</v>
      </c>
      <c r="O224" s="133">
        <f>VLOOKUP(CONCATENATE(Historic_BCast_BASE[[#This Row],[Broadcast Market]],Historic_BCast_BASE[[#This Row],[Broadcaster]]),Table1[[CC]:[Pay TV vs. Free-to-Air]],2,FALSE)</f>
        <v>964000</v>
      </c>
      <c r="P224" s="235">
        <f>Historic_BCast_BASE[[#This Row],[Rolex EXP]]*86400</f>
        <v>171.97397960847636</v>
      </c>
      <c r="Q224" s="19" t="str">
        <f>IF(Historic_BCast_BASE[[#This Row],[Dashboard Rated?]]="No","N","Y")</f>
        <v>N</v>
      </c>
      <c r="S224" s="22"/>
    </row>
    <row r="225" spans="1:19" x14ac:dyDescent="0.25">
      <c r="A225" s="72" t="s">
        <v>1869</v>
      </c>
      <c r="B225" t="s">
        <v>106</v>
      </c>
      <c r="C225" t="s">
        <v>197</v>
      </c>
      <c r="D225" t="s">
        <v>1643</v>
      </c>
      <c r="E225" s="102">
        <v>0.5</v>
      </c>
      <c r="F225" s="101">
        <v>2880</v>
      </c>
      <c r="G225" s="102">
        <v>4.7770549891243429E-2</v>
      </c>
      <c r="H225" s="101">
        <v>5071.2339814096149</v>
      </c>
      <c r="I225" s="101">
        <v>1456.8704291920981</v>
      </c>
      <c r="J225" s="101" t="s">
        <v>1867</v>
      </c>
      <c r="K225" t="str">
        <f>VLOOKUP(Historic_BCast_BASE[[#This Row],[Broadcast Market]],Continent_Look_Up[],2,FALSE)</f>
        <v>Asia Pacific</v>
      </c>
      <c r="L225" s="132" t="str">
        <f>IF(OR(Historic_BCast_BASE[[#This Row],[Broadcast Continent]]="Digital",Historic_BCast_BASE[[#This Row],[Programme Type]]="Digital"),"Y","N")</f>
        <v>N</v>
      </c>
      <c r="M225" s="132" t="str">
        <f>IF(ISNUMBER(SEARCH("Pan ",Historic_BCast_BASE[[#This Row],[Broadcast Market]]))=TRUE,"Y","N")</f>
        <v>N</v>
      </c>
      <c r="N225" s="132" t="str">
        <f>VLOOKUP(CONCATENATE(Historic_BCast_BASE[[#This Row],[Broadcast Market]],Historic_BCast_BASE[[#This Row],[Broadcaster]]),Table1[[CC]:[Pay TV vs. Free-to-Air]],3,FALSE)</f>
        <v>Pay TV</v>
      </c>
      <c r="O225" s="133">
        <f>VLOOKUP(CONCATENATE(Historic_BCast_BASE[[#This Row],[Broadcast Market]],Historic_BCast_BASE[[#This Row],[Broadcaster]]),Table1[[CC]:[Pay TV vs. Free-to-Air]],2,FALSE)</f>
        <v>964000</v>
      </c>
      <c r="P225" s="235">
        <f>Historic_BCast_BASE[[#This Row],[Rolex EXP]]*86400</f>
        <v>4127.3755106034323</v>
      </c>
      <c r="Q225" s="19" t="str">
        <f>IF(Historic_BCast_BASE[[#This Row],[Dashboard Rated?]]="No","N","Y")</f>
        <v>N</v>
      </c>
      <c r="S225" s="22"/>
    </row>
    <row r="226" spans="1:19" x14ac:dyDescent="0.25">
      <c r="A226" s="72" t="s">
        <v>1869</v>
      </c>
      <c r="B226" t="s">
        <v>109</v>
      </c>
      <c r="C226" t="s">
        <v>1196</v>
      </c>
      <c r="D226" t="s">
        <v>1642</v>
      </c>
      <c r="E226" s="102">
        <v>0.59196759259259257</v>
      </c>
      <c r="F226" s="101">
        <v>19900</v>
      </c>
      <c r="G226" s="102">
        <v>5.6557234831887425E-2</v>
      </c>
      <c r="H226" s="101">
        <v>206.96231253449091</v>
      </c>
      <c r="I226" s="101">
        <v>59.45639152009749</v>
      </c>
      <c r="J226" s="101" t="s">
        <v>1868</v>
      </c>
      <c r="K226" t="str">
        <f>VLOOKUP(Historic_BCast_BASE[[#This Row],[Broadcast Market]],Continent_Look_Up[],2,FALSE)</f>
        <v>Africa &amp; Middle East</v>
      </c>
      <c r="L226" s="132" t="str">
        <f>IF(OR(Historic_BCast_BASE[[#This Row],[Broadcast Continent]]="Digital",Historic_BCast_BASE[[#This Row],[Programme Type]]="Digital"),"Y","N")</f>
        <v>N</v>
      </c>
      <c r="M226" s="132" t="str">
        <f>IF(ISNUMBER(SEARCH("Pan ",Historic_BCast_BASE[[#This Row],[Broadcast Market]]))=TRUE,"Y","N")</f>
        <v>N</v>
      </c>
      <c r="N226" s="132" t="str">
        <f>VLOOKUP(CONCATENATE(Historic_BCast_BASE[[#This Row],[Broadcast Market]],Historic_BCast_BASE[[#This Row],[Broadcaster]]),Table1[[CC]:[Pay TV vs. Free-to-Air]],3,FALSE)</f>
        <v>Pay TV</v>
      </c>
      <c r="O226" s="133">
        <f>VLOOKUP(CONCATENATE(Historic_BCast_BASE[[#This Row],[Broadcast Market]],Historic_BCast_BASE[[#This Row],[Broadcaster]]),Table1[[CC]:[Pay TV vs. Free-to-Air]],2,FALSE)</f>
        <v>5200000</v>
      </c>
      <c r="P226" s="235">
        <f>Historic_BCast_BASE[[#This Row],[Rolex EXP]]*86400</f>
        <v>4886.5450894750738</v>
      </c>
      <c r="Q226" s="19" t="str">
        <f>IF(Historic_BCast_BASE[[#This Row],[Dashboard Rated?]]="No","N","Y")</f>
        <v>Y</v>
      </c>
      <c r="S226" s="22"/>
    </row>
    <row r="227" spans="1:19" x14ac:dyDescent="0.25">
      <c r="A227" s="72" t="s">
        <v>1869</v>
      </c>
      <c r="B227" t="s">
        <v>109</v>
      </c>
      <c r="C227" t="s">
        <v>1196</v>
      </c>
      <c r="D227" t="s">
        <v>1643</v>
      </c>
      <c r="E227" s="102">
        <v>4.8731712962962961</v>
      </c>
      <c r="F227" s="101">
        <v>31860</v>
      </c>
      <c r="G227" s="102">
        <v>0.45954897261166977</v>
      </c>
      <c r="H227" s="101">
        <v>4755.7151064682739</v>
      </c>
      <c r="I227" s="101">
        <v>1365.5016042211253</v>
      </c>
      <c r="J227" s="101" t="s">
        <v>1868</v>
      </c>
      <c r="K227" t="str">
        <f>VLOOKUP(Historic_BCast_BASE[[#This Row],[Broadcast Market]],Continent_Look_Up[],2,FALSE)</f>
        <v>Africa &amp; Middle East</v>
      </c>
      <c r="L227" s="132" t="str">
        <f>IF(OR(Historic_BCast_BASE[[#This Row],[Broadcast Continent]]="Digital",Historic_BCast_BASE[[#This Row],[Programme Type]]="Digital"),"Y","N")</f>
        <v>N</v>
      </c>
      <c r="M227" s="132" t="str">
        <f>IF(ISNUMBER(SEARCH("Pan ",Historic_BCast_BASE[[#This Row],[Broadcast Market]]))=TRUE,"Y","N")</f>
        <v>N</v>
      </c>
      <c r="N227" s="132" t="str">
        <f>VLOOKUP(CONCATENATE(Historic_BCast_BASE[[#This Row],[Broadcast Market]],Historic_BCast_BASE[[#This Row],[Broadcaster]]),Table1[[CC]:[Pay TV vs. Free-to-Air]],3,FALSE)</f>
        <v>Pay TV</v>
      </c>
      <c r="O227" s="133">
        <f>VLOOKUP(CONCATENATE(Historic_BCast_BASE[[#This Row],[Broadcast Market]],Historic_BCast_BASE[[#This Row],[Broadcaster]]),Table1[[CC]:[Pay TV vs. Free-to-Air]],2,FALSE)</f>
        <v>5200000</v>
      </c>
      <c r="P227" s="235">
        <f>Historic_BCast_BASE[[#This Row],[Rolex EXP]]*86400</f>
        <v>39705.031233648268</v>
      </c>
      <c r="Q227" s="19" t="str">
        <f>IF(Historic_BCast_BASE[[#This Row],[Dashboard Rated?]]="No","N","Y")</f>
        <v>Y</v>
      </c>
      <c r="S227" s="22"/>
    </row>
    <row r="228" spans="1:19" x14ac:dyDescent="0.25">
      <c r="A228" s="72" t="s">
        <v>1869</v>
      </c>
      <c r="B228" t="s">
        <v>109</v>
      </c>
      <c r="C228" t="s">
        <v>1197</v>
      </c>
      <c r="D228" t="s">
        <v>1642</v>
      </c>
      <c r="E228" s="102">
        <v>9.2476851851851852E-3</v>
      </c>
      <c r="F228" s="101">
        <v>0</v>
      </c>
      <c r="G228" s="102">
        <v>8.8353401303480322E-4</v>
      </c>
      <c r="H228" s="101">
        <v>0</v>
      </c>
      <c r="I228" s="101">
        <v>0</v>
      </c>
      <c r="J228" s="101" t="s">
        <v>1868</v>
      </c>
      <c r="K228" t="str">
        <f>VLOOKUP(Historic_BCast_BASE[[#This Row],[Broadcast Market]],Continent_Look_Up[],2,FALSE)</f>
        <v>Africa &amp; Middle East</v>
      </c>
      <c r="L228" s="132" t="str">
        <f>IF(OR(Historic_BCast_BASE[[#This Row],[Broadcast Continent]]="Digital",Historic_BCast_BASE[[#This Row],[Programme Type]]="Digital"),"Y","N")</f>
        <v>N</v>
      </c>
      <c r="M228" s="132" t="str">
        <f>IF(ISNUMBER(SEARCH("Pan ",Historic_BCast_BASE[[#This Row],[Broadcast Market]]))=TRUE,"Y","N")</f>
        <v>N</v>
      </c>
      <c r="N228" s="132" t="str">
        <f>VLOOKUP(CONCATENATE(Historic_BCast_BASE[[#This Row],[Broadcast Market]],Historic_BCast_BASE[[#This Row],[Broadcaster]]),Table1[[CC]:[Pay TV vs. Free-to-Air]],3,FALSE)</f>
        <v>Pay TV</v>
      </c>
      <c r="O228" s="133">
        <f>VLOOKUP(CONCATENATE(Historic_BCast_BASE[[#This Row],[Broadcast Market]],Historic_BCast_BASE[[#This Row],[Broadcaster]]),Table1[[CC]:[Pay TV vs. Free-to-Air]],2,FALSE)</f>
        <v>5200000</v>
      </c>
      <c r="P228" s="235">
        <f>Historic_BCast_BASE[[#This Row],[Rolex EXP]]*86400</f>
        <v>76.337338726206994</v>
      </c>
      <c r="Q228" s="19" t="str">
        <f>IF(Historic_BCast_BASE[[#This Row],[Dashboard Rated?]]="No","N","Y")</f>
        <v>Y</v>
      </c>
      <c r="S228" s="22"/>
    </row>
    <row r="229" spans="1:19" x14ac:dyDescent="0.25">
      <c r="A229" s="72" t="s">
        <v>1869</v>
      </c>
      <c r="B229" t="s">
        <v>109</v>
      </c>
      <c r="C229" t="s">
        <v>1198</v>
      </c>
      <c r="D229" t="s">
        <v>1642</v>
      </c>
      <c r="E229" s="102">
        <v>5.6515740740740741</v>
      </c>
      <c r="F229" s="101">
        <v>409800</v>
      </c>
      <c r="G229" s="102">
        <v>0.53995760253922642</v>
      </c>
      <c r="H229" s="101">
        <v>6840.4348711790099</v>
      </c>
      <c r="I229" s="101">
        <v>1965.1286695048311</v>
      </c>
      <c r="J229" s="101" t="s">
        <v>1868</v>
      </c>
      <c r="K229" t="str">
        <f>VLOOKUP(Historic_BCast_BASE[[#This Row],[Broadcast Market]],Continent_Look_Up[],2,FALSE)</f>
        <v>Africa &amp; Middle East</v>
      </c>
      <c r="L229" s="132" t="str">
        <f>IF(OR(Historic_BCast_BASE[[#This Row],[Broadcast Continent]]="Digital",Historic_BCast_BASE[[#This Row],[Programme Type]]="Digital"),"Y","N")</f>
        <v>N</v>
      </c>
      <c r="M229" s="132" t="str">
        <f>IF(ISNUMBER(SEARCH("Pan ",Historic_BCast_BASE[[#This Row],[Broadcast Market]]))=TRUE,"Y","N")</f>
        <v>N</v>
      </c>
      <c r="N229" s="132" t="str">
        <f>VLOOKUP(CONCATENATE(Historic_BCast_BASE[[#This Row],[Broadcast Market]],Historic_BCast_BASE[[#This Row],[Broadcaster]]),Table1[[CC]:[Pay TV vs. Free-to-Air]],3,FALSE)</f>
        <v>Pay TV</v>
      </c>
      <c r="O229" s="133">
        <f>VLOOKUP(CONCATENATE(Historic_BCast_BASE[[#This Row],[Broadcast Market]],Historic_BCast_BASE[[#This Row],[Broadcaster]]),Table1[[CC]:[Pay TV vs. Free-to-Air]],2,FALSE)</f>
        <v>5200000</v>
      </c>
      <c r="P229" s="235">
        <f>Historic_BCast_BASE[[#This Row],[Rolex EXP]]*86400</f>
        <v>46652.336859389165</v>
      </c>
      <c r="Q229" s="19" t="str">
        <f>IF(Historic_BCast_BASE[[#This Row],[Dashboard Rated?]]="No","N","Y")</f>
        <v>Y</v>
      </c>
      <c r="S229" s="22"/>
    </row>
    <row r="230" spans="1:19" x14ac:dyDescent="0.25">
      <c r="A230" s="72" t="s">
        <v>1869</v>
      </c>
      <c r="B230" t="s">
        <v>109</v>
      </c>
      <c r="C230" t="s">
        <v>1198</v>
      </c>
      <c r="D230" t="s">
        <v>1643</v>
      </c>
      <c r="E230" s="102">
        <v>5.0875347222222222</v>
      </c>
      <c r="F230" s="101">
        <v>171916</v>
      </c>
      <c r="G230" s="102">
        <v>0.47909632154159992</v>
      </c>
      <c r="H230" s="101">
        <v>9276.015473041587</v>
      </c>
      <c r="I230" s="101">
        <v>2639.926675038947</v>
      </c>
      <c r="J230" s="101" t="s">
        <v>1868</v>
      </c>
      <c r="K230" t="str">
        <f>VLOOKUP(Historic_BCast_BASE[[#This Row],[Broadcast Market]],Continent_Look_Up[],2,FALSE)</f>
        <v>Africa &amp; Middle East</v>
      </c>
      <c r="L230" s="132" t="str">
        <f>IF(OR(Historic_BCast_BASE[[#This Row],[Broadcast Continent]]="Digital",Historic_BCast_BASE[[#This Row],[Programme Type]]="Digital"),"Y","N")</f>
        <v>N</v>
      </c>
      <c r="M230" s="132" t="str">
        <f>IF(ISNUMBER(SEARCH("Pan ",Historic_BCast_BASE[[#This Row],[Broadcast Market]]))=TRUE,"Y","N")</f>
        <v>N</v>
      </c>
      <c r="N230" s="132" t="str">
        <f>VLOOKUP(CONCATENATE(Historic_BCast_BASE[[#This Row],[Broadcast Market]],Historic_BCast_BASE[[#This Row],[Broadcaster]]),Table1[[CC]:[Pay TV vs. Free-to-Air]],3,FALSE)</f>
        <v>Pay TV</v>
      </c>
      <c r="O230" s="133">
        <f>VLOOKUP(CONCATENATE(Historic_BCast_BASE[[#This Row],[Broadcast Market]],Historic_BCast_BASE[[#This Row],[Broadcaster]]),Table1[[CC]:[Pay TV vs. Free-to-Air]],2,FALSE)</f>
        <v>5200000</v>
      </c>
      <c r="P230" s="235">
        <f>Historic_BCast_BASE[[#This Row],[Rolex EXP]]*86400</f>
        <v>41393.922181194233</v>
      </c>
      <c r="Q230" s="19" t="str">
        <f>IF(Historic_BCast_BASE[[#This Row],[Dashboard Rated?]]="No","N","Y")</f>
        <v>Y</v>
      </c>
      <c r="S230" s="22"/>
    </row>
    <row r="231" spans="1:19" x14ac:dyDescent="0.25">
      <c r="A231" s="72" t="s">
        <v>1869</v>
      </c>
      <c r="B231" t="s">
        <v>109</v>
      </c>
      <c r="C231" t="s">
        <v>1198</v>
      </c>
      <c r="D231" t="s">
        <v>1644</v>
      </c>
      <c r="E231" s="102">
        <v>1.9991087962962963</v>
      </c>
      <c r="F231" s="101">
        <v>92500</v>
      </c>
      <c r="G231" s="102">
        <v>0.19099705298299161</v>
      </c>
      <c r="H231" s="101">
        <v>4537.7614355690166</v>
      </c>
      <c r="I231" s="101">
        <v>1303.6137702270228</v>
      </c>
      <c r="J231" s="101" t="s">
        <v>1868</v>
      </c>
      <c r="K231" t="str">
        <f>VLOOKUP(Historic_BCast_BASE[[#This Row],[Broadcast Market]],Continent_Look_Up[],2,FALSE)</f>
        <v>Africa &amp; Middle East</v>
      </c>
      <c r="L231" s="132" t="str">
        <f>IF(OR(Historic_BCast_BASE[[#This Row],[Broadcast Continent]]="Digital",Historic_BCast_BASE[[#This Row],[Programme Type]]="Digital"),"Y","N")</f>
        <v>N</v>
      </c>
      <c r="M231" s="132" t="str">
        <f>IF(ISNUMBER(SEARCH("Pan ",Historic_BCast_BASE[[#This Row],[Broadcast Market]]))=TRUE,"Y","N")</f>
        <v>N</v>
      </c>
      <c r="N231" s="132" t="str">
        <f>VLOOKUP(CONCATENATE(Historic_BCast_BASE[[#This Row],[Broadcast Market]],Historic_BCast_BASE[[#This Row],[Broadcaster]]),Table1[[CC]:[Pay TV vs. Free-to-Air]],3,FALSE)</f>
        <v>Pay TV</v>
      </c>
      <c r="O231" s="133">
        <f>VLOOKUP(CONCATENATE(Historic_BCast_BASE[[#This Row],[Broadcast Market]],Historic_BCast_BASE[[#This Row],[Broadcaster]]),Table1[[CC]:[Pay TV vs. Free-to-Air]],2,FALSE)</f>
        <v>5200000</v>
      </c>
      <c r="P231" s="235">
        <f>Historic_BCast_BASE[[#This Row],[Rolex EXP]]*86400</f>
        <v>16502.145377730474</v>
      </c>
      <c r="Q231" s="19" t="str">
        <f>IF(Historic_BCast_BASE[[#This Row],[Dashboard Rated?]]="No","N","Y")</f>
        <v>Y</v>
      </c>
      <c r="S231" s="22"/>
    </row>
    <row r="232" spans="1:19" x14ac:dyDescent="0.25">
      <c r="A232" s="72" t="s">
        <v>1869</v>
      </c>
      <c r="B232" t="s">
        <v>109</v>
      </c>
      <c r="C232" t="s">
        <v>1199</v>
      </c>
      <c r="D232" t="s">
        <v>1643</v>
      </c>
      <c r="E232" s="102">
        <v>0.7107175925925926</v>
      </c>
      <c r="F232" s="101">
        <v>6400</v>
      </c>
      <c r="G232" s="102">
        <v>6.7902740431057734E-2</v>
      </c>
      <c r="H232" s="101">
        <v>1427.7061598336575</v>
      </c>
      <c r="I232" s="101">
        <v>410.15320796909953</v>
      </c>
      <c r="J232" s="101" t="s">
        <v>1868</v>
      </c>
      <c r="K232" t="str">
        <f>VLOOKUP(Historic_BCast_BASE[[#This Row],[Broadcast Market]],Continent_Look_Up[],2,FALSE)</f>
        <v>Africa &amp; Middle East</v>
      </c>
      <c r="L232" s="132" t="str">
        <f>IF(OR(Historic_BCast_BASE[[#This Row],[Broadcast Continent]]="Digital",Historic_BCast_BASE[[#This Row],[Programme Type]]="Digital"),"Y","N")</f>
        <v>N</v>
      </c>
      <c r="M232" s="132" t="str">
        <f>IF(ISNUMBER(SEARCH("Pan ",Historic_BCast_BASE[[#This Row],[Broadcast Market]]))=TRUE,"Y","N")</f>
        <v>N</v>
      </c>
      <c r="N232" s="132" t="str">
        <f>VLOOKUP(CONCATENATE(Historic_BCast_BASE[[#This Row],[Broadcast Market]],Historic_BCast_BASE[[#This Row],[Broadcaster]]),Table1[[CC]:[Pay TV vs. Free-to-Air]],3,FALSE)</f>
        <v>Pay TV</v>
      </c>
      <c r="O232" s="133">
        <f>VLOOKUP(CONCATENATE(Historic_BCast_BASE[[#This Row],[Broadcast Market]],Historic_BCast_BASE[[#This Row],[Broadcaster]]),Table1[[CC]:[Pay TV vs. Free-to-Air]],2,FALSE)</f>
        <v>5200000</v>
      </c>
      <c r="P232" s="235">
        <f>Historic_BCast_BASE[[#This Row],[Rolex EXP]]*86400</f>
        <v>5866.7967732433881</v>
      </c>
      <c r="Q232" s="19" t="str">
        <f>IF(Historic_BCast_BASE[[#This Row],[Dashboard Rated?]]="No","N","Y")</f>
        <v>Y</v>
      </c>
      <c r="S232" s="22"/>
    </row>
    <row r="233" spans="1:19" x14ac:dyDescent="0.25">
      <c r="A233" s="72" t="s">
        <v>1869</v>
      </c>
      <c r="B233" t="s">
        <v>109</v>
      </c>
      <c r="C233" t="s">
        <v>1200</v>
      </c>
      <c r="D233" t="s">
        <v>1642</v>
      </c>
      <c r="E233" s="102">
        <v>0.27197916666666666</v>
      </c>
      <c r="F233" s="101">
        <v>0</v>
      </c>
      <c r="G233" s="102">
        <v>2.5985188701257628E-2</v>
      </c>
      <c r="H233" s="101">
        <v>0</v>
      </c>
      <c r="I233" s="101">
        <v>0</v>
      </c>
      <c r="J233" s="101" t="s">
        <v>1868</v>
      </c>
      <c r="K233" t="str">
        <f>VLOOKUP(Historic_BCast_BASE[[#This Row],[Broadcast Market]],Continent_Look_Up[],2,FALSE)</f>
        <v>Africa &amp; Middle East</v>
      </c>
      <c r="L233" s="132" t="str">
        <f>IF(OR(Historic_BCast_BASE[[#This Row],[Broadcast Continent]]="Digital",Historic_BCast_BASE[[#This Row],[Programme Type]]="Digital"),"Y","N")</f>
        <v>N</v>
      </c>
      <c r="M233" s="132" t="str">
        <f>IF(ISNUMBER(SEARCH("Pan ",Historic_BCast_BASE[[#This Row],[Broadcast Market]]))=TRUE,"Y","N")</f>
        <v>N</v>
      </c>
      <c r="N233" s="132" t="str">
        <f>VLOOKUP(CONCATENATE(Historic_BCast_BASE[[#This Row],[Broadcast Market]],Historic_BCast_BASE[[#This Row],[Broadcaster]]),Table1[[CC]:[Pay TV vs. Free-to-Air]],3,FALSE)</f>
        <v>Pay TV</v>
      </c>
      <c r="O233" s="133">
        <f>VLOOKUP(CONCATENATE(Historic_BCast_BASE[[#This Row],[Broadcast Market]],Historic_BCast_BASE[[#This Row],[Broadcaster]]),Table1[[CC]:[Pay TV vs. Free-to-Air]],2,FALSE)</f>
        <v>5200000</v>
      </c>
      <c r="P233" s="235">
        <f>Historic_BCast_BASE[[#This Row],[Rolex EXP]]*86400</f>
        <v>2245.1203037886589</v>
      </c>
      <c r="Q233" s="19" t="str">
        <f>IF(Historic_BCast_BASE[[#This Row],[Dashboard Rated?]]="No","N","Y")</f>
        <v>Y</v>
      </c>
      <c r="S233" s="22"/>
    </row>
    <row r="234" spans="1:19" x14ac:dyDescent="0.25">
      <c r="A234" s="72" t="s">
        <v>1869</v>
      </c>
      <c r="B234" t="s">
        <v>109</v>
      </c>
      <c r="C234" t="s">
        <v>1200</v>
      </c>
      <c r="D234" t="s">
        <v>1643</v>
      </c>
      <c r="E234" s="102">
        <v>0.41671296296296295</v>
      </c>
      <c r="F234" s="101">
        <v>1100</v>
      </c>
      <c r="G234" s="102">
        <v>3.9813214775100192E-2</v>
      </c>
      <c r="H234" s="101">
        <v>73.073930471841919</v>
      </c>
      <c r="I234" s="101">
        <v>20.992769972659428</v>
      </c>
      <c r="J234" s="101" t="s">
        <v>1868</v>
      </c>
      <c r="K234" t="str">
        <f>VLOOKUP(Historic_BCast_BASE[[#This Row],[Broadcast Market]],Continent_Look_Up[],2,FALSE)</f>
        <v>Africa &amp; Middle East</v>
      </c>
      <c r="L234" s="132" t="str">
        <f>IF(OR(Historic_BCast_BASE[[#This Row],[Broadcast Continent]]="Digital",Historic_BCast_BASE[[#This Row],[Programme Type]]="Digital"),"Y","N")</f>
        <v>N</v>
      </c>
      <c r="M234" s="132" t="str">
        <f>IF(ISNUMBER(SEARCH("Pan ",Historic_BCast_BASE[[#This Row],[Broadcast Market]]))=TRUE,"Y","N")</f>
        <v>N</v>
      </c>
      <c r="N234" s="132" t="str">
        <f>VLOOKUP(CONCATENATE(Historic_BCast_BASE[[#This Row],[Broadcast Market]],Historic_BCast_BASE[[#This Row],[Broadcaster]]),Table1[[CC]:[Pay TV vs. Free-to-Air]],3,FALSE)</f>
        <v>Pay TV</v>
      </c>
      <c r="O234" s="133">
        <f>VLOOKUP(CONCATENATE(Historic_BCast_BASE[[#This Row],[Broadcast Market]],Historic_BCast_BASE[[#This Row],[Broadcaster]]),Table1[[CC]:[Pay TV vs. Free-to-Air]],2,FALSE)</f>
        <v>5200000</v>
      </c>
      <c r="P234" s="235">
        <f>Historic_BCast_BASE[[#This Row],[Rolex EXP]]*86400</f>
        <v>3439.8617565686568</v>
      </c>
      <c r="Q234" s="19" t="str">
        <f>IF(Historic_BCast_BASE[[#This Row],[Dashboard Rated?]]="No","N","Y")</f>
        <v>Y</v>
      </c>
      <c r="S234" s="22"/>
    </row>
    <row r="235" spans="1:19" x14ac:dyDescent="0.25">
      <c r="A235" s="72" t="s">
        <v>1869</v>
      </c>
      <c r="B235" t="s">
        <v>109</v>
      </c>
      <c r="C235" t="s">
        <v>1200</v>
      </c>
      <c r="D235" t="s">
        <v>1644</v>
      </c>
      <c r="E235" s="102">
        <v>8.2465277777777776E-2</v>
      </c>
      <c r="F235" s="101">
        <v>0</v>
      </c>
      <c r="G235" s="102">
        <v>7.8788233327571639E-3</v>
      </c>
      <c r="H235" s="101">
        <v>0</v>
      </c>
      <c r="I235" s="101">
        <v>0</v>
      </c>
      <c r="J235" s="101" t="s">
        <v>1868</v>
      </c>
      <c r="K235" t="str">
        <f>VLOOKUP(Historic_BCast_BASE[[#This Row],[Broadcast Market]],Continent_Look_Up[],2,FALSE)</f>
        <v>Africa &amp; Middle East</v>
      </c>
      <c r="L235" s="132" t="str">
        <f>IF(OR(Historic_BCast_BASE[[#This Row],[Broadcast Continent]]="Digital",Historic_BCast_BASE[[#This Row],[Programme Type]]="Digital"),"Y","N")</f>
        <v>N</v>
      </c>
      <c r="M235" s="132" t="str">
        <f>IF(ISNUMBER(SEARCH("Pan ",Historic_BCast_BASE[[#This Row],[Broadcast Market]]))=TRUE,"Y","N")</f>
        <v>N</v>
      </c>
      <c r="N235" s="132" t="str">
        <f>VLOOKUP(CONCATENATE(Historic_BCast_BASE[[#This Row],[Broadcast Market]],Historic_BCast_BASE[[#This Row],[Broadcaster]]),Table1[[CC]:[Pay TV vs. Free-to-Air]],3,FALSE)</f>
        <v>Pay TV</v>
      </c>
      <c r="O235" s="133">
        <f>VLOOKUP(CONCATENATE(Historic_BCast_BASE[[#This Row],[Broadcast Market]],Historic_BCast_BASE[[#This Row],[Broadcaster]]),Table1[[CC]:[Pay TV vs. Free-to-Air]],2,FALSE)</f>
        <v>5200000</v>
      </c>
      <c r="P235" s="235">
        <f>Historic_BCast_BASE[[#This Row],[Rolex EXP]]*86400</f>
        <v>680.730335950219</v>
      </c>
      <c r="Q235" s="19" t="str">
        <f>IF(Historic_BCast_BASE[[#This Row],[Dashboard Rated?]]="No","N","Y")</f>
        <v>Y</v>
      </c>
      <c r="S235" s="22"/>
    </row>
    <row r="236" spans="1:19" x14ac:dyDescent="0.25">
      <c r="A236" s="72" t="s">
        <v>1869</v>
      </c>
      <c r="B236" t="s">
        <v>109</v>
      </c>
      <c r="C236" t="s">
        <v>1201</v>
      </c>
      <c r="D236" t="s">
        <v>1642</v>
      </c>
      <c r="E236" s="102">
        <v>0.25175925925925929</v>
      </c>
      <c r="F236" s="101">
        <v>70900</v>
      </c>
      <c r="G236" s="102">
        <v>2.4053356510053869E-2</v>
      </c>
      <c r="H236" s="101">
        <v>831.74703895955531</v>
      </c>
      <c r="I236" s="101">
        <v>238.9453277191212</v>
      </c>
      <c r="J236" s="101" t="s">
        <v>1868</v>
      </c>
      <c r="K236" t="str">
        <f>VLOOKUP(Historic_BCast_BASE[[#This Row],[Broadcast Market]],Continent_Look_Up[],2,FALSE)</f>
        <v>Africa &amp; Middle East</v>
      </c>
      <c r="L236" s="132" t="str">
        <f>IF(OR(Historic_BCast_BASE[[#This Row],[Broadcast Continent]]="Digital",Historic_BCast_BASE[[#This Row],[Programme Type]]="Digital"),"Y","N")</f>
        <v>N</v>
      </c>
      <c r="M236" s="132" t="str">
        <f>IF(ISNUMBER(SEARCH("Pan ",Historic_BCast_BASE[[#This Row],[Broadcast Market]]))=TRUE,"Y","N")</f>
        <v>N</v>
      </c>
      <c r="N236" s="132" t="str">
        <f>VLOOKUP(CONCATENATE(Historic_BCast_BASE[[#This Row],[Broadcast Market]],Historic_BCast_BASE[[#This Row],[Broadcaster]]),Table1[[CC]:[Pay TV vs. Free-to-Air]],3,FALSE)</f>
        <v>Pay TV</v>
      </c>
      <c r="O236" s="133">
        <f>VLOOKUP(CONCATENATE(Historic_BCast_BASE[[#This Row],[Broadcast Market]],Historic_BCast_BASE[[#This Row],[Broadcaster]]),Table1[[CC]:[Pay TV vs. Free-to-Air]],2,FALSE)</f>
        <v>5200000</v>
      </c>
      <c r="P236" s="235">
        <f>Historic_BCast_BASE[[#This Row],[Rolex EXP]]*86400</f>
        <v>2078.2100024686542</v>
      </c>
      <c r="Q236" s="19" t="str">
        <f>IF(Historic_BCast_BASE[[#This Row],[Dashboard Rated?]]="No","N","Y")</f>
        <v>Y</v>
      </c>
      <c r="S236" s="22"/>
    </row>
    <row r="237" spans="1:19" x14ac:dyDescent="0.25">
      <c r="A237" s="72" t="s">
        <v>1869</v>
      </c>
      <c r="B237" t="s">
        <v>109</v>
      </c>
      <c r="C237" t="s">
        <v>1203</v>
      </c>
      <c r="D237" t="s">
        <v>1642</v>
      </c>
      <c r="E237" s="102">
        <v>8.4606481481481494E-3</v>
      </c>
      <c r="F237" s="101">
        <v>6100</v>
      </c>
      <c r="G237" s="102">
        <v>8.083396289467349E-4</v>
      </c>
      <c r="H237" s="101">
        <v>31.1648379672889</v>
      </c>
      <c r="I237" s="101">
        <v>8.9530735579441743</v>
      </c>
      <c r="J237" s="101" t="s">
        <v>1868</v>
      </c>
      <c r="K237" t="str">
        <f>VLOOKUP(Historic_BCast_BASE[[#This Row],[Broadcast Market]],Continent_Look_Up[],2,FALSE)</f>
        <v>Africa &amp; Middle East</v>
      </c>
      <c r="L237" s="132" t="str">
        <f>IF(OR(Historic_BCast_BASE[[#This Row],[Broadcast Continent]]="Digital",Historic_BCast_BASE[[#This Row],[Programme Type]]="Digital"),"Y","N")</f>
        <v>N</v>
      </c>
      <c r="M237" s="132" t="str">
        <f>IF(ISNUMBER(SEARCH("Pan ",Historic_BCast_BASE[[#This Row],[Broadcast Market]]))=TRUE,"Y","N")</f>
        <v>N</v>
      </c>
      <c r="N237" s="132" t="str">
        <f>VLOOKUP(CONCATENATE(Historic_BCast_BASE[[#This Row],[Broadcast Market]],Historic_BCast_BASE[[#This Row],[Broadcaster]]),Table1[[CC]:[Pay TV vs. Free-to-Air]],3,FALSE)</f>
        <v>Pay TV</v>
      </c>
      <c r="O237" s="133">
        <f>VLOOKUP(CONCATENATE(Historic_BCast_BASE[[#This Row],[Broadcast Market]],Historic_BCast_BASE[[#This Row],[Broadcaster]]),Table1[[CC]:[Pay TV vs. Free-to-Air]],2,FALSE)</f>
        <v>5200000</v>
      </c>
      <c r="P237" s="235">
        <f>Historic_BCast_BASE[[#This Row],[Rolex EXP]]*86400</f>
        <v>69.84054394099789</v>
      </c>
      <c r="Q237" s="19" t="str">
        <f>IF(Historic_BCast_BASE[[#This Row],[Dashboard Rated?]]="No","N","Y")</f>
        <v>Y</v>
      </c>
      <c r="S237" s="22"/>
    </row>
    <row r="238" spans="1:19" x14ac:dyDescent="0.25">
      <c r="A238" s="72" t="s">
        <v>1869</v>
      </c>
      <c r="B238" t="s">
        <v>109</v>
      </c>
      <c r="C238" t="s">
        <v>1203</v>
      </c>
      <c r="D238" t="s">
        <v>1643</v>
      </c>
      <c r="E238" s="102">
        <v>3.7668055555555555</v>
      </c>
      <c r="F238" s="101">
        <v>20400</v>
      </c>
      <c r="G238" s="102">
        <v>0.35988474544455906</v>
      </c>
      <c r="H238" s="101">
        <v>3930.215880575432</v>
      </c>
      <c r="I238" s="101">
        <v>1129.0773247185027</v>
      </c>
      <c r="J238" s="101" t="s">
        <v>1868</v>
      </c>
      <c r="K238" t="str">
        <f>VLOOKUP(Historic_BCast_BASE[[#This Row],[Broadcast Market]],Continent_Look_Up[],2,FALSE)</f>
        <v>Africa &amp; Middle East</v>
      </c>
      <c r="L238" s="132" t="str">
        <f>IF(OR(Historic_BCast_BASE[[#This Row],[Broadcast Continent]]="Digital",Historic_BCast_BASE[[#This Row],[Programme Type]]="Digital"),"Y","N")</f>
        <v>N</v>
      </c>
      <c r="M238" s="132" t="str">
        <f>IF(ISNUMBER(SEARCH("Pan ",Historic_BCast_BASE[[#This Row],[Broadcast Market]]))=TRUE,"Y","N")</f>
        <v>N</v>
      </c>
      <c r="N238" s="132" t="str">
        <f>VLOOKUP(CONCATENATE(Historic_BCast_BASE[[#This Row],[Broadcast Market]],Historic_BCast_BASE[[#This Row],[Broadcaster]]),Table1[[CC]:[Pay TV vs. Free-to-Air]],3,FALSE)</f>
        <v>Pay TV</v>
      </c>
      <c r="O238" s="133">
        <f>VLOOKUP(CONCATENATE(Historic_BCast_BASE[[#This Row],[Broadcast Market]],Historic_BCast_BASE[[#This Row],[Broadcaster]]),Table1[[CC]:[Pay TV vs. Free-to-Air]],2,FALSE)</f>
        <v>5200000</v>
      </c>
      <c r="P238" s="235">
        <f>Historic_BCast_BASE[[#This Row],[Rolex EXP]]*86400</f>
        <v>31094.042006409902</v>
      </c>
      <c r="Q238" s="19" t="str">
        <f>IF(Historic_BCast_BASE[[#This Row],[Dashboard Rated?]]="No","N","Y")</f>
        <v>Y</v>
      </c>
      <c r="S238" s="22"/>
    </row>
    <row r="239" spans="1:19" x14ac:dyDescent="0.25">
      <c r="A239" s="72" t="s">
        <v>1869</v>
      </c>
      <c r="B239" t="s">
        <v>110</v>
      </c>
      <c r="C239" t="s">
        <v>1439</v>
      </c>
      <c r="D239" t="s">
        <v>1642</v>
      </c>
      <c r="E239" s="102">
        <v>1.0440046296296297</v>
      </c>
      <c r="F239" s="101">
        <v>278837</v>
      </c>
      <c r="G239" s="102">
        <v>9.9745350492822682E-2</v>
      </c>
      <c r="H239" s="101">
        <v>65858.016472885894</v>
      </c>
      <c r="I239" s="101">
        <v>18919.773190572432</v>
      </c>
      <c r="J239" s="101" t="s">
        <v>1868</v>
      </c>
      <c r="K239" t="str">
        <f>VLOOKUP(Historic_BCast_BASE[[#This Row],[Broadcast Market]],Continent_Look_Up[],2,FALSE)</f>
        <v>Asia Pacific</v>
      </c>
      <c r="L239" s="132" t="str">
        <f>IF(OR(Historic_BCast_BASE[[#This Row],[Broadcast Continent]]="Digital",Historic_BCast_BASE[[#This Row],[Programme Type]]="Digital"),"Y","N")</f>
        <v>N</v>
      </c>
      <c r="M239" s="132" t="str">
        <f>IF(ISNUMBER(SEARCH("Pan ",Historic_BCast_BASE[[#This Row],[Broadcast Market]]))=TRUE,"Y","N")</f>
        <v>N</v>
      </c>
      <c r="N239" s="132" t="str">
        <f>VLOOKUP(CONCATENATE(Historic_BCast_BASE[[#This Row],[Broadcast Market]],Historic_BCast_BASE[[#This Row],[Broadcaster]]),Table1[[CC]:[Pay TV vs. Free-to-Air]],3,FALSE)</f>
        <v>Pay TV</v>
      </c>
      <c r="O239" s="133">
        <f>VLOOKUP(CONCATENATE(Historic_BCast_BASE[[#This Row],[Broadcast Market]],Historic_BCast_BASE[[#This Row],[Broadcaster]]),Table1[[CC]:[Pay TV vs. Free-to-Air]],2,FALSE)</f>
        <v>11136000</v>
      </c>
      <c r="P239" s="235">
        <f>Historic_BCast_BASE[[#This Row],[Rolex EXP]]*86400</f>
        <v>8617.9982825798797</v>
      </c>
      <c r="Q239" s="19" t="str">
        <f>IF(Historic_BCast_BASE[[#This Row],[Dashboard Rated?]]="No","N","Y")</f>
        <v>Y</v>
      </c>
      <c r="S239" s="22"/>
    </row>
    <row r="240" spans="1:19" x14ac:dyDescent="0.25">
      <c r="A240" s="72" t="s">
        <v>1869</v>
      </c>
      <c r="B240" t="s">
        <v>110</v>
      </c>
      <c r="C240" t="s">
        <v>1439</v>
      </c>
      <c r="D240" t="s">
        <v>1643</v>
      </c>
      <c r="E240" s="102">
        <v>2.8823726851851852</v>
      </c>
      <c r="F240" s="101">
        <v>754857</v>
      </c>
      <c r="G240" s="102">
        <v>0.27133131896389751</v>
      </c>
      <c r="H240" s="101">
        <v>509520.82284754247</v>
      </c>
      <c r="I240" s="101">
        <v>156827.13354226309</v>
      </c>
      <c r="J240" s="101" t="s">
        <v>1868</v>
      </c>
      <c r="K240" t="str">
        <f>VLOOKUP(Historic_BCast_BASE[[#This Row],[Broadcast Market]],Continent_Look_Up[],2,FALSE)</f>
        <v>Asia Pacific</v>
      </c>
      <c r="L240" s="132" t="str">
        <f>IF(OR(Historic_BCast_BASE[[#This Row],[Broadcast Continent]]="Digital",Historic_BCast_BASE[[#This Row],[Programme Type]]="Digital"),"Y","N")</f>
        <v>N</v>
      </c>
      <c r="M240" s="132" t="str">
        <f>IF(ISNUMBER(SEARCH("Pan ",Historic_BCast_BASE[[#This Row],[Broadcast Market]]))=TRUE,"Y","N")</f>
        <v>N</v>
      </c>
      <c r="N240" s="132" t="str">
        <f>VLOOKUP(CONCATENATE(Historic_BCast_BASE[[#This Row],[Broadcast Market]],Historic_BCast_BASE[[#This Row],[Broadcaster]]),Table1[[CC]:[Pay TV vs. Free-to-Air]],3,FALSE)</f>
        <v>Pay TV</v>
      </c>
      <c r="O240" s="133">
        <f>VLOOKUP(CONCATENATE(Historic_BCast_BASE[[#This Row],[Broadcast Market]],Historic_BCast_BASE[[#This Row],[Broadcaster]]),Table1[[CC]:[Pay TV vs. Free-to-Air]],2,FALSE)</f>
        <v>11136000</v>
      </c>
      <c r="P240" s="235">
        <f>Historic_BCast_BASE[[#This Row],[Rolex EXP]]*86400</f>
        <v>23443.025958480743</v>
      </c>
      <c r="Q240" s="19" t="str">
        <f>IF(Historic_BCast_BASE[[#This Row],[Dashboard Rated?]]="No","N","Y")</f>
        <v>Y</v>
      </c>
      <c r="S240" s="22"/>
    </row>
    <row r="241" spans="1:19" x14ac:dyDescent="0.25">
      <c r="A241" s="72" t="s">
        <v>1869</v>
      </c>
      <c r="B241" t="s">
        <v>110</v>
      </c>
      <c r="C241" t="s">
        <v>1439</v>
      </c>
      <c r="D241" t="s">
        <v>1644</v>
      </c>
      <c r="E241" s="102">
        <v>3.3859953703703702</v>
      </c>
      <c r="F241" s="101">
        <v>606046</v>
      </c>
      <c r="G241" s="102">
        <v>0.32390699118990818</v>
      </c>
      <c r="H241" s="101">
        <v>314364.68276637868</v>
      </c>
      <c r="I241" s="101">
        <v>94592.144086251676</v>
      </c>
      <c r="J241" s="101" t="s">
        <v>1868</v>
      </c>
      <c r="K241" t="str">
        <f>VLOOKUP(Historic_BCast_BASE[[#This Row],[Broadcast Market]],Continent_Look_Up[],2,FALSE)</f>
        <v>Asia Pacific</v>
      </c>
      <c r="L241" s="132" t="str">
        <f>IF(OR(Historic_BCast_BASE[[#This Row],[Broadcast Continent]]="Digital",Historic_BCast_BASE[[#This Row],[Programme Type]]="Digital"),"Y","N")</f>
        <v>N</v>
      </c>
      <c r="M241" s="132" t="str">
        <f>IF(ISNUMBER(SEARCH("Pan ",Historic_BCast_BASE[[#This Row],[Broadcast Market]]))=TRUE,"Y","N")</f>
        <v>N</v>
      </c>
      <c r="N241" s="132" t="str">
        <f>VLOOKUP(CONCATENATE(Historic_BCast_BASE[[#This Row],[Broadcast Market]],Historic_BCast_BASE[[#This Row],[Broadcaster]]),Table1[[CC]:[Pay TV vs. Free-to-Air]],3,FALSE)</f>
        <v>Pay TV</v>
      </c>
      <c r="O241" s="133">
        <f>VLOOKUP(CONCATENATE(Historic_BCast_BASE[[#This Row],[Broadcast Market]],Historic_BCast_BASE[[#This Row],[Broadcaster]]),Table1[[CC]:[Pay TV vs. Free-to-Air]],2,FALSE)</f>
        <v>11136000</v>
      </c>
      <c r="P241" s="235">
        <f>Historic_BCast_BASE[[#This Row],[Rolex EXP]]*86400</f>
        <v>27985.564038808068</v>
      </c>
      <c r="Q241" s="19" t="str">
        <f>IF(Historic_BCast_BASE[[#This Row],[Dashboard Rated?]]="No","N","Y")</f>
        <v>Y</v>
      </c>
      <c r="S241" s="22"/>
    </row>
    <row r="242" spans="1:19" x14ac:dyDescent="0.25">
      <c r="A242" s="72" t="s">
        <v>1869</v>
      </c>
      <c r="B242" t="s">
        <v>111</v>
      </c>
      <c r="C242" t="s">
        <v>221</v>
      </c>
      <c r="D242" t="s">
        <v>1642</v>
      </c>
      <c r="E242" s="102">
        <v>1.5007291666666669</v>
      </c>
      <c r="F242" s="101">
        <v>1076000</v>
      </c>
      <c r="G242" s="102">
        <v>0.13640572273385179</v>
      </c>
      <c r="H242" s="101">
        <v>16193.096411768121</v>
      </c>
      <c r="I242" s="101">
        <v>4919.5699638209744</v>
      </c>
      <c r="J242" s="101" t="s">
        <v>1868</v>
      </c>
      <c r="K242" t="str">
        <f>VLOOKUP(Historic_BCast_BASE[[#This Row],[Broadcast Market]],Continent_Look_Up[],2,FALSE)</f>
        <v>Europe</v>
      </c>
      <c r="L242" s="132" t="str">
        <f>IF(OR(Historic_BCast_BASE[[#This Row],[Broadcast Continent]]="Digital",Historic_BCast_BASE[[#This Row],[Programme Type]]="Digital"),"Y","N")</f>
        <v>N</v>
      </c>
      <c r="M242" s="132" t="str">
        <f>IF(ISNUMBER(SEARCH("Pan ",Historic_BCast_BASE[[#This Row],[Broadcast Market]]))=TRUE,"Y","N")</f>
        <v>N</v>
      </c>
      <c r="N242" s="132" t="str">
        <f>VLOOKUP(CONCATENATE(Historic_BCast_BASE[[#This Row],[Broadcast Market]],Historic_BCast_BASE[[#This Row],[Broadcaster]]),Table1[[CC]:[Pay TV vs. Free-to-Air]],3,FALSE)</f>
        <v>Pay TV</v>
      </c>
      <c r="O242" s="133">
        <f>VLOOKUP(CONCATENATE(Historic_BCast_BASE[[#This Row],[Broadcast Market]],Historic_BCast_BASE[[#This Row],[Broadcaster]]),Table1[[CC]:[Pay TV vs. Free-to-Air]],2,FALSE)</f>
        <v>2143000</v>
      </c>
      <c r="P242" s="235">
        <f>Historic_BCast_BASE[[#This Row],[Rolex EXP]]*86400</f>
        <v>11785.454444204795</v>
      </c>
      <c r="Q242" s="19" t="str">
        <f>IF(Historic_BCast_BASE[[#This Row],[Dashboard Rated?]]="No","N","Y")</f>
        <v>Y</v>
      </c>
      <c r="S242" s="22"/>
    </row>
    <row r="243" spans="1:19" x14ac:dyDescent="0.25">
      <c r="A243" s="72" t="s">
        <v>1869</v>
      </c>
      <c r="B243" t="s">
        <v>111</v>
      </c>
      <c r="C243" t="s">
        <v>221</v>
      </c>
      <c r="D243" t="s">
        <v>1643</v>
      </c>
      <c r="E243" s="102">
        <v>4.8977314814814816</v>
      </c>
      <c r="F243" s="101">
        <v>569567</v>
      </c>
      <c r="G243" s="102">
        <v>0.4613359368119308</v>
      </c>
      <c r="H243" s="101">
        <v>167392.77619266292</v>
      </c>
      <c r="I243" s="101">
        <v>50953.457907714823</v>
      </c>
      <c r="J243" s="101" t="s">
        <v>1868</v>
      </c>
      <c r="K243" t="str">
        <f>VLOOKUP(Historic_BCast_BASE[[#This Row],[Broadcast Market]],Continent_Look_Up[],2,FALSE)</f>
        <v>Europe</v>
      </c>
      <c r="L243" s="132" t="str">
        <f>IF(OR(Historic_BCast_BASE[[#This Row],[Broadcast Continent]]="Digital",Historic_BCast_BASE[[#This Row],[Programme Type]]="Digital"),"Y","N")</f>
        <v>N</v>
      </c>
      <c r="M243" s="132" t="str">
        <f>IF(ISNUMBER(SEARCH("Pan ",Historic_BCast_BASE[[#This Row],[Broadcast Market]]))=TRUE,"Y","N")</f>
        <v>N</v>
      </c>
      <c r="N243" s="132" t="str">
        <f>VLOOKUP(CONCATENATE(Historic_BCast_BASE[[#This Row],[Broadcast Market]],Historic_BCast_BASE[[#This Row],[Broadcaster]]),Table1[[CC]:[Pay TV vs. Free-to-Air]],3,FALSE)</f>
        <v>Pay TV</v>
      </c>
      <c r="O243" s="133">
        <f>VLOOKUP(CONCATENATE(Historic_BCast_BASE[[#This Row],[Broadcast Market]],Historic_BCast_BASE[[#This Row],[Broadcaster]]),Table1[[CC]:[Pay TV vs. Free-to-Air]],2,FALSE)</f>
        <v>2143000</v>
      </c>
      <c r="P243" s="235">
        <f>Historic_BCast_BASE[[#This Row],[Rolex EXP]]*86400</f>
        <v>39859.424940550824</v>
      </c>
      <c r="Q243" s="19" t="str">
        <f>IF(Historic_BCast_BASE[[#This Row],[Dashboard Rated?]]="No","N","Y")</f>
        <v>Y</v>
      </c>
      <c r="S243" s="22"/>
    </row>
    <row r="244" spans="1:19" x14ac:dyDescent="0.25">
      <c r="A244" s="72" t="s">
        <v>1869</v>
      </c>
      <c r="B244" t="s">
        <v>111</v>
      </c>
      <c r="C244" t="s">
        <v>221</v>
      </c>
      <c r="D244" t="s">
        <v>1644</v>
      </c>
      <c r="E244" s="102">
        <v>1.7285879629629628</v>
      </c>
      <c r="F244" s="101">
        <v>135500</v>
      </c>
      <c r="G244" s="102">
        <v>0.13438996815553225</v>
      </c>
      <c r="H244" s="101">
        <v>14347.585055275787</v>
      </c>
      <c r="I244" s="101">
        <v>4221.9674447538109</v>
      </c>
      <c r="J244" s="101" t="s">
        <v>1868</v>
      </c>
      <c r="K244" t="str">
        <f>VLOOKUP(Historic_BCast_BASE[[#This Row],[Broadcast Market]],Continent_Look_Up[],2,FALSE)</f>
        <v>Europe</v>
      </c>
      <c r="L244" s="132" t="str">
        <f>IF(OR(Historic_BCast_BASE[[#This Row],[Broadcast Continent]]="Digital",Historic_BCast_BASE[[#This Row],[Programme Type]]="Digital"),"Y","N")</f>
        <v>N</v>
      </c>
      <c r="M244" s="132" t="str">
        <f>IF(ISNUMBER(SEARCH("Pan ",Historic_BCast_BASE[[#This Row],[Broadcast Market]]))=TRUE,"Y","N")</f>
        <v>N</v>
      </c>
      <c r="N244" s="132" t="str">
        <f>VLOOKUP(CONCATENATE(Historic_BCast_BASE[[#This Row],[Broadcast Market]],Historic_BCast_BASE[[#This Row],[Broadcaster]]),Table1[[CC]:[Pay TV vs. Free-to-Air]],3,FALSE)</f>
        <v>Pay TV</v>
      </c>
      <c r="O244" s="133">
        <f>VLOOKUP(CONCATENATE(Historic_BCast_BASE[[#This Row],[Broadcast Market]],Historic_BCast_BASE[[#This Row],[Broadcaster]]),Table1[[CC]:[Pay TV vs. Free-to-Air]],2,FALSE)</f>
        <v>2143000</v>
      </c>
      <c r="P244" s="235">
        <f>Historic_BCast_BASE[[#This Row],[Rolex EXP]]*86400</f>
        <v>11611.293248637987</v>
      </c>
      <c r="Q244" s="19" t="str">
        <f>IF(Historic_BCast_BASE[[#This Row],[Dashboard Rated?]]="No","N","Y")</f>
        <v>Y</v>
      </c>
      <c r="S244" s="22"/>
    </row>
    <row r="245" spans="1:19" x14ac:dyDescent="0.25">
      <c r="A245" s="72" t="s">
        <v>1869</v>
      </c>
      <c r="B245" t="s">
        <v>111</v>
      </c>
      <c r="C245" t="s">
        <v>269</v>
      </c>
      <c r="D245" t="s">
        <v>1642</v>
      </c>
      <c r="E245" s="102">
        <v>1.0801967592592592</v>
      </c>
      <c r="F245" s="101">
        <v>333100</v>
      </c>
      <c r="G245" s="102">
        <v>9.8297024002557756E-2</v>
      </c>
      <c r="H245" s="101">
        <v>5146.5436059630474</v>
      </c>
      <c r="I245" s="101">
        <v>1553.7862119497481</v>
      </c>
      <c r="J245" s="101" t="s">
        <v>1868</v>
      </c>
      <c r="K245" t="str">
        <f>VLOOKUP(Historic_BCast_BASE[[#This Row],[Broadcast Market]],Continent_Look_Up[],2,FALSE)</f>
        <v>Europe</v>
      </c>
      <c r="L245" s="132" t="str">
        <f>IF(OR(Historic_BCast_BASE[[#This Row],[Broadcast Continent]]="Digital",Historic_BCast_BASE[[#This Row],[Programme Type]]="Digital"),"Y","N")</f>
        <v>N</v>
      </c>
      <c r="M245" s="132" t="str">
        <f>IF(ISNUMBER(SEARCH("Pan ",Historic_BCast_BASE[[#This Row],[Broadcast Market]]))=TRUE,"Y","N")</f>
        <v>N</v>
      </c>
      <c r="N245" s="132" t="str">
        <f>VLOOKUP(CONCATENATE(Historic_BCast_BASE[[#This Row],[Broadcast Market]],Historic_BCast_BASE[[#This Row],[Broadcaster]]),Table1[[CC]:[Pay TV vs. Free-to-Air]],3,FALSE)</f>
        <v>Pay TV</v>
      </c>
      <c r="O245" s="133">
        <f>VLOOKUP(CONCATENATE(Historic_BCast_BASE[[#This Row],[Broadcast Market]],Historic_BCast_BASE[[#This Row],[Broadcaster]]),Table1[[CC]:[Pay TV vs. Free-to-Air]],2,FALSE)</f>
        <v>1560000</v>
      </c>
      <c r="P245" s="235">
        <f>Historic_BCast_BASE[[#This Row],[Rolex EXP]]*86400</f>
        <v>8492.86287382099</v>
      </c>
      <c r="Q245" s="19" t="str">
        <f>IF(Historic_BCast_BASE[[#This Row],[Dashboard Rated?]]="No","N","Y")</f>
        <v>Y</v>
      </c>
      <c r="S245" s="22"/>
    </row>
    <row r="246" spans="1:19" x14ac:dyDescent="0.25">
      <c r="A246" s="72" t="s">
        <v>1869</v>
      </c>
      <c r="B246" t="s">
        <v>111</v>
      </c>
      <c r="C246" t="s">
        <v>269</v>
      </c>
      <c r="D246" t="s">
        <v>1643</v>
      </c>
      <c r="E246" s="102">
        <v>2.5856481481481484</v>
      </c>
      <c r="F246" s="101">
        <v>253961</v>
      </c>
      <c r="G246" s="102">
        <v>0.32213148892730653</v>
      </c>
      <c r="H246" s="101">
        <v>57665.056012574336</v>
      </c>
      <c r="I246" s="101">
        <v>16232.344977375262</v>
      </c>
      <c r="J246" s="101" t="s">
        <v>1868</v>
      </c>
      <c r="K246" t="str">
        <f>VLOOKUP(Historic_BCast_BASE[[#This Row],[Broadcast Market]],Continent_Look_Up[],2,FALSE)</f>
        <v>Europe</v>
      </c>
      <c r="L246" s="132" t="str">
        <f>IF(OR(Historic_BCast_BASE[[#This Row],[Broadcast Continent]]="Digital",Historic_BCast_BASE[[#This Row],[Programme Type]]="Digital"),"Y","N")</f>
        <v>N</v>
      </c>
      <c r="M246" s="132" t="str">
        <f>IF(ISNUMBER(SEARCH("Pan ",Historic_BCast_BASE[[#This Row],[Broadcast Market]]))=TRUE,"Y","N")</f>
        <v>N</v>
      </c>
      <c r="N246" s="132" t="str">
        <f>VLOOKUP(CONCATENATE(Historic_BCast_BASE[[#This Row],[Broadcast Market]],Historic_BCast_BASE[[#This Row],[Broadcaster]]),Table1[[CC]:[Pay TV vs. Free-to-Air]],3,FALSE)</f>
        <v>Pay TV</v>
      </c>
      <c r="O246" s="133">
        <f>VLOOKUP(CONCATENATE(Historic_BCast_BASE[[#This Row],[Broadcast Market]],Historic_BCast_BASE[[#This Row],[Broadcaster]]),Table1[[CC]:[Pay TV vs. Free-to-Air]],2,FALSE)</f>
        <v>1560000</v>
      </c>
      <c r="P246" s="235">
        <f>Historic_BCast_BASE[[#This Row],[Rolex EXP]]*86400</f>
        <v>27832.160643319283</v>
      </c>
      <c r="Q246" s="19" t="str">
        <f>IF(Historic_BCast_BASE[[#This Row],[Dashboard Rated?]]="No","N","Y")</f>
        <v>Y</v>
      </c>
      <c r="S246" s="22"/>
    </row>
    <row r="247" spans="1:19" x14ac:dyDescent="0.25">
      <c r="A247" s="72" t="s">
        <v>1869</v>
      </c>
      <c r="B247" t="s">
        <v>111</v>
      </c>
      <c r="C247" t="s">
        <v>269</v>
      </c>
      <c r="D247" t="s">
        <v>1644</v>
      </c>
      <c r="E247" s="102">
        <v>2.954606481481481</v>
      </c>
      <c r="F247" s="101">
        <v>115100</v>
      </c>
      <c r="G247" s="102">
        <v>0.27872709813937979</v>
      </c>
      <c r="H247" s="101">
        <v>19010.290428032225</v>
      </c>
      <c r="I247" s="101">
        <v>5503.2429518700637</v>
      </c>
      <c r="J247" s="101" t="s">
        <v>1868</v>
      </c>
      <c r="K247" t="str">
        <f>VLOOKUP(Historic_BCast_BASE[[#This Row],[Broadcast Market]],Continent_Look_Up[],2,FALSE)</f>
        <v>Europe</v>
      </c>
      <c r="L247" s="132" t="str">
        <f>IF(OR(Historic_BCast_BASE[[#This Row],[Broadcast Continent]]="Digital",Historic_BCast_BASE[[#This Row],[Programme Type]]="Digital"),"Y","N")</f>
        <v>N</v>
      </c>
      <c r="M247" s="132" t="str">
        <f>IF(ISNUMBER(SEARCH("Pan ",Historic_BCast_BASE[[#This Row],[Broadcast Market]]))=TRUE,"Y","N")</f>
        <v>N</v>
      </c>
      <c r="N247" s="132" t="str">
        <f>VLOOKUP(CONCATENATE(Historic_BCast_BASE[[#This Row],[Broadcast Market]],Historic_BCast_BASE[[#This Row],[Broadcaster]]),Table1[[CC]:[Pay TV vs. Free-to-Air]],3,FALSE)</f>
        <v>Pay TV</v>
      </c>
      <c r="O247" s="133">
        <f>VLOOKUP(CONCATENATE(Historic_BCast_BASE[[#This Row],[Broadcast Market]],Historic_BCast_BASE[[#This Row],[Broadcaster]]),Table1[[CC]:[Pay TV vs. Free-to-Air]],2,FALSE)</f>
        <v>1560000</v>
      </c>
      <c r="P247" s="235">
        <f>Historic_BCast_BASE[[#This Row],[Rolex EXP]]*86400</f>
        <v>24082.021279242414</v>
      </c>
      <c r="Q247" s="19" t="str">
        <f>IF(Historic_BCast_BASE[[#This Row],[Dashboard Rated?]]="No","N","Y")</f>
        <v>Y</v>
      </c>
      <c r="S247" s="22"/>
    </row>
    <row r="248" spans="1:19" x14ac:dyDescent="0.25">
      <c r="A248" s="72" t="s">
        <v>1869</v>
      </c>
      <c r="B248" t="s">
        <v>111</v>
      </c>
      <c r="C248" t="s">
        <v>174</v>
      </c>
      <c r="D248" t="s">
        <v>1642</v>
      </c>
      <c r="E248" s="102">
        <v>0.39140046296296299</v>
      </c>
      <c r="F248" s="101">
        <v>22600</v>
      </c>
      <c r="G248" s="102">
        <v>3.8787319058569393E-2</v>
      </c>
      <c r="H248" s="101">
        <v>478.19046999030951</v>
      </c>
      <c r="I248" s="101">
        <v>145.22680530484047</v>
      </c>
      <c r="J248" s="101" t="s">
        <v>1868</v>
      </c>
      <c r="K248" t="str">
        <f>VLOOKUP(Historic_BCast_BASE[[#This Row],[Broadcast Market]],Continent_Look_Up[],2,FALSE)</f>
        <v>Europe</v>
      </c>
      <c r="L248" s="132" t="str">
        <f>IF(OR(Historic_BCast_BASE[[#This Row],[Broadcast Continent]]="Digital",Historic_BCast_BASE[[#This Row],[Programme Type]]="Digital"),"Y","N")</f>
        <v>N</v>
      </c>
      <c r="M248" s="132" t="str">
        <f>IF(ISNUMBER(SEARCH("Pan ",Historic_BCast_BASE[[#This Row],[Broadcast Market]]))=TRUE,"Y","N")</f>
        <v>N</v>
      </c>
      <c r="N248" s="132" t="str">
        <f>VLOOKUP(CONCATENATE(Historic_BCast_BASE[[#This Row],[Broadcast Market]],Historic_BCast_BASE[[#This Row],[Broadcaster]]),Table1[[CC]:[Pay TV vs. Free-to-Air]],3,FALSE)</f>
        <v>Pay TV</v>
      </c>
      <c r="O248" s="133">
        <f>VLOOKUP(CONCATENATE(Historic_BCast_BASE[[#This Row],[Broadcast Market]],Historic_BCast_BASE[[#This Row],[Broadcaster]]),Table1[[CC]:[Pay TV vs. Free-to-Air]],2,FALSE)</f>
        <v>3854000</v>
      </c>
      <c r="P248" s="235">
        <f>Historic_BCast_BASE[[#This Row],[Rolex EXP]]*86400</f>
        <v>3351.2243666603954</v>
      </c>
      <c r="Q248" s="19" t="str">
        <f>IF(Historic_BCast_BASE[[#This Row],[Dashboard Rated?]]="No","N","Y")</f>
        <v>Y</v>
      </c>
      <c r="S248" s="22"/>
    </row>
    <row r="249" spans="1:19" x14ac:dyDescent="0.25">
      <c r="A249" s="72" t="s">
        <v>1869</v>
      </c>
      <c r="B249" t="s">
        <v>111</v>
      </c>
      <c r="C249" t="s">
        <v>174</v>
      </c>
      <c r="D249" t="s">
        <v>1643</v>
      </c>
      <c r="E249" s="102">
        <v>2.3991435185185188</v>
      </c>
      <c r="F249" s="101">
        <v>22500</v>
      </c>
      <c r="G249" s="102">
        <v>0.2466672308100879</v>
      </c>
      <c r="H249" s="101">
        <v>5431.9167685030507</v>
      </c>
      <c r="I249" s="101">
        <v>1653.658628950664</v>
      </c>
      <c r="J249" s="101" t="s">
        <v>1868</v>
      </c>
      <c r="K249" t="str">
        <f>VLOOKUP(Historic_BCast_BASE[[#This Row],[Broadcast Market]],Continent_Look_Up[],2,FALSE)</f>
        <v>Europe</v>
      </c>
      <c r="L249" s="132" t="str">
        <f>IF(OR(Historic_BCast_BASE[[#This Row],[Broadcast Continent]]="Digital",Historic_BCast_BASE[[#This Row],[Programme Type]]="Digital"),"Y","N")</f>
        <v>N</v>
      </c>
      <c r="M249" s="132" t="str">
        <f>IF(ISNUMBER(SEARCH("Pan ",Historic_BCast_BASE[[#This Row],[Broadcast Market]]))=TRUE,"Y","N")</f>
        <v>N</v>
      </c>
      <c r="N249" s="132" t="str">
        <f>VLOOKUP(CONCATENATE(Historic_BCast_BASE[[#This Row],[Broadcast Market]],Historic_BCast_BASE[[#This Row],[Broadcaster]]),Table1[[CC]:[Pay TV vs. Free-to-Air]],3,FALSE)</f>
        <v>Pay TV</v>
      </c>
      <c r="O249" s="133">
        <f>VLOOKUP(CONCATENATE(Historic_BCast_BASE[[#This Row],[Broadcast Market]],Historic_BCast_BASE[[#This Row],[Broadcaster]]),Table1[[CC]:[Pay TV vs. Free-to-Air]],2,FALSE)</f>
        <v>3854000</v>
      </c>
      <c r="P249" s="235">
        <f>Historic_BCast_BASE[[#This Row],[Rolex EXP]]*86400</f>
        <v>21312.048741991595</v>
      </c>
      <c r="Q249" s="19" t="str">
        <f>IF(Historic_BCast_BASE[[#This Row],[Dashboard Rated?]]="No","N","Y")</f>
        <v>Y</v>
      </c>
      <c r="S249" s="22"/>
    </row>
    <row r="250" spans="1:19" x14ac:dyDescent="0.25">
      <c r="A250" s="72" t="s">
        <v>1869</v>
      </c>
      <c r="B250" t="s">
        <v>111</v>
      </c>
      <c r="C250" t="s">
        <v>174</v>
      </c>
      <c r="D250" t="s">
        <v>1644</v>
      </c>
      <c r="E250" s="102">
        <v>2.6249999999999999E-2</v>
      </c>
      <c r="F250" s="101">
        <v>0</v>
      </c>
      <c r="G250" s="102">
        <v>3.4722940123537265E-3</v>
      </c>
      <c r="H250" s="101">
        <v>0</v>
      </c>
      <c r="I250" s="101">
        <v>0</v>
      </c>
      <c r="J250" s="101" t="s">
        <v>1868</v>
      </c>
      <c r="K250" t="str">
        <f>VLOOKUP(Historic_BCast_BASE[[#This Row],[Broadcast Market]],Continent_Look_Up[],2,FALSE)</f>
        <v>Europe</v>
      </c>
      <c r="L250" s="132" t="str">
        <f>IF(OR(Historic_BCast_BASE[[#This Row],[Broadcast Continent]]="Digital",Historic_BCast_BASE[[#This Row],[Programme Type]]="Digital"),"Y","N")</f>
        <v>N</v>
      </c>
      <c r="M250" s="132" t="str">
        <f>IF(ISNUMBER(SEARCH("Pan ",Historic_BCast_BASE[[#This Row],[Broadcast Market]]))=TRUE,"Y","N")</f>
        <v>N</v>
      </c>
      <c r="N250" s="132" t="str">
        <f>VLOOKUP(CONCATENATE(Historic_BCast_BASE[[#This Row],[Broadcast Market]],Historic_BCast_BASE[[#This Row],[Broadcaster]]),Table1[[CC]:[Pay TV vs. Free-to-Air]],3,FALSE)</f>
        <v>Pay TV</v>
      </c>
      <c r="O250" s="133">
        <f>VLOOKUP(CONCATENATE(Historic_BCast_BASE[[#This Row],[Broadcast Market]],Historic_BCast_BASE[[#This Row],[Broadcaster]]),Table1[[CC]:[Pay TV vs. Free-to-Air]],2,FALSE)</f>
        <v>3854000</v>
      </c>
      <c r="P250" s="235">
        <f>Historic_BCast_BASE[[#This Row],[Rolex EXP]]*86400</f>
        <v>300.00620266736195</v>
      </c>
      <c r="Q250" s="19" t="str">
        <f>IF(Historic_BCast_BASE[[#This Row],[Dashboard Rated?]]="No","N","Y")</f>
        <v>Y</v>
      </c>
      <c r="S250" s="22"/>
    </row>
    <row r="251" spans="1:19" x14ac:dyDescent="0.25">
      <c r="A251" s="72" t="s">
        <v>1869</v>
      </c>
      <c r="B251" t="s">
        <v>113</v>
      </c>
      <c r="C251" t="s">
        <v>268</v>
      </c>
      <c r="D251" t="s">
        <v>1642</v>
      </c>
      <c r="E251" s="102">
        <v>1.6472337962962964</v>
      </c>
      <c r="F251" s="101">
        <v>236613</v>
      </c>
      <c r="G251" s="102">
        <v>0.14996715077333189</v>
      </c>
      <c r="H251" s="101">
        <v>88872.414896784991</v>
      </c>
      <c r="I251" s="101">
        <v>26732.853908742698</v>
      </c>
      <c r="J251" s="101" t="s">
        <v>1867</v>
      </c>
      <c r="K251" t="str">
        <f>VLOOKUP(Historic_BCast_BASE[[#This Row],[Broadcast Market]],Continent_Look_Up[],2,FALSE)</f>
        <v>Europe</v>
      </c>
      <c r="L251" s="132" t="str">
        <f>IF(OR(Historic_BCast_BASE[[#This Row],[Broadcast Continent]]="Digital",Historic_BCast_BASE[[#This Row],[Programme Type]]="Digital"),"Y","N")</f>
        <v>N</v>
      </c>
      <c r="M251" s="132" t="str">
        <f>IF(ISNUMBER(SEARCH("Pan ",Historic_BCast_BASE[[#This Row],[Broadcast Market]]))=TRUE,"Y","N")</f>
        <v>N</v>
      </c>
      <c r="N251" s="132" t="str">
        <f>VLOOKUP(CONCATENATE(Historic_BCast_BASE[[#This Row],[Broadcast Market]],Historic_BCast_BASE[[#This Row],[Broadcaster]]),Table1[[CC]:[Pay TV vs. Free-to-Air]],3,FALSE)</f>
        <v>Pay TV</v>
      </c>
      <c r="O251" s="133">
        <f>VLOOKUP(CONCATENATE(Historic_BCast_BASE[[#This Row],[Broadcast Market]],Historic_BCast_BASE[[#This Row],[Broadcaster]]),Table1[[CC]:[Pay TV vs. Free-to-Air]],2,FALSE)</f>
        <v>3087000</v>
      </c>
      <c r="P251" s="235">
        <f>Historic_BCast_BASE[[#This Row],[Rolex EXP]]*86400</f>
        <v>12957.161826815876</v>
      </c>
      <c r="Q251" s="19" t="str">
        <f>IF(Historic_BCast_BASE[[#This Row],[Dashboard Rated?]]="No","N","Y")</f>
        <v>N</v>
      </c>
      <c r="S251" s="22"/>
    </row>
    <row r="252" spans="1:19" x14ac:dyDescent="0.25">
      <c r="A252" s="72" t="s">
        <v>1869</v>
      </c>
      <c r="B252" t="s">
        <v>113</v>
      </c>
      <c r="C252" t="s">
        <v>268</v>
      </c>
      <c r="D252" t="s">
        <v>1643</v>
      </c>
      <c r="E252" s="102">
        <v>5.6700462962962961</v>
      </c>
      <c r="F252" s="101">
        <v>685668</v>
      </c>
      <c r="G252" s="102">
        <v>0.53315954661086218</v>
      </c>
      <c r="H252" s="101">
        <v>770081.78760543664</v>
      </c>
      <c r="I252" s="101">
        <v>231040.54482802827</v>
      </c>
      <c r="J252" s="101" t="s">
        <v>1867</v>
      </c>
      <c r="K252" t="str">
        <f>VLOOKUP(Historic_BCast_BASE[[#This Row],[Broadcast Market]],Continent_Look_Up[],2,FALSE)</f>
        <v>Europe</v>
      </c>
      <c r="L252" s="132" t="str">
        <f>IF(OR(Historic_BCast_BASE[[#This Row],[Broadcast Continent]]="Digital",Historic_BCast_BASE[[#This Row],[Programme Type]]="Digital"),"Y","N")</f>
        <v>N</v>
      </c>
      <c r="M252" s="132" t="str">
        <f>IF(ISNUMBER(SEARCH("Pan ",Historic_BCast_BASE[[#This Row],[Broadcast Market]]))=TRUE,"Y","N")</f>
        <v>N</v>
      </c>
      <c r="N252" s="132" t="str">
        <f>VLOOKUP(CONCATENATE(Historic_BCast_BASE[[#This Row],[Broadcast Market]],Historic_BCast_BASE[[#This Row],[Broadcaster]]),Table1[[CC]:[Pay TV vs. Free-to-Air]],3,FALSE)</f>
        <v>Pay TV</v>
      </c>
      <c r="O252" s="133">
        <f>VLOOKUP(CONCATENATE(Historic_BCast_BASE[[#This Row],[Broadcast Market]],Historic_BCast_BASE[[#This Row],[Broadcaster]]),Table1[[CC]:[Pay TV vs. Free-to-Air]],2,FALSE)</f>
        <v>3087000</v>
      </c>
      <c r="P252" s="235">
        <f>Historic_BCast_BASE[[#This Row],[Rolex EXP]]*86400</f>
        <v>46064.984827178494</v>
      </c>
      <c r="Q252" s="19" t="str">
        <f>IF(Historic_BCast_BASE[[#This Row],[Dashboard Rated?]]="No","N","Y")</f>
        <v>N</v>
      </c>
      <c r="S252" s="22"/>
    </row>
    <row r="253" spans="1:19" x14ac:dyDescent="0.25">
      <c r="A253" s="72" t="s">
        <v>1869</v>
      </c>
      <c r="B253" t="s">
        <v>113</v>
      </c>
      <c r="C253" t="s">
        <v>268</v>
      </c>
      <c r="D253" t="s">
        <v>1644</v>
      </c>
      <c r="E253" s="102">
        <v>0.92519675925925926</v>
      </c>
      <c r="F253" s="101">
        <v>84493</v>
      </c>
      <c r="G253" s="102">
        <v>6.305380826410209E-2</v>
      </c>
      <c r="H253" s="101">
        <v>46597.572705300969</v>
      </c>
      <c r="I253" s="101">
        <v>13191.337026154493</v>
      </c>
      <c r="J253" s="101" t="s">
        <v>1867</v>
      </c>
      <c r="K253" t="str">
        <f>VLOOKUP(Historic_BCast_BASE[[#This Row],[Broadcast Market]],Continent_Look_Up[],2,FALSE)</f>
        <v>Europe</v>
      </c>
      <c r="L253" s="132" t="str">
        <f>IF(OR(Historic_BCast_BASE[[#This Row],[Broadcast Continent]]="Digital",Historic_BCast_BASE[[#This Row],[Programme Type]]="Digital"),"Y","N")</f>
        <v>N</v>
      </c>
      <c r="M253" s="132" t="str">
        <f>IF(ISNUMBER(SEARCH("Pan ",Historic_BCast_BASE[[#This Row],[Broadcast Market]]))=TRUE,"Y","N")</f>
        <v>N</v>
      </c>
      <c r="N253" s="132" t="str">
        <f>VLOOKUP(CONCATENATE(Historic_BCast_BASE[[#This Row],[Broadcast Market]],Historic_BCast_BASE[[#This Row],[Broadcaster]]),Table1[[CC]:[Pay TV vs. Free-to-Air]],3,FALSE)</f>
        <v>Pay TV</v>
      </c>
      <c r="O253" s="133">
        <f>VLOOKUP(CONCATENATE(Historic_BCast_BASE[[#This Row],[Broadcast Market]],Historic_BCast_BASE[[#This Row],[Broadcaster]]),Table1[[CC]:[Pay TV vs. Free-to-Air]],2,FALSE)</f>
        <v>3087000</v>
      </c>
      <c r="P253" s="235">
        <f>Historic_BCast_BASE[[#This Row],[Rolex EXP]]*86400</f>
        <v>5447.8490340184208</v>
      </c>
      <c r="Q253" s="19" t="str">
        <f>IF(Historic_BCast_BASE[[#This Row],[Dashboard Rated?]]="No","N","Y")</f>
        <v>N</v>
      </c>
      <c r="S253" s="22"/>
    </row>
    <row r="254" spans="1:19" x14ac:dyDescent="0.25">
      <c r="A254" s="72" t="s">
        <v>1869</v>
      </c>
      <c r="B254" t="s">
        <v>113</v>
      </c>
      <c r="C254" t="s">
        <v>269</v>
      </c>
      <c r="D254" t="s">
        <v>1642</v>
      </c>
      <c r="E254" s="102">
        <v>1.1555555555555557</v>
      </c>
      <c r="F254" s="101">
        <v>122884</v>
      </c>
      <c r="G254" s="102">
        <v>0.11839960800836975</v>
      </c>
      <c r="H254" s="101">
        <v>47515.569934248015</v>
      </c>
      <c r="I254" s="101">
        <v>14632.562018510362</v>
      </c>
      <c r="J254" s="101" t="s">
        <v>1867</v>
      </c>
      <c r="K254" t="str">
        <f>VLOOKUP(Historic_BCast_BASE[[#This Row],[Broadcast Market]],Continent_Look_Up[],2,FALSE)</f>
        <v>Europe</v>
      </c>
      <c r="L254" s="132" t="str">
        <f>IF(OR(Historic_BCast_BASE[[#This Row],[Broadcast Continent]]="Digital",Historic_BCast_BASE[[#This Row],[Programme Type]]="Digital"),"Y","N")</f>
        <v>N</v>
      </c>
      <c r="M254" s="132" t="str">
        <f>IF(ISNUMBER(SEARCH("Pan ",Historic_BCast_BASE[[#This Row],[Broadcast Market]]))=TRUE,"Y","N")</f>
        <v>N</v>
      </c>
      <c r="N254" s="132" t="str">
        <f>VLOOKUP(CONCATENATE(Historic_BCast_BASE[[#This Row],[Broadcast Market]],Historic_BCast_BASE[[#This Row],[Broadcaster]]),Table1[[CC]:[Pay TV vs. Free-to-Air]],3,FALSE)</f>
        <v>Pay TV</v>
      </c>
      <c r="O254" s="133">
        <f>VLOOKUP(CONCATENATE(Historic_BCast_BASE[[#This Row],[Broadcast Market]],Historic_BCast_BASE[[#This Row],[Broadcaster]]),Table1[[CC]:[Pay TV vs. Free-to-Air]],2,FALSE)</f>
        <v>1301000</v>
      </c>
      <c r="P254" s="235">
        <f>Historic_BCast_BASE[[#This Row],[Rolex EXP]]*86400</f>
        <v>10229.726131923147</v>
      </c>
      <c r="Q254" s="19" t="str">
        <f>IF(Historic_BCast_BASE[[#This Row],[Dashboard Rated?]]="No","N","Y")</f>
        <v>N</v>
      </c>
      <c r="S254" s="22"/>
    </row>
    <row r="255" spans="1:19" x14ac:dyDescent="0.25">
      <c r="A255" s="72" t="s">
        <v>1869</v>
      </c>
      <c r="B255" t="s">
        <v>113</v>
      </c>
      <c r="C255" t="s">
        <v>269</v>
      </c>
      <c r="D255" t="s">
        <v>1643</v>
      </c>
      <c r="E255" s="102">
        <v>2.9608333333333334</v>
      </c>
      <c r="F255" s="101">
        <v>411299</v>
      </c>
      <c r="G255" s="102">
        <v>0.34654565009975324</v>
      </c>
      <c r="H255" s="101">
        <v>404040.95271309954</v>
      </c>
      <c r="I255" s="101">
        <v>116949.57012998594</v>
      </c>
      <c r="J255" s="101" t="s">
        <v>1867</v>
      </c>
      <c r="K255" t="str">
        <f>VLOOKUP(Historic_BCast_BASE[[#This Row],[Broadcast Market]],Continent_Look_Up[],2,FALSE)</f>
        <v>Europe</v>
      </c>
      <c r="L255" s="132" t="str">
        <f>IF(OR(Historic_BCast_BASE[[#This Row],[Broadcast Continent]]="Digital",Historic_BCast_BASE[[#This Row],[Programme Type]]="Digital"),"Y","N")</f>
        <v>N</v>
      </c>
      <c r="M255" s="132" t="str">
        <f>IF(ISNUMBER(SEARCH("Pan ",Historic_BCast_BASE[[#This Row],[Broadcast Market]]))=TRUE,"Y","N")</f>
        <v>N</v>
      </c>
      <c r="N255" s="132" t="str">
        <f>VLOOKUP(CONCATENATE(Historic_BCast_BASE[[#This Row],[Broadcast Market]],Historic_BCast_BASE[[#This Row],[Broadcaster]]),Table1[[CC]:[Pay TV vs. Free-to-Air]],3,FALSE)</f>
        <v>Pay TV</v>
      </c>
      <c r="O255" s="133">
        <f>VLOOKUP(CONCATENATE(Historic_BCast_BASE[[#This Row],[Broadcast Market]],Historic_BCast_BASE[[#This Row],[Broadcaster]]),Table1[[CC]:[Pay TV vs. Free-to-Air]],2,FALSE)</f>
        <v>1301000</v>
      </c>
      <c r="P255" s="235">
        <f>Historic_BCast_BASE[[#This Row],[Rolex EXP]]*86400</f>
        <v>29941.544168618679</v>
      </c>
      <c r="Q255" s="19" t="str">
        <f>IF(Historic_BCast_BASE[[#This Row],[Dashboard Rated?]]="No","N","Y")</f>
        <v>N</v>
      </c>
      <c r="S255" s="22"/>
    </row>
    <row r="256" spans="1:19" x14ac:dyDescent="0.25">
      <c r="A256" s="72" t="s">
        <v>1869</v>
      </c>
      <c r="B256" t="s">
        <v>113</v>
      </c>
      <c r="C256" t="s">
        <v>269</v>
      </c>
      <c r="D256" t="s">
        <v>1644</v>
      </c>
      <c r="E256" s="102">
        <v>2.5350925925925925</v>
      </c>
      <c r="F256" s="101">
        <v>150643</v>
      </c>
      <c r="G256" s="102">
        <v>0.23658934051131941</v>
      </c>
      <c r="H256" s="101">
        <v>107795.28072014224</v>
      </c>
      <c r="I256" s="101">
        <v>31806.786256881831</v>
      </c>
      <c r="J256" s="101" t="s">
        <v>1867</v>
      </c>
      <c r="K256" t="str">
        <f>VLOOKUP(Historic_BCast_BASE[[#This Row],[Broadcast Market]],Continent_Look_Up[],2,FALSE)</f>
        <v>Europe</v>
      </c>
      <c r="L256" s="132" t="str">
        <f>IF(OR(Historic_BCast_BASE[[#This Row],[Broadcast Continent]]="Digital",Historic_BCast_BASE[[#This Row],[Programme Type]]="Digital"),"Y","N")</f>
        <v>N</v>
      </c>
      <c r="M256" s="132" t="str">
        <f>IF(ISNUMBER(SEARCH("Pan ",Historic_BCast_BASE[[#This Row],[Broadcast Market]]))=TRUE,"Y","N")</f>
        <v>N</v>
      </c>
      <c r="N256" s="132" t="str">
        <f>VLOOKUP(CONCATENATE(Historic_BCast_BASE[[#This Row],[Broadcast Market]],Historic_BCast_BASE[[#This Row],[Broadcaster]]),Table1[[CC]:[Pay TV vs. Free-to-Air]],3,FALSE)</f>
        <v>Pay TV</v>
      </c>
      <c r="O256" s="133">
        <f>VLOOKUP(CONCATENATE(Historic_BCast_BASE[[#This Row],[Broadcast Market]],Historic_BCast_BASE[[#This Row],[Broadcaster]]),Table1[[CC]:[Pay TV vs. Free-to-Air]],2,FALSE)</f>
        <v>1301000</v>
      </c>
      <c r="P256" s="235">
        <f>Historic_BCast_BASE[[#This Row],[Rolex EXP]]*86400</f>
        <v>20441.319020177998</v>
      </c>
      <c r="Q256" s="19" t="str">
        <f>IF(Historic_BCast_BASE[[#This Row],[Dashboard Rated?]]="No","N","Y")</f>
        <v>N</v>
      </c>
      <c r="S256" s="22"/>
    </row>
    <row r="257" spans="1:19" x14ac:dyDescent="0.25">
      <c r="A257" s="72" t="s">
        <v>1869</v>
      </c>
      <c r="B257" t="s">
        <v>113</v>
      </c>
      <c r="C257" t="s">
        <v>1473</v>
      </c>
      <c r="D257" t="s">
        <v>1642</v>
      </c>
      <c r="E257" s="102">
        <v>5.8368055555555555E-2</v>
      </c>
      <c r="F257" s="101">
        <v>27259</v>
      </c>
      <c r="G257" s="102">
        <v>5.0652757008840471E-3</v>
      </c>
      <c r="H257" s="101">
        <v>1377.020329991426</v>
      </c>
      <c r="I257" s="101">
        <v>421.21931671021861</v>
      </c>
      <c r="J257" s="101" t="s">
        <v>1868</v>
      </c>
      <c r="K257" t="str">
        <f>VLOOKUP(Historic_BCast_BASE[[#This Row],[Broadcast Market]],Continent_Look_Up[],2,FALSE)</f>
        <v>Europe</v>
      </c>
      <c r="L257" s="132" t="str">
        <f>IF(OR(Historic_BCast_BASE[[#This Row],[Broadcast Continent]]="Digital",Historic_BCast_BASE[[#This Row],[Programme Type]]="Digital"),"Y","N")</f>
        <v>N</v>
      </c>
      <c r="M257" s="132" t="str">
        <f>IF(ISNUMBER(SEARCH("Pan ",Historic_BCast_BASE[[#This Row],[Broadcast Market]]))=TRUE,"Y","N")</f>
        <v>N</v>
      </c>
      <c r="N257" s="132" t="str">
        <f>VLOOKUP(CONCATENATE(Historic_BCast_BASE[[#This Row],[Broadcast Market]],Historic_BCast_BASE[[#This Row],[Broadcaster]]),Table1[[CC]:[Pay TV vs. Free-to-Air]],3,FALSE)</f>
        <v>Free-to-Air</v>
      </c>
      <c r="O257" s="133">
        <f>VLOOKUP(CONCATENATE(Historic_BCast_BASE[[#This Row],[Broadcast Market]],Historic_BCast_BASE[[#This Row],[Broadcaster]]),Table1[[CC]:[Pay TV vs. Free-to-Air]],2,FALSE)</f>
        <v>1421400</v>
      </c>
      <c r="P257" s="235">
        <f>Historic_BCast_BASE[[#This Row],[Rolex EXP]]*86400</f>
        <v>437.63982055638166</v>
      </c>
      <c r="Q257" s="19" t="str">
        <f>IF(Historic_BCast_BASE[[#This Row],[Dashboard Rated?]]="No","N","Y")</f>
        <v>Y</v>
      </c>
      <c r="S257" s="22"/>
    </row>
    <row r="258" spans="1:19" x14ac:dyDescent="0.25">
      <c r="A258" s="72" t="s">
        <v>1869</v>
      </c>
      <c r="B258" t="s">
        <v>113</v>
      </c>
      <c r="C258" t="s">
        <v>1473</v>
      </c>
      <c r="D258" t="s">
        <v>1643</v>
      </c>
      <c r="E258" s="102">
        <v>0.92663194444444441</v>
      </c>
      <c r="F258" s="101">
        <v>23610</v>
      </c>
      <c r="G258" s="102">
        <v>8.6527885472439961E-2</v>
      </c>
      <c r="H258" s="101">
        <v>29192.026309814821</v>
      </c>
      <c r="I258" s="101">
        <v>8783.3662976832165</v>
      </c>
      <c r="J258" s="101" t="s">
        <v>1868</v>
      </c>
      <c r="K258" t="str">
        <f>VLOOKUP(Historic_BCast_BASE[[#This Row],[Broadcast Market]],Continent_Look_Up[],2,FALSE)</f>
        <v>Europe</v>
      </c>
      <c r="L258" s="132" t="str">
        <f>IF(OR(Historic_BCast_BASE[[#This Row],[Broadcast Continent]]="Digital",Historic_BCast_BASE[[#This Row],[Programme Type]]="Digital"),"Y","N")</f>
        <v>N</v>
      </c>
      <c r="M258" s="132" t="str">
        <f>IF(ISNUMBER(SEARCH("Pan ",Historic_BCast_BASE[[#This Row],[Broadcast Market]]))=TRUE,"Y","N")</f>
        <v>N</v>
      </c>
      <c r="N258" s="132" t="str">
        <f>VLOOKUP(CONCATENATE(Historic_BCast_BASE[[#This Row],[Broadcast Market]],Historic_BCast_BASE[[#This Row],[Broadcaster]]),Table1[[CC]:[Pay TV vs. Free-to-Air]],3,FALSE)</f>
        <v>Free-to-Air</v>
      </c>
      <c r="O258" s="133">
        <f>VLOOKUP(CONCATENATE(Historic_BCast_BASE[[#This Row],[Broadcast Market]],Historic_BCast_BASE[[#This Row],[Broadcaster]]),Table1[[CC]:[Pay TV vs. Free-to-Air]],2,FALSE)</f>
        <v>1421400</v>
      </c>
      <c r="P258" s="235">
        <f>Historic_BCast_BASE[[#This Row],[Rolex EXP]]*86400</f>
        <v>7476.0093048188128</v>
      </c>
      <c r="Q258" s="19" t="str">
        <f>IF(Historic_BCast_BASE[[#This Row],[Dashboard Rated?]]="No","N","Y")</f>
        <v>Y</v>
      </c>
      <c r="S258" s="22"/>
    </row>
    <row r="259" spans="1:19" x14ac:dyDescent="0.25">
      <c r="A259" s="72" t="s">
        <v>1869</v>
      </c>
      <c r="B259" t="s">
        <v>113</v>
      </c>
      <c r="C259" t="s">
        <v>1473</v>
      </c>
      <c r="D259" t="s">
        <v>1644</v>
      </c>
      <c r="E259" s="102">
        <v>7.273148148148148E-2</v>
      </c>
      <c r="F259" s="101">
        <v>500</v>
      </c>
      <c r="G259" s="102">
        <v>6.7444398685694686E-3</v>
      </c>
      <c r="H259" s="101">
        <v>247.13857969307648</v>
      </c>
      <c r="I259" s="101">
        <v>78.791398199561741</v>
      </c>
      <c r="J259" s="101" t="s">
        <v>1868</v>
      </c>
      <c r="K259" t="str">
        <f>VLOOKUP(Historic_BCast_BASE[[#This Row],[Broadcast Market]],Continent_Look_Up[],2,FALSE)</f>
        <v>Europe</v>
      </c>
      <c r="L259" s="132" t="str">
        <f>IF(OR(Historic_BCast_BASE[[#This Row],[Broadcast Continent]]="Digital",Historic_BCast_BASE[[#This Row],[Programme Type]]="Digital"),"Y","N")</f>
        <v>N</v>
      </c>
      <c r="M259" s="132" t="str">
        <f>IF(ISNUMBER(SEARCH("Pan ",Historic_BCast_BASE[[#This Row],[Broadcast Market]]))=TRUE,"Y","N")</f>
        <v>N</v>
      </c>
      <c r="N259" s="132" t="str">
        <f>VLOOKUP(CONCATENATE(Historic_BCast_BASE[[#This Row],[Broadcast Market]],Historic_BCast_BASE[[#This Row],[Broadcaster]]),Table1[[CC]:[Pay TV vs. Free-to-Air]],3,FALSE)</f>
        <v>Free-to-Air</v>
      </c>
      <c r="O259" s="133">
        <f>VLOOKUP(CONCATENATE(Historic_BCast_BASE[[#This Row],[Broadcast Market]],Historic_BCast_BASE[[#This Row],[Broadcaster]]),Table1[[CC]:[Pay TV vs. Free-to-Air]],2,FALSE)</f>
        <v>1421400</v>
      </c>
      <c r="P259" s="235">
        <f>Historic_BCast_BASE[[#This Row],[Rolex EXP]]*86400</f>
        <v>582.71960464440212</v>
      </c>
      <c r="Q259" s="19" t="str">
        <f>IF(Historic_BCast_BASE[[#This Row],[Dashboard Rated?]]="No","N","Y")</f>
        <v>Y</v>
      </c>
      <c r="S259" s="22"/>
    </row>
    <row r="260" spans="1:19" x14ac:dyDescent="0.25">
      <c r="A260" s="72" t="s">
        <v>1869</v>
      </c>
      <c r="B260" t="s">
        <v>113</v>
      </c>
      <c r="C260" t="s">
        <v>1475</v>
      </c>
      <c r="D260" t="s">
        <v>1642</v>
      </c>
      <c r="E260" s="102">
        <v>0.15835648148148149</v>
      </c>
      <c r="F260" s="101">
        <v>124907</v>
      </c>
      <c r="G260" s="102">
        <v>1.2912051115028736E-2</v>
      </c>
      <c r="H260" s="101">
        <v>13402.206937126686</v>
      </c>
      <c r="I260" s="101">
        <v>3986.6435863573479</v>
      </c>
      <c r="J260" s="101" t="s">
        <v>1868</v>
      </c>
      <c r="K260" t="str">
        <f>VLOOKUP(Historic_BCast_BASE[[#This Row],[Broadcast Market]],Continent_Look_Up[],2,FALSE)</f>
        <v>Europe</v>
      </c>
      <c r="L260" s="132" t="str">
        <f>IF(OR(Historic_BCast_BASE[[#This Row],[Broadcast Continent]]="Digital",Historic_BCast_BASE[[#This Row],[Programme Type]]="Digital"),"Y","N")</f>
        <v>N</v>
      </c>
      <c r="M260" s="132" t="str">
        <f>IF(ISNUMBER(SEARCH("Pan ",Historic_BCast_BASE[[#This Row],[Broadcast Market]]))=TRUE,"Y","N")</f>
        <v>N</v>
      </c>
      <c r="N260" s="132" t="str">
        <f>VLOOKUP(CONCATENATE(Historic_BCast_BASE[[#This Row],[Broadcast Market]],Historic_BCast_BASE[[#This Row],[Broadcaster]]),Table1[[CC]:[Pay TV vs. Free-to-Air]],3,FALSE)</f>
        <v>Free-to-Air</v>
      </c>
      <c r="O260" s="133">
        <f>VLOOKUP(CONCATENATE(Historic_BCast_BASE[[#This Row],[Broadcast Market]],Historic_BCast_BASE[[#This Row],[Broadcaster]]),Table1[[CC]:[Pay TV vs. Free-to-Air]],2,FALSE)</f>
        <v>2088840</v>
      </c>
      <c r="P260" s="235">
        <f>Historic_BCast_BASE[[#This Row],[Rolex EXP]]*86400</f>
        <v>1115.6012163384828</v>
      </c>
      <c r="Q260" s="19" t="str">
        <f>IF(Historic_BCast_BASE[[#This Row],[Dashboard Rated?]]="No","N","Y")</f>
        <v>Y</v>
      </c>
      <c r="S260" s="22"/>
    </row>
    <row r="261" spans="1:19" x14ac:dyDescent="0.25">
      <c r="A261" s="72" t="s">
        <v>1869</v>
      </c>
      <c r="B261" t="s">
        <v>113</v>
      </c>
      <c r="C261" t="s">
        <v>1475</v>
      </c>
      <c r="D261" t="s">
        <v>1643</v>
      </c>
      <c r="E261" s="102">
        <v>1.248136574074074</v>
      </c>
      <c r="F261" s="101">
        <v>130345</v>
      </c>
      <c r="G261" s="102">
        <v>0.11248931114588738</v>
      </c>
      <c r="H261" s="101">
        <v>167257.0975586852</v>
      </c>
      <c r="I261" s="101">
        <v>50024.021406196553</v>
      </c>
      <c r="J261" s="101" t="s">
        <v>1868</v>
      </c>
      <c r="K261" t="str">
        <f>VLOOKUP(Historic_BCast_BASE[[#This Row],[Broadcast Market]],Continent_Look_Up[],2,FALSE)</f>
        <v>Europe</v>
      </c>
      <c r="L261" s="132" t="str">
        <f>IF(OR(Historic_BCast_BASE[[#This Row],[Broadcast Continent]]="Digital",Historic_BCast_BASE[[#This Row],[Programme Type]]="Digital"),"Y","N")</f>
        <v>N</v>
      </c>
      <c r="M261" s="132" t="str">
        <f>IF(ISNUMBER(SEARCH("Pan ",Historic_BCast_BASE[[#This Row],[Broadcast Market]]))=TRUE,"Y","N")</f>
        <v>N</v>
      </c>
      <c r="N261" s="132" t="str">
        <f>VLOOKUP(CONCATENATE(Historic_BCast_BASE[[#This Row],[Broadcast Market]],Historic_BCast_BASE[[#This Row],[Broadcaster]]),Table1[[CC]:[Pay TV vs. Free-to-Air]],3,FALSE)</f>
        <v>Free-to-Air</v>
      </c>
      <c r="O261" s="133">
        <f>VLOOKUP(CONCATENATE(Historic_BCast_BASE[[#This Row],[Broadcast Market]],Historic_BCast_BASE[[#This Row],[Broadcaster]]),Table1[[CC]:[Pay TV vs. Free-to-Air]],2,FALSE)</f>
        <v>2088840</v>
      </c>
      <c r="P261" s="235">
        <f>Historic_BCast_BASE[[#This Row],[Rolex EXP]]*86400</f>
        <v>9719.0764830046701</v>
      </c>
      <c r="Q261" s="19" t="str">
        <f>IF(Historic_BCast_BASE[[#This Row],[Dashboard Rated?]]="No","N","Y")</f>
        <v>Y</v>
      </c>
      <c r="S261" s="22"/>
    </row>
    <row r="262" spans="1:19" x14ac:dyDescent="0.25">
      <c r="A262" s="72" t="s">
        <v>1869</v>
      </c>
      <c r="B262" t="s">
        <v>113</v>
      </c>
      <c r="C262" t="s">
        <v>1475</v>
      </c>
      <c r="D262" t="s">
        <v>1644</v>
      </c>
      <c r="E262" s="102">
        <v>0.95370370370370372</v>
      </c>
      <c r="F262" s="101">
        <v>29900</v>
      </c>
      <c r="G262" s="102">
        <v>8.1689273880346219E-2</v>
      </c>
      <c r="H262" s="101">
        <v>26808.455749344303</v>
      </c>
      <c r="I262" s="101">
        <v>8044.4712912755867</v>
      </c>
      <c r="J262" s="101" t="s">
        <v>1868</v>
      </c>
      <c r="K262" t="str">
        <f>VLOOKUP(Historic_BCast_BASE[[#This Row],[Broadcast Market]],Continent_Look_Up[],2,FALSE)</f>
        <v>Europe</v>
      </c>
      <c r="L262" s="132" t="str">
        <f>IF(OR(Historic_BCast_BASE[[#This Row],[Broadcast Continent]]="Digital",Historic_BCast_BASE[[#This Row],[Programme Type]]="Digital"),"Y","N")</f>
        <v>N</v>
      </c>
      <c r="M262" s="132" t="str">
        <f>IF(ISNUMBER(SEARCH("Pan ",Historic_BCast_BASE[[#This Row],[Broadcast Market]]))=TRUE,"Y","N")</f>
        <v>N</v>
      </c>
      <c r="N262" s="132" t="str">
        <f>VLOOKUP(CONCATENATE(Historic_BCast_BASE[[#This Row],[Broadcast Market]],Historic_BCast_BASE[[#This Row],[Broadcaster]]),Table1[[CC]:[Pay TV vs. Free-to-Air]],3,FALSE)</f>
        <v>Free-to-Air</v>
      </c>
      <c r="O262" s="133">
        <f>VLOOKUP(CONCATENATE(Historic_BCast_BASE[[#This Row],[Broadcast Market]],Historic_BCast_BASE[[#This Row],[Broadcaster]]),Table1[[CC]:[Pay TV vs. Free-to-Air]],2,FALSE)</f>
        <v>2088840</v>
      </c>
      <c r="P262" s="235">
        <f>Historic_BCast_BASE[[#This Row],[Rolex EXP]]*86400</f>
        <v>7057.953263261913</v>
      </c>
      <c r="Q262" s="19" t="str">
        <f>IF(Historic_BCast_BASE[[#This Row],[Dashboard Rated?]]="No","N","Y")</f>
        <v>Y</v>
      </c>
      <c r="S262" s="22"/>
    </row>
    <row r="263" spans="1:19" x14ac:dyDescent="0.25">
      <c r="A263" s="72" t="s">
        <v>1869</v>
      </c>
      <c r="B263" t="s">
        <v>113</v>
      </c>
      <c r="C263" t="s">
        <v>1482</v>
      </c>
      <c r="D263" t="s">
        <v>1642</v>
      </c>
      <c r="E263" s="102">
        <v>8.8067129629629634E-2</v>
      </c>
      <c r="F263" s="101">
        <v>232334</v>
      </c>
      <c r="G263" s="102">
        <v>6.7935761586079878E-3</v>
      </c>
      <c r="H263" s="101">
        <v>15364.818417611034</v>
      </c>
      <c r="I263" s="101">
        <v>4452.0704939223369</v>
      </c>
      <c r="J263" s="101" t="s">
        <v>1868</v>
      </c>
      <c r="K263" t="str">
        <f>VLOOKUP(Historic_BCast_BASE[[#This Row],[Broadcast Market]],Continent_Look_Up[],2,FALSE)</f>
        <v>Europe</v>
      </c>
      <c r="L263" s="132" t="str">
        <f>IF(OR(Historic_BCast_BASE[[#This Row],[Broadcast Continent]]="Digital",Historic_BCast_BASE[[#This Row],[Programme Type]]="Digital"),"Y","N")</f>
        <v>N</v>
      </c>
      <c r="M263" s="132" t="str">
        <f>IF(ISNUMBER(SEARCH("Pan ",Historic_BCast_BASE[[#This Row],[Broadcast Market]]))=TRUE,"Y","N")</f>
        <v>N</v>
      </c>
      <c r="N263" s="132" t="str">
        <f>VLOOKUP(CONCATENATE(Historic_BCast_BASE[[#This Row],[Broadcast Market]],Historic_BCast_BASE[[#This Row],[Broadcaster]]),Table1[[CC]:[Pay TV vs. Free-to-Air]],3,FALSE)</f>
        <v>Free-to-Air</v>
      </c>
      <c r="O263" s="133">
        <f>VLOOKUP(CONCATENATE(Historic_BCast_BASE[[#This Row],[Broadcast Market]],Historic_BCast_BASE[[#This Row],[Broadcaster]]),Table1[[CC]:[Pay TV vs. Free-to-Air]],2,FALSE)</f>
        <v>3353680</v>
      </c>
      <c r="P263" s="235">
        <f>Historic_BCast_BASE[[#This Row],[Rolex EXP]]*86400</f>
        <v>586.96498010373011</v>
      </c>
      <c r="Q263" s="19" t="str">
        <f>IF(Historic_BCast_BASE[[#This Row],[Dashboard Rated?]]="No","N","Y")</f>
        <v>Y</v>
      </c>
      <c r="S263" s="22"/>
    </row>
    <row r="264" spans="1:19" x14ac:dyDescent="0.25">
      <c r="A264" s="72" t="s">
        <v>1869</v>
      </c>
      <c r="B264" t="s">
        <v>113</v>
      </c>
      <c r="C264" t="s">
        <v>1482</v>
      </c>
      <c r="D264" t="s">
        <v>1643</v>
      </c>
      <c r="E264" s="102">
        <v>0.96932870370370372</v>
      </c>
      <c r="F264" s="101">
        <v>219424</v>
      </c>
      <c r="G264" s="102">
        <v>7.924913141018014E-2</v>
      </c>
      <c r="H264" s="101">
        <v>232385.08831971249</v>
      </c>
      <c r="I264" s="101">
        <v>70092.740931723587</v>
      </c>
      <c r="J264" s="101" t="s">
        <v>1868</v>
      </c>
      <c r="K264" t="str">
        <f>VLOOKUP(Historic_BCast_BASE[[#This Row],[Broadcast Market]],Continent_Look_Up[],2,FALSE)</f>
        <v>Europe</v>
      </c>
      <c r="L264" s="132" t="str">
        <f>IF(OR(Historic_BCast_BASE[[#This Row],[Broadcast Continent]]="Digital",Historic_BCast_BASE[[#This Row],[Programme Type]]="Digital"),"Y","N")</f>
        <v>N</v>
      </c>
      <c r="M264" s="132" t="str">
        <f>IF(ISNUMBER(SEARCH("Pan ",Historic_BCast_BASE[[#This Row],[Broadcast Market]]))=TRUE,"Y","N")</f>
        <v>N</v>
      </c>
      <c r="N264" s="132" t="str">
        <f>VLOOKUP(CONCATENATE(Historic_BCast_BASE[[#This Row],[Broadcast Market]],Historic_BCast_BASE[[#This Row],[Broadcaster]]),Table1[[CC]:[Pay TV vs. Free-to-Air]],3,FALSE)</f>
        <v>Free-to-Air</v>
      </c>
      <c r="O264" s="133">
        <f>VLOOKUP(CONCATENATE(Historic_BCast_BASE[[#This Row],[Broadcast Market]],Historic_BCast_BASE[[#This Row],[Broadcaster]]),Table1[[CC]:[Pay TV vs. Free-to-Air]],2,FALSE)</f>
        <v>3353680</v>
      </c>
      <c r="P264" s="235">
        <f>Historic_BCast_BASE[[#This Row],[Rolex EXP]]*86400</f>
        <v>6847.1249538395641</v>
      </c>
      <c r="Q264" s="19" t="str">
        <f>IF(Historic_BCast_BASE[[#This Row],[Dashboard Rated?]]="No","N","Y")</f>
        <v>Y</v>
      </c>
      <c r="S264" s="22"/>
    </row>
    <row r="265" spans="1:19" x14ac:dyDescent="0.25">
      <c r="A265" s="72" t="s">
        <v>1869</v>
      </c>
      <c r="B265" t="s">
        <v>113</v>
      </c>
      <c r="C265" t="s">
        <v>1482</v>
      </c>
      <c r="D265" t="s">
        <v>1644</v>
      </c>
      <c r="E265" s="102">
        <v>0.3552777777777778</v>
      </c>
      <c r="F265" s="101">
        <v>11300</v>
      </c>
      <c r="G265" s="102">
        <v>2.7200971121977908E-2</v>
      </c>
      <c r="H265" s="101">
        <v>14212.760280293778</v>
      </c>
      <c r="I265" s="101">
        <v>4302.5973465904281</v>
      </c>
      <c r="J265" s="101" t="s">
        <v>1868</v>
      </c>
      <c r="K265" t="str">
        <f>VLOOKUP(Historic_BCast_BASE[[#This Row],[Broadcast Market]],Continent_Look_Up[],2,FALSE)</f>
        <v>Europe</v>
      </c>
      <c r="L265" s="132" t="str">
        <f>IF(OR(Historic_BCast_BASE[[#This Row],[Broadcast Continent]]="Digital",Historic_BCast_BASE[[#This Row],[Programme Type]]="Digital"),"Y","N")</f>
        <v>N</v>
      </c>
      <c r="M265" s="132" t="str">
        <f>IF(ISNUMBER(SEARCH("Pan ",Historic_BCast_BASE[[#This Row],[Broadcast Market]]))=TRUE,"Y","N")</f>
        <v>N</v>
      </c>
      <c r="N265" s="132" t="str">
        <f>VLOOKUP(CONCATENATE(Historic_BCast_BASE[[#This Row],[Broadcast Market]],Historic_BCast_BASE[[#This Row],[Broadcaster]]),Table1[[CC]:[Pay TV vs. Free-to-Air]],3,FALSE)</f>
        <v>Free-to-Air</v>
      </c>
      <c r="O265" s="133">
        <f>VLOOKUP(CONCATENATE(Historic_BCast_BASE[[#This Row],[Broadcast Market]],Historic_BCast_BASE[[#This Row],[Broadcaster]]),Table1[[CC]:[Pay TV vs. Free-to-Air]],2,FALSE)</f>
        <v>3353680</v>
      </c>
      <c r="P265" s="235">
        <f>Historic_BCast_BASE[[#This Row],[Rolex EXP]]*86400</f>
        <v>2350.1639049388914</v>
      </c>
      <c r="Q265" s="19" t="str">
        <f>IF(Historic_BCast_BASE[[#This Row],[Dashboard Rated?]]="No","N","Y")</f>
        <v>Y</v>
      </c>
      <c r="S265" s="22"/>
    </row>
    <row r="266" spans="1:19" x14ac:dyDescent="0.25">
      <c r="A266" s="72" t="s">
        <v>1869</v>
      </c>
      <c r="B266" t="s">
        <v>114</v>
      </c>
      <c r="C266" t="s">
        <v>194</v>
      </c>
      <c r="D266" t="s">
        <v>1642</v>
      </c>
      <c r="E266" s="102">
        <v>0.64583333333333337</v>
      </c>
      <c r="F266" s="101">
        <v>338857</v>
      </c>
      <c r="G266" s="102">
        <v>6.1703626942856062E-2</v>
      </c>
      <c r="H266" s="101">
        <v>4262.9145563784077</v>
      </c>
      <c r="I266" s="101">
        <v>1224.6554156497355</v>
      </c>
      <c r="J266" s="101" t="s">
        <v>1867</v>
      </c>
      <c r="K266" t="str">
        <f>VLOOKUP(Historic_BCast_BASE[[#This Row],[Broadcast Market]],Continent_Look_Up[],2,FALSE)</f>
        <v>Asia Pacific</v>
      </c>
      <c r="L266" s="132" t="str">
        <f>IF(OR(Historic_BCast_BASE[[#This Row],[Broadcast Continent]]="Digital",Historic_BCast_BASE[[#This Row],[Programme Type]]="Digital"),"Y","N")</f>
        <v>N</v>
      </c>
      <c r="M266" s="132" t="str">
        <f>IF(ISNUMBER(SEARCH("Pan ",Historic_BCast_BASE[[#This Row],[Broadcast Market]]))=TRUE,"Y","N")</f>
        <v>N</v>
      </c>
      <c r="N266" s="132" t="str">
        <f>VLOOKUP(CONCATENATE(Historic_BCast_BASE[[#This Row],[Broadcast Market]],Historic_BCast_BASE[[#This Row],[Broadcaster]]),Table1[[CC]:[Pay TV vs. Free-to-Air]],3,FALSE)</f>
        <v>Pay TV</v>
      </c>
      <c r="O266" s="133">
        <f>VLOOKUP(CONCATENATE(Historic_BCast_BASE[[#This Row],[Broadcast Market]],Historic_BCast_BASE[[#This Row],[Broadcaster]]),Table1[[CC]:[Pay TV vs. Free-to-Air]],2,FALSE)</f>
        <v>5115000</v>
      </c>
      <c r="P266" s="235">
        <f>Historic_BCast_BASE[[#This Row],[Rolex EXP]]*86400</f>
        <v>5331.1933678627638</v>
      </c>
      <c r="Q266" s="19" t="str">
        <f>IF(Historic_BCast_BASE[[#This Row],[Dashboard Rated?]]="No","N","Y")</f>
        <v>N</v>
      </c>
      <c r="S266" s="22"/>
    </row>
    <row r="267" spans="1:19" x14ac:dyDescent="0.25">
      <c r="A267" s="72" t="s">
        <v>1869</v>
      </c>
      <c r="B267" t="s">
        <v>114</v>
      </c>
      <c r="C267" t="s">
        <v>194</v>
      </c>
      <c r="D267" t="s">
        <v>1643</v>
      </c>
      <c r="E267" s="102">
        <v>5.958333333333333</v>
      </c>
      <c r="F267" s="101">
        <v>361692</v>
      </c>
      <c r="G267" s="102">
        <v>0.56312375124448899</v>
      </c>
      <c r="H267" s="101">
        <v>47678.233002777735</v>
      </c>
      <c r="I267" s="101">
        <v>13694.149690166725</v>
      </c>
      <c r="J267" s="101" t="s">
        <v>1867</v>
      </c>
      <c r="K267" t="str">
        <f>VLOOKUP(Historic_BCast_BASE[[#This Row],[Broadcast Market]],Continent_Look_Up[],2,FALSE)</f>
        <v>Asia Pacific</v>
      </c>
      <c r="L267" s="132" t="str">
        <f>IF(OR(Historic_BCast_BASE[[#This Row],[Broadcast Continent]]="Digital",Historic_BCast_BASE[[#This Row],[Programme Type]]="Digital"),"Y","N")</f>
        <v>N</v>
      </c>
      <c r="M267" s="132" t="str">
        <f>IF(ISNUMBER(SEARCH("Pan ",Historic_BCast_BASE[[#This Row],[Broadcast Market]]))=TRUE,"Y","N")</f>
        <v>N</v>
      </c>
      <c r="N267" s="132" t="str">
        <f>VLOOKUP(CONCATENATE(Historic_BCast_BASE[[#This Row],[Broadcast Market]],Historic_BCast_BASE[[#This Row],[Broadcaster]]),Table1[[CC]:[Pay TV vs. Free-to-Air]],3,FALSE)</f>
        <v>Pay TV</v>
      </c>
      <c r="O267" s="133">
        <f>VLOOKUP(CONCATENATE(Historic_BCast_BASE[[#This Row],[Broadcast Market]],Historic_BCast_BASE[[#This Row],[Broadcaster]]),Table1[[CC]:[Pay TV vs. Free-to-Air]],2,FALSE)</f>
        <v>5115000</v>
      </c>
      <c r="P267" s="235">
        <f>Historic_BCast_BASE[[#This Row],[Rolex EXP]]*86400</f>
        <v>48653.892107523847</v>
      </c>
      <c r="Q267" s="19" t="str">
        <f>IF(Historic_BCast_BASE[[#This Row],[Dashboard Rated?]]="No","N","Y")</f>
        <v>N</v>
      </c>
      <c r="S267" s="22"/>
    </row>
    <row r="268" spans="1:19" x14ac:dyDescent="0.25">
      <c r="A268" s="72" t="s">
        <v>1869</v>
      </c>
      <c r="B268" t="s">
        <v>114</v>
      </c>
      <c r="C268" t="s">
        <v>194</v>
      </c>
      <c r="D268" t="s">
        <v>1644</v>
      </c>
      <c r="E268" s="102">
        <v>1.7083333333333333</v>
      </c>
      <c r="F268" s="101">
        <v>137760</v>
      </c>
      <c r="G268" s="102">
        <v>0.16321604546174839</v>
      </c>
      <c r="H268" s="101">
        <v>7105.5411222888488</v>
      </c>
      <c r="I268" s="101">
        <v>2041.2887242867121</v>
      </c>
      <c r="J268" s="101" t="s">
        <v>1867</v>
      </c>
      <c r="K268" t="str">
        <f>VLOOKUP(Historic_BCast_BASE[[#This Row],[Broadcast Market]],Continent_Look_Up[],2,FALSE)</f>
        <v>Asia Pacific</v>
      </c>
      <c r="L268" s="132" t="str">
        <f>IF(OR(Historic_BCast_BASE[[#This Row],[Broadcast Continent]]="Digital",Historic_BCast_BASE[[#This Row],[Programme Type]]="Digital"),"Y","N")</f>
        <v>N</v>
      </c>
      <c r="M268" s="132" t="str">
        <f>IF(ISNUMBER(SEARCH("Pan ",Historic_BCast_BASE[[#This Row],[Broadcast Market]]))=TRUE,"Y","N")</f>
        <v>N</v>
      </c>
      <c r="N268" s="132" t="str">
        <f>VLOOKUP(CONCATENATE(Historic_BCast_BASE[[#This Row],[Broadcast Market]],Historic_BCast_BASE[[#This Row],[Broadcaster]]),Table1[[CC]:[Pay TV vs. Free-to-Air]],3,FALSE)</f>
        <v>Pay TV</v>
      </c>
      <c r="O268" s="133">
        <f>VLOOKUP(CONCATENATE(Historic_BCast_BASE[[#This Row],[Broadcast Market]],Historic_BCast_BASE[[#This Row],[Broadcaster]]),Table1[[CC]:[Pay TV vs. Free-to-Air]],2,FALSE)</f>
        <v>5115000</v>
      </c>
      <c r="P268" s="235">
        <f>Historic_BCast_BASE[[#This Row],[Rolex EXP]]*86400</f>
        <v>14101.866327895061</v>
      </c>
      <c r="Q268" s="19" t="str">
        <f>IF(Historic_BCast_BASE[[#This Row],[Dashboard Rated?]]="No","N","Y")</f>
        <v>N</v>
      </c>
      <c r="S268" s="22"/>
    </row>
    <row r="269" spans="1:19" x14ac:dyDescent="0.25">
      <c r="A269" s="72" t="s">
        <v>1869</v>
      </c>
      <c r="B269" t="s">
        <v>114</v>
      </c>
      <c r="C269" t="s">
        <v>225</v>
      </c>
      <c r="D269" t="s">
        <v>1642</v>
      </c>
      <c r="E269" s="102">
        <v>8.3333333333333329E-2</v>
      </c>
      <c r="F269" s="101">
        <v>63564</v>
      </c>
      <c r="G269" s="102">
        <v>7.9617583152072381E-3</v>
      </c>
      <c r="H269" s="101">
        <v>799.65265838285018</v>
      </c>
      <c r="I269" s="101">
        <v>229.72521399988742</v>
      </c>
      <c r="J269" s="101" t="s">
        <v>1867</v>
      </c>
      <c r="K269" t="str">
        <f>VLOOKUP(Historic_BCast_BASE[[#This Row],[Broadcast Market]],Continent_Look_Up[],2,FALSE)</f>
        <v>Asia Pacific</v>
      </c>
      <c r="L269" s="132" t="str">
        <f>IF(OR(Historic_BCast_BASE[[#This Row],[Broadcast Continent]]="Digital",Historic_BCast_BASE[[#This Row],[Programme Type]]="Digital"),"Y","N")</f>
        <v>N</v>
      </c>
      <c r="M269" s="132" t="str">
        <f>IF(ISNUMBER(SEARCH("Pan ",Historic_BCast_BASE[[#This Row],[Broadcast Market]]))=TRUE,"Y","N")</f>
        <v>N</v>
      </c>
      <c r="N269" s="132" t="str">
        <f>VLOOKUP(CONCATENATE(Historic_BCast_BASE[[#This Row],[Broadcast Market]],Historic_BCast_BASE[[#This Row],[Broadcaster]]),Table1[[CC]:[Pay TV vs. Free-to-Air]],3,FALSE)</f>
        <v>Pay TV</v>
      </c>
      <c r="O269" s="133">
        <f>VLOOKUP(CONCATENATE(Historic_BCast_BASE[[#This Row],[Broadcast Market]],Historic_BCast_BASE[[#This Row],[Broadcaster]]),Table1[[CC]:[Pay TV vs. Free-to-Air]],2,FALSE)</f>
        <v>5115000</v>
      </c>
      <c r="P269" s="235">
        <f>Historic_BCast_BASE[[#This Row],[Rolex EXP]]*86400</f>
        <v>687.89591843390542</v>
      </c>
      <c r="Q269" s="19" t="str">
        <f>IF(Historic_BCast_BASE[[#This Row],[Dashboard Rated?]]="No","N","Y")</f>
        <v>N</v>
      </c>
      <c r="S269" s="22"/>
    </row>
    <row r="270" spans="1:19" x14ac:dyDescent="0.25">
      <c r="A270" s="72" t="s">
        <v>1869</v>
      </c>
      <c r="B270" t="s">
        <v>114</v>
      </c>
      <c r="C270" t="s">
        <v>225</v>
      </c>
      <c r="D270" t="s">
        <v>1644</v>
      </c>
      <c r="E270" s="102">
        <v>0.16666666666666666</v>
      </c>
      <c r="F270" s="101">
        <v>13726</v>
      </c>
      <c r="G270" s="102">
        <v>1.5923516630414476E-2</v>
      </c>
      <c r="H270" s="101">
        <v>690.70746894235742</v>
      </c>
      <c r="I270" s="101">
        <v>198.42730396843842</v>
      </c>
      <c r="J270" s="101" t="s">
        <v>1867</v>
      </c>
      <c r="K270" t="str">
        <f>VLOOKUP(Historic_BCast_BASE[[#This Row],[Broadcast Market]],Continent_Look_Up[],2,FALSE)</f>
        <v>Asia Pacific</v>
      </c>
      <c r="L270" s="132" t="str">
        <f>IF(OR(Historic_BCast_BASE[[#This Row],[Broadcast Continent]]="Digital",Historic_BCast_BASE[[#This Row],[Programme Type]]="Digital"),"Y","N")</f>
        <v>N</v>
      </c>
      <c r="M270" s="132" t="str">
        <f>IF(ISNUMBER(SEARCH("Pan ",Historic_BCast_BASE[[#This Row],[Broadcast Market]]))=TRUE,"Y","N")</f>
        <v>N</v>
      </c>
      <c r="N270" s="132" t="str">
        <f>VLOOKUP(CONCATENATE(Historic_BCast_BASE[[#This Row],[Broadcast Market]],Historic_BCast_BASE[[#This Row],[Broadcaster]]),Table1[[CC]:[Pay TV vs. Free-to-Air]],3,FALSE)</f>
        <v>Pay TV</v>
      </c>
      <c r="O270" s="133">
        <f>VLOOKUP(CONCATENATE(Historic_BCast_BASE[[#This Row],[Broadcast Market]],Historic_BCast_BASE[[#This Row],[Broadcaster]]),Table1[[CC]:[Pay TV vs. Free-to-Air]],2,FALSE)</f>
        <v>5115000</v>
      </c>
      <c r="P270" s="235">
        <f>Historic_BCast_BASE[[#This Row],[Rolex EXP]]*86400</f>
        <v>1375.7918368678108</v>
      </c>
      <c r="Q270" s="19" t="str">
        <f>IF(Historic_BCast_BASE[[#This Row],[Dashboard Rated?]]="No","N","Y")</f>
        <v>N</v>
      </c>
      <c r="S270" s="22"/>
    </row>
    <row r="271" spans="1:19" x14ac:dyDescent="0.25">
      <c r="A271" s="72" t="s">
        <v>1869</v>
      </c>
      <c r="B271" t="s">
        <v>114</v>
      </c>
      <c r="C271" t="s">
        <v>197</v>
      </c>
      <c r="D271" t="s">
        <v>1642</v>
      </c>
      <c r="E271" s="102">
        <v>0.58333333333333337</v>
      </c>
      <c r="F271" s="101">
        <v>312696</v>
      </c>
      <c r="G271" s="102">
        <v>5.5732308206450643E-2</v>
      </c>
      <c r="H271" s="101">
        <v>3933.8019581159679</v>
      </c>
      <c r="I271" s="101">
        <v>1130.1075375512667</v>
      </c>
      <c r="J271" s="101" t="s">
        <v>1867</v>
      </c>
      <c r="K271" t="str">
        <f>VLOOKUP(Historic_BCast_BASE[[#This Row],[Broadcast Market]],Continent_Look_Up[],2,FALSE)</f>
        <v>Asia Pacific</v>
      </c>
      <c r="L271" s="132" t="str">
        <f>IF(OR(Historic_BCast_BASE[[#This Row],[Broadcast Continent]]="Digital",Historic_BCast_BASE[[#This Row],[Programme Type]]="Digital"),"Y","N")</f>
        <v>N</v>
      </c>
      <c r="M271" s="132" t="str">
        <f>IF(ISNUMBER(SEARCH("Pan ",Historic_BCast_BASE[[#This Row],[Broadcast Market]]))=TRUE,"Y","N")</f>
        <v>N</v>
      </c>
      <c r="N271" s="132" t="str">
        <f>VLOOKUP(CONCATENATE(Historic_BCast_BASE[[#This Row],[Broadcast Market]],Historic_BCast_BASE[[#This Row],[Broadcaster]]),Table1[[CC]:[Pay TV vs. Free-to-Air]],3,FALSE)</f>
        <v>Pay TV</v>
      </c>
      <c r="O271" s="133">
        <f>VLOOKUP(CONCATENATE(Historic_BCast_BASE[[#This Row],[Broadcast Market]],Historic_BCast_BASE[[#This Row],[Broadcaster]]),Table1[[CC]:[Pay TV vs. Free-to-Air]],2,FALSE)</f>
        <v>5115000</v>
      </c>
      <c r="P271" s="235">
        <f>Historic_BCast_BASE[[#This Row],[Rolex EXP]]*86400</f>
        <v>4815.2714290373351</v>
      </c>
      <c r="Q271" s="19" t="str">
        <f>IF(Historic_BCast_BASE[[#This Row],[Dashboard Rated?]]="No","N","Y")</f>
        <v>N</v>
      </c>
      <c r="S271" s="22"/>
    </row>
    <row r="272" spans="1:19" x14ac:dyDescent="0.25">
      <c r="A272" s="72" t="s">
        <v>1869</v>
      </c>
      <c r="B272" t="s">
        <v>114</v>
      </c>
      <c r="C272" t="s">
        <v>197</v>
      </c>
      <c r="D272" t="s">
        <v>1643</v>
      </c>
      <c r="E272" s="102">
        <v>5.875</v>
      </c>
      <c r="F272" s="101">
        <v>347048</v>
      </c>
      <c r="G272" s="102">
        <v>0.5551619929292817</v>
      </c>
      <c r="H272" s="101">
        <v>46835.708214087397</v>
      </c>
      <c r="I272" s="101">
        <v>13452.118553392031</v>
      </c>
      <c r="J272" s="101" t="s">
        <v>1867</v>
      </c>
      <c r="K272" t="str">
        <f>VLOOKUP(Historic_BCast_BASE[[#This Row],[Broadcast Market]],Continent_Look_Up[],2,FALSE)</f>
        <v>Asia Pacific</v>
      </c>
      <c r="L272" s="132" t="str">
        <f>IF(OR(Historic_BCast_BASE[[#This Row],[Broadcast Continent]]="Digital",Historic_BCast_BASE[[#This Row],[Programme Type]]="Digital"),"Y","N")</f>
        <v>N</v>
      </c>
      <c r="M272" s="132" t="str">
        <f>IF(ISNUMBER(SEARCH("Pan ",Historic_BCast_BASE[[#This Row],[Broadcast Market]]))=TRUE,"Y","N")</f>
        <v>N</v>
      </c>
      <c r="N272" s="132" t="str">
        <f>VLOOKUP(CONCATENATE(Historic_BCast_BASE[[#This Row],[Broadcast Market]],Historic_BCast_BASE[[#This Row],[Broadcaster]]),Table1[[CC]:[Pay TV vs. Free-to-Air]],3,FALSE)</f>
        <v>Pay TV</v>
      </c>
      <c r="O272" s="133">
        <f>VLOOKUP(CONCATENATE(Historic_BCast_BASE[[#This Row],[Broadcast Market]],Historic_BCast_BASE[[#This Row],[Broadcaster]]),Table1[[CC]:[Pay TV vs. Free-to-Air]],2,FALSE)</f>
        <v>5115000</v>
      </c>
      <c r="P272" s="235">
        <f>Historic_BCast_BASE[[#This Row],[Rolex EXP]]*86400</f>
        <v>47965.996189089936</v>
      </c>
      <c r="Q272" s="19" t="str">
        <f>IF(Historic_BCast_BASE[[#This Row],[Dashboard Rated?]]="No","N","Y")</f>
        <v>N</v>
      </c>
      <c r="S272" s="22"/>
    </row>
    <row r="273" spans="1:19" x14ac:dyDescent="0.25">
      <c r="A273" s="72" t="s">
        <v>1869</v>
      </c>
      <c r="B273" t="s">
        <v>114</v>
      </c>
      <c r="C273" t="s">
        <v>197</v>
      </c>
      <c r="D273" t="s">
        <v>1644</v>
      </c>
      <c r="E273" s="102">
        <v>1.4131944444444444</v>
      </c>
      <c r="F273" s="101">
        <v>252761</v>
      </c>
      <c r="G273" s="102">
        <v>0.13501815142872275</v>
      </c>
      <c r="H273" s="101">
        <v>13350.721368045099</v>
      </c>
      <c r="I273" s="101">
        <v>3835.4119018743295</v>
      </c>
      <c r="J273" s="101" t="s">
        <v>1867</v>
      </c>
      <c r="K273" t="str">
        <f>VLOOKUP(Historic_BCast_BASE[[#This Row],[Broadcast Market]],Continent_Look_Up[],2,FALSE)</f>
        <v>Asia Pacific</v>
      </c>
      <c r="L273" s="132" t="str">
        <f>IF(OR(Historic_BCast_BASE[[#This Row],[Broadcast Continent]]="Digital",Historic_BCast_BASE[[#This Row],[Programme Type]]="Digital"),"Y","N")</f>
        <v>N</v>
      </c>
      <c r="M273" s="132" t="str">
        <f>IF(ISNUMBER(SEARCH("Pan ",Historic_BCast_BASE[[#This Row],[Broadcast Market]]))=TRUE,"Y","N")</f>
        <v>N</v>
      </c>
      <c r="N273" s="132" t="str">
        <f>VLOOKUP(CONCATENATE(Historic_BCast_BASE[[#This Row],[Broadcast Market]],Historic_BCast_BASE[[#This Row],[Broadcaster]]),Table1[[CC]:[Pay TV vs. Free-to-Air]],3,FALSE)</f>
        <v>Pay TV</v>
      </c>
      <c r="O273" s="133">
        <f>VLOOKUP(CONCATENATE(Historic_BCast_BASE[[#This Row],[Broadcast Market]],Historic_BCast_BASE[[#This Row],[Broadcaster]]),Table1[[CC]:[Pay TV vs. Free-to-Air]],2,FALSE)</f>
        <v>5115000</v>
      </c>
      <c r="P273" s="235">
        <f>Historic_BCast_BASE[[#This Row],[Rolex EXP]]*86400</f>
        <v>11665.568283441646</v>
      </c>
      <c r="Q273" s="19" t="str">
        <f>IF(Historic_BCast_BASE[[#This Row],[Dashboard Rated?]]="No","N","Y")</f>
        <v>N</v>
      </c>
      <c r="S273" s="22"/>
    </row>
    <row r="274" spans="1:19" x14ac:dyDescent="0.25">
      <c r="A274" s="72" t="s">
        <v>1869</v>
      </c>
      <c r="B274" t="s">
        <v>122</v>
      </c>
      <c r="C274" t="s">
        <v>183</v>
      </c>
      <c r="D274" t="s">
        <v>1642</v>
      </c>
      <c r="E274" s="102">
        <v>9.7222222222222224E-3</v>
      </c>
      <c r="F274" s="101">
        <v>659700</v>
      </c>
      <c r="G274" s="102">
        <v>7.9978337824272239E-4</v>
      </c>
      <c r="H274" s="101">
        <v>32297.345202730317</v>
      </c>
      <c r="I274" s="101">
        <v>9865.6478781486021</v>
      </c>
      <c r="J274" s="101" t="s">
        <v>1868</v>
      </c>
      <c r="K274" t="str">
        <f>VLOOKUP(Historic_BCast_BASE[[#This Row],[Broadcast Market]],Continent_Look_Up[],2,FALSE)</f>
        <v>North America</v>
      </c>
      <c r="L274" s="132" t="str">
        <f>IF(OR(Historic_BCast_BASE[[#This Row],[Broadcast Continent]]="Digital",Historic_BCast_BASE[[#This Row],[Programme Type]]="Digital"),"Y","N")</f>
        <v>N</v>
      </c>
      <c r="M274" s="132" t="str">
        <f>IF(ISNUMBER(SEARCH("Pan ",Historic_BCast_BASE[[#This Row],[Broadcast Market]]))=TRUE,"Y","N")</f>
        <v>N</v>
      </c>
      <c r="N274" s="132" t="str">
        <f>VLOOKUP(CONCATENATE(Historic_BCast_BASE[[#This Row],[Broadcast Market]],Historic_BCast_BASE[[#This Row],[Broadcaster]]),Table1[[CC]:[Pay TV vs. Free-to-Air]],3,FALSE)</f>
        <v>Pay TV</v>
      </c>
      <c r="O274" s="133">
        <f>VLOOKUP(CONCATENATE(Historic_BCast_BASE[[#This Row],[Broadcast Market]],Historic_BCast_BASE[[#This Row],[Broadcaster]]),Table1[[CC]:[Pay TV vs. Free-to-Air]],2,FALSE)</f>
        <v>93000000</v>
      </c>
      <c r="P274" s="235">
        <f>Historic_BCast_BASE[[#This Row],[Rolex EXP]]*86400</f>
        <v>69.101283880171209</v>
      </c>
      <c r="Q274" s="19" t="str">
        <f>IF(Historic_BCast_BASE[[#This Row],[Dashboard Rated?]]="No","N","Y")</f>
        <v>Y</v>
      </c>
      <c r="S274" s="22"/>
    </row>
    <row r="275" spans="1:19" x14ac:dyDescent="0.25">
      <c r="A275" s="72" t="s">
        <v>1869</v>
      </c>
      <c r="B275" t="s">
        <v>122</v>
      </c>
      <c r="C275" t="s">
        <v>183</v>
      </c>
      <c r="D275" t="s">
        <v>1643</v>
      </c>
      <c r="E275" s="102">
        <v>3.8416666666666668</v>
      </c>
      <c r="F275" s="101">
        <v>14154500</v>
      </c>
      <c r="G275" s="102">
        <v>0.35865416172395487</v>
      </c>
      <c r="H275" s="101">
        <v>16796931.09121925</v>
      </c>
      <c r="I275" s="101">
        <v>4998805.5206386782</v>
      </c>
      <c r="J275" s="101" t="s">
        <v>1868</v>
      </c>
      <c r="K275" t="str">
        <f>VLOOKUP(Historic_BCast_BASE[[#This Row],[Broadcast Market]],Continent_Look_Up[],2,FALSE)</f>
        <v>North America</v>
      </c>
      <c r="L275" s="132" t="str">
        <f>IF(OR(Historic_BCast_BASE[[#This Row],[Broadcast Continent]]="Digital",Historic_BCast_BASE[[#This Row],[Programme Type]]="Digital"),"Y","N")</f>
        <v>N</v>
      </c>
      <c r="M275" s="132" t="str">
        <f>IF(ISNUMBER(SEARCH("Pan ",Historic_BCast_BASE[[#This Row],[Broadcast Market]]))=TRUE,"Y","N")</f>
        <v>N</v>
      </c>
      <c r="N275" s="132" t="str">
        <f>VLOOKUP(CONCATENATE(Historic_BCast_BASE[[#This Row],[Broadcast Market]],Historic_BCast_BASE[[#This Row],[Broadcaster]]),Table1[[CC]:[Pay TV vs. Free-to-Air]],3,FALSE)</f>
        <v>Pay TV</v>
      </c>
      <c r="O275" s="133">
        <f>VLOOKUP(CONCATENATE(Historic_BCast_BASE[[#This Row],[Broadcast Market]],Historic_BCast_BASE[[#This Row],[Broadcaster]]),Table1[[CC]:[Pay TV vs. Free-to-Air]],2,FALSE)</f>
        <v>93000000</v>
      </c>
      <c r="P275" s="235">
        <f>Historic_BCast_BASE[[#This Row],[Rolex EXP]]*86400</f>
        <v>30987.7195729497</v>
      </c>
      <c r="Q275" s="19" t="str">
        <f>IF(Historic_BCast_BASE[[#This Row],[Dashboard Rated?]]="No","N","Y")</f>
        <v>Y</v>
      </c>
      <c r="S275" s="22"/>
    </row>
    <row r="276" spans="1:19" x14ac:dyDescent="0.25">
      <c r="A276" s="72" t="s">
        <v>1869</v>
      </c>
      <c r="B276" t="s">
        <v>122</v>
      </c>
      <c r="C276" t="s">
        <v>185</v>
      </c>
      <c r="D276" t="s">
        <v>1642</v>
      </c>
      <c r="E276" s="102">
        <v>3.6805555555555557E-2</v>
      </c>
      <c r="F276" s="101">
        <v>102000</v>
      </c>
      <c r="G276" s="102">
        <v>3.0277513604903064E-3</v>
      </c>
      <c r="H276" s="101">
        <v>9456.5149632109224</v>
      </c>
      <c r="I276" s="101">
        <v>2888.616578107959</v>
      </c>
      <c r="J276" s="101" t="s">
        <v>1868</v>
      </c>
      <c r="K276" t="str">
        <f>VLOOKUP(Historic_BCast_BASE[[#This Row],[Broadcast Market]],Continent_Look_Up[],2,FALSE)</f>
        <v>North America</v>
      </c>
      <c r="L276" s="132" t="str">
        <f>IF(OR(Historic_BCast_BASE[[#This Row],[Broadcast Continent]]="Digital",Historic_BCast_BASE[[#This Row],[Programme Type]]="Digital"),"Y","N")</f>
        <v>N</v>
      </c>
      <c r="M276" s="132" t="str">
        <f>IF(ISNUMBER(SEARCH("Pan ",Historic_BCast_BASE[[#This Row],[Broadcast Market]]))=TRUE,"Y","N")</f>
        <v>N</v>
      </c>
      <c r="N276" s="132" t="str">
        <f>VLOOKUP(CONCATENATE(Historic_BCast_BASE[[#This Row],[Broadcast Market]],Historic_BCast_BASE[[#This Row],[Broadcaster]]),Table1[[CC]:[Pay TV vs. Free-to-Air]],3,FALSE)</f>
        <v>Pay TV</v>
      </c>
      <c r="O276" s="133">
        <f>VLOOKUP(CONCATENATE(Historic_BCast_BASE[[#This Row],[Broadcast Market]],Historic_BCast_BASE[[#This Row],[Broadcaster]]),Table1[[CC]:[Pay TV vs. Free-to-Air]],2,FALSE)</f>
        <v>93000000</v>
      </c>
      <c r="P276" s="235">
        <f>Historic_BCast_BASE[[#This Row],[Rolex EXP]]*86400</f>
        <v>261.59771754636245</v>
      </c>
      <c r="Q276" s="19" t="str">
        <f>IF(Historic_BCast_BASE[[#This Row],[Dashboard Rated?]]="No","N","Y")</f>
        <v>Y</v>
      </c>
      <c r="S276" s="22"/>
    </row>
    <row r="277" spans="1:19" x14ac:dyDescent="0.25">
      <c r="A277" s="72" t="s">
        <v>1869</v>
      </c>
      <c r="B277" t="s">
        <v>122</v>
      </c>
      <c r="C277" t="s">
        <v>185</v>
      </c>
      <c r="D277" t="s">
        <v>1643</v>
      </c>
      <c r="E277" s="102">
        <v>2.4402777777777778</v>
      </c>
      <c r="F277" s="101">
        <v>8028500</v>
      </c>
      <c r="G277" s="102">
        <v>0.22479529594295847</v>
      </c>
      <c r="H277" s="101">
        <v>7638778.3138077166</v>
      </c>
      <c r="I277" s="101">
        <v>2193245.4312096476</v>
      </c>
      <c r="J277" s="101" t="s">
        <v>1868</v>
      </c>
      <c r="K277" t="str">
        <f>VLOOKUP(Historic_BCast_BASE[[#This Row],[Broadcast Market]],Continent_Look_Up[],2,FALSE)</f>
        <v>North America</v>
      </c>
      <c r="L277" s="132" t="str">
        <f>IF(OR(Historic_BCast_BASE[[#This Row],[Broadcast Continent]]="Digital",Historic_BCast_BASE[[#This Row],[Programme Type]]="Digital"),"Y","N")</f>
        <v>N</v>
      </c>
      <c r="M277" s="132" t="str">
        <f>IF(ISNUMBER(SEARCH("Pan ",Historic_BCast_BASE[[#This Row],[Broadcast Market]]))=TRUE,"Y","N")</f>
        <v>N</v>
      </c>
      <c r="N277" s="132" t="str">
        <f>VLOOKUP(CONCATENATE(Historic_BCast_BASE[[#This Row],[Broadcast Market]],Historic_BCast_BASE[[#This Row],[Broadcaster]]),Table1[[CC]:[Pay TV vs. Free-to-Air]],3,FALSE)</f>
        <v>Pay TV</v>
      </c>
      <c r="O277" s="133">
        <f>VLOOKUP(CONCATENATE(Historic_BCast_BASE[[#This Row],[Broadcast Market]],Historic_BCast_BASE[[#This Row],[Broadcaster]]),Table1[[CC]:[Pay TV vs. Free-to-Air]],2,FALSE)</f>
        <v>93000000</v>
      </c>
      <c r="P277" s="235">
        <f>Historic_BCast_BASE[[#This Row],[Rolex EXP]]*86400</f>
        <v>19422.313569471611</v>
      </c>
      <c r="Q277" s="19" t="str">
        <f>IF(Historic_BCast_BASE[[#This Row],[Dashboard Rated?]]="No","N","Y")</f>
        <v>Y</v>
      </c>
      <c r="S277" s="22"/>
    </row>
    <row r="278" spans="1:19" x14ac:dyDescent="0.25">
      <c r="A278" s="72" t="s">
        <v>1869</v>
      </c>
      <c r="B278" t="s">
        <v>122</v>
      </c>
      <c r="C278" t="s">
        <v>186</v>
      </c>
      <c r="D278" t="s">
        <v>1643</v>
      </c>
      <c r="E278" s="102">
        <v>6.0465277777777784</v>
      </c>
      <c r="F278" s="101">
        <v>510892</v>
      </c>
      <c r="G278" s="102">
        <v>0.56095749042645282</v>
      </c>
      <c r="H278" s="101">
        <v>645722.9480675793</v>
      </c>
      <c r="I278" s="101">
        <v>190052.90619385883</v>
      </c>
      <c r="J278" s="101" t="s">
        <v>1867</v>
      </c>
      <c r="K278" t="str">
        <f>VLOOKUP(Historic_BCast_BASE[[#This Row],[Broadcast Market]],Continent_Look_Up[],2,FALSE)</f>
        <v>North America</v>
      </c>
      <c r="L278" s="132" t="str">
        <f>IF(OR(Historic_BCast_BASE[[#This Row],[Broadcast Continent]]="Digital",Historic_BCast_BASE[[#This Row],[Programme Type]]="Digital"),"Y","N")</f>
        <v>N</v>
      </c>
      <c r="M278" s="132" t="str">
        <f>IF(ISNUMBER(SEARCH("Pan ",Historic_BCast_BASE[[#This Row],[Broadcast Market]]))=TRUE,"Y","N")</f>
        <v>N</v>
      </c>
      <c r="N278" s="132" t="str">
        <f>VLOOKUP(CONCATENATE(Historic_BCast_BASE[[#This Row],[Broadcast Market]],Historic_BCast_BASE[[#This Row],[Broadcaster]]),Table1[[CC]:[Pay TV vs. Free-to-Air]],3,FALSE)</f>
        <v>Pay TV</v>
      </c>
      <c r="O278" s="133">
        <f>VLOOKUP(CONCATENATE(Historic_BCast_BASE[[#This Row],[Broadcast Market]],Historic_BCast_BASE[[#This Row],[Broadcaster]]),Table1[[CC]:[Pay TV vs. Free-to-Air]],2,FALSE)</f>
        <v>93000000</v>
      </c>
      <c r="P278" s="235">
        <f>Historic_BCast_BASE[[#This Row],[Rolex EXP]]*86400</f>
        <v>48466.727172845523</v>
      </c>
      <c r="Q278" s="19" t="str">
        <f>IF(Historic_BCast_BASE[[#This Row],[Dashboard Rated?]]="No","N","Y")</f>
        <v>N</v>
      </c>
      <c r="S278" s="22"/>
    </row>
    <row r="279" spans="1:19" x14ac:dyDescent="0.25">
      <c r="A279" s="72" t="s">
        <v>1869</v>
      </c>
      <c r="B279" t="s">
        <v>122</v>
      </c>
      <c r="C279" t="s">
        <v>187</v>
      </c>
      <c r="D279" t="s">
        <v>1642</v>
      </c>
      <c r="E279" s="102">
        <v>2.2916666666666669E-2</v>
      </c>
      <c r="F279" s="101">
        <v>12400</v>
      </c>
      <c r="G279" s="102">
        <v>1.8852036772864171E-3</v>
      </c>
      <c r="H279" s="101">
        <v>1430.9614388528651</v>
      </c>
      <c r="I279" s="101">
        <v>437.10594769683422</v>
      </c>
      <c r="J279" s="101" t="s">
        <v>1868</v>
      </c>
      <c r="K279" t="str">
        <f>VLOOKUP(Historic_BCast_BASE[[#This Row],[Broadcast Market]],Continent_Look_Up[],2,FALSE)</f>
        <v>North America</v>
      </c>
      <c r="L279" s="132" t="str">
        <f>IF(OR(Historic_BCast_BASE[[#This Row],[Broadcast Continent]]="Digital",Historic_BCast_BASE[[#This Row],[Programme Type]]="Digital"),"Y","N")</f>
        <v>N</v>
      </c>
      <c r="M279" s="132" t="str">
        <f>IF(ISNUMBER(SEARCH("Pan ",Historic_BCast_BASE[[#This Row],[Broadcast Market]]))=TRUE,"Y","N")</f>
        <v>N</v>
      </c>
      <c r="N279" s="132" t="str">
        <f>VLOOKUP(CONCATENATE(Historic_BCast_BASE[[#This Row],[Broadcast Market]],Historic_BCast_BASE[[#This Row],[Broadcaster]]),Table1[[CC]:[Pay TV vs. Free-to-Air]],3,FALSE)</f>
        <v>Pay TV</v>
      </c>
      <c r="O279" s="133">
        <f>VLOOKUP(CONCATENATE(Historic_BCast_BASE[[#This Row],[Broadcast Market]],Historic_BCast_BASE[[#This Row],[Broadcaster]]),Table1[[CC]:[Pay TV vs. Free-to-Air]],2,FALSE)</f>
        <v>38400000</v>
      </c>
      <c r="P279" s="235">
        <f>Historic_BCast_BASE[[#This Row],[Rolex EXP]]*86400</f>
        <v>162.88159771754644</v>
      </c>
      <c r="Q279" s="19" t="str">
        <f>IF(Historic_BCast_BASE[[#This Row],[Dashboard Rated?]]="No","N","Y")</f>
        <v>Y</v>
      </c>
      <c r="S279" s="22"/>
    </row>
    <row r="280" spans="1:19" x14ac:dyDescent="0.25">
      <c r="A280" s="72" t="s">
        <v>1869</v>
      </c>
      <c r="B280" t="s">
        <v>122</v>
      </c>
      <c r="C280" t="s">
        <v>187</v>
      </c>
      <c r="D280" t="s">
        <v>1643</v>
      </c>
      <c r="E280" s="102">
        <v>3.3874999999999997</v>
      </c>
      <c r="F280" s="101">
        <v>195900</v>
      </c>
      <c r="G280" s="102">
        <v>0.3152733064481929</v>
      </c>
      <c r="H280" s="101">
        <v>175528.94387944759</v>
      </c>
      <c r="I280" s="101">
        <v>51829.213973383426</v>
      </c>
      <c r="J280" s="101" t="s">
        <v>1868</v>
      </c>
      <c r="K280" t="str">
        <f>VLOOKUP(Historic_BCast_BASE[[#This Row],[Broadcast Market]],Continent_Look_Up[],2,FALSE)</f>
        <v>North America</v>
      </c>
      <c r="L280" s="132" t="str">
        <f>IF(OR(Historic_BCast_BASE[[#This Row],[Broadcast Continent]]="Digital",Historic_BCast_BASE[[#This Row],[Programme Type]]="Digital"),"Y","N")</f>
        <v>N</v>
      </c>
      <c r="M280" s="132" t="str">
        <f>IF(ISNUMBER(SEARCH("Pan ",Historic_BCast_BASE[[#This Row],[Broadcast Market]]))=TRUE,"Y","N")</f>
        <v>N</v>
      </c>
      <c r="N280" s="132" t="str">
        <f>VLOOKUP(CONCATENATE(Historic_BCast_BASE[[#This Row],[Broadcast Market]],Historic_BCast_BASE[[#This Row],[Broadcaster]]),Table1[[CC]:[Pay TV vs. Free-to-Air]],3,FALSE)</f>
        <v>Pay TV</v>
      </c>
      <c r="O280" s="133">
        <f>VLOOKUP(CONCATENATE(Historic_BCast_BASE[[#This Row],[Broadcast Market]],Historic_BCast_BASE[[#This Row],[Broadcaster]]),Table1[[CC]:[Pay TV vs. Free-to-Air]],2,FALSE)</f>
        <v>38400000</v>
      </c>
      <c r="P280" s="235">
        <f>Historic_BCast_BASE[[#This Row],[Rolex EXP]]*86400</f>
        <v>27239.613677123867</v>
      </c>
      <c r="Q280" s="19" t="str">
        <f>IF(Historic_BCast_BASE[[#This Row],[Dashboard Rated?]]="No","N","Y")</f>
        <v>Y</v>
      </c>
      <c r="S280" s="22"/>
    </row>
    <row r="281" spans="1:19" x14ac:dyDescent="0.25">
      <c r="A281" s="72" t="s">
        <v>1869</v>
      </c>
      <c r="B281" t="s">
        <v>122</v>
      </c>
      <c r="C281" t="s">
        <v>1594</v>
      </c>
      <c r="D281" t="s">
        <v>1642</v>
      </c>
      <c r="E281" s="102">
        <v>1.7402777777777778</v>
      </c>
      <c r="F281" s="101">
        <v>1851484</v>
      </c>
      <c r="G281" s="102">
        <v>0.16091792390640938</v>
      </c>
      <c r="H281" s="101">
        <v>319698.33205917408</v>
      </c>
      <c r="I281" s="101">
        <v>92172.200398974615</v>
      </c>
      <c r="J281" s="101" t="s">
        <v>1868</v>
      </c>
      <c r="K281" t="str">
        <f>VLOOKUP(Historic_BCast_BASE[[#This Row],[Broadcast Market]],Continent_Look_Up[],2,FALSE)</f>
        <v>North America</v>
      </c>
      <c r="L281" s="132" t="str">
        <f>IF(OR(Historic_BCast_BASE[[#This Row],[Broadcast Continent]]="Digital",Historic_BCast_BASE[[#This Row],[Programme Type]]="Digital"),"Y","N")</f>
        <v>N</v>
      </c>
      <c r="M281" s="132" t="str">
        <f>IF(ISNUMBER(SEARCH("Pan ",Historic_BCast_BASE[[#This Row],[Broadcast Market]]))=TRUE,"Y","N")</f>
        <v>N</v>
      </c>
      <c r="N281" s="132" t="str">
        <f>VLOOKUP(CONCATENATE(Historic_BCast_BASE[[#This Row],[Broadcast Market]],Historic_BCast_BASE[[#This Row],[Broadcaster]]),Table1[[CC]:[Pay TV vs. Free-to-Air]],3,FALSE)</f>
        <v>Pay TV</v>
      </c>
      <c r="O281" s="133">
        <f>VLOOKUP(CONCATENATE(Historic_BCast_BASE[[#This Row],[Broadcast Market]],Historic_BCast_BASE[[#This Row],[Broadcaster]]),Table1[[CC]:[Pay TV vs. Free-to-Air]],2,FALSE)</f>
        <v>34000000</v>
      </c>
      <c r="P281" s="235">
        <f>Historic_BCast_BASE[[#This Row],[Rolex EXP]]*86400</f>
        <v>13903.308625513771</v>
      </c>
      <c r="Q281" s="19" t="str">
        <f>IF(Historic_BCast_BASE[[#This Row],[Dashboard Rated?]]="No","N","Y")</f>
        <v>Y</v>
      </c>
      <c r="S281" s="22"/>
    </row>
    <row r="282" spans="1:19" x14ac:dyDescent="0.25">
      <c r="A282" s="72" t="s">
        <v>1869</v>
      </c>
      <c r="B282" t="s">
        <v>122</v>
      </c>
      <c r="C282" t="s">
        <v>1594</v>
      </c>
      <c r="D282" t="s">
        <v>1643</v>
      </c>
      <c r="E282" s="102">
        <v>0.29930555555555555</v>
      </c>
      <c r="F282" s="101">
        <v>178900</v>
      </c>
      <c r="G282" s="102">
        <v>2.2395222942085496E-2</v>
      </c>
      <c r="H282" s="101">
        <v>95929.11979701223</v>
      </c>
      <c r="I282" s="101">
        <v>27052.970515742199</v>
      </c>
      <c r="J282" s="101" t="s">
        <v>1868</v>
      </c>
      <c r="K282" t="str">
        <f>VLOOKUP(Historic_BCast_BASE[[#This Row],[Broadcast Market]],Continent_Look_Up[],2,FALSE)</f>
        <v>North America</v>
      </c>
      <c r="L282" s="132" t="str">
        <f>IF(OR(Historic_BCast_BASE[[#This Row],[Broadcast Continent]]="Digital",Historic_BCast_BASE[[#This Row],[Programme Type]]="Digital"),"Y","N")</f>
        <v>N</v>
      </c>
      <c r="M282" s="132" t="str">
        <f>IF(ISNUMBER(SEARCH("Pan ",Historic_BCast_BASE[[#This Row],[Broadcast Market]]))=TRUE,"Y","N")</f>
        <v>N</v>
      </c>
      <c r="N282" s="132" t="str">
        <f>VLOOKUP(CONCATENATE(Historic_BCast_BASE[[#This Row],[Broadcast Market]],Historic_BCast_BASE[[#This Row],[Broadcaster]]),Table1[[CC]:[Pay TV vs. Free-to-Air]],3,FALSE)</f>
        <v>Pay TV</v>
      </c>
      <c r="O282" s="133">
        <f>VLOOKUP(CONCATENATE(Historic_BCast_BASE[[#This Row],[Broadcast Market]],Historic_BCast_BASE[[#This Row],[Broadcaster]]),Table1[[CC]:[Pay TV vs. Free-to-Air]],2,FALSE)</f>
        <v>34000000</v>
      </c>
      <c r="P282" s="235">
        <f>Historic_BCast_BASE[[#This Row],[Rolex EXP]]*86400</f>
        <v>1934.9472621961868</v>
      </c>
      <c r="Q282" s="19" t="str">
        <f>IF(Historic_BCast_BASE[[#This Row],[Dashboard Rated?]]="No","N","Y")</f>
        <v>Y</v>
      </c>
      <c r="S282" s="22"/>
    </row>
    <row r="283" spans="1:19" x14ac:dyDescent="0.25">
      <c r="A283" s="72" t="s">
        <v>1869</v>
      </c>
      <c r="B283" t="s">
        <v>122</v>
      </c>
      <c r="C283" t="s">
        <v>1594</v>
      </c>
      <c r="D283" t="s">
        <v>1644</v>
      </c>
      <c r="E283" s="102">
        <v>3.4027777777777781</v>
      </c>
      <c r="F283" s="101">
        <v>1544843</v>
      </c>
      <c r="G283" s="102">
        <v>0.31028870942472697</v>
      </c>
      <c r="H283" s="101">
        <v>621042.22738550464</v>
      </c>
      <c r="I283" s="101">
        <v>180264.04707518368</v>
      </c>
      <c r="J283" s="101" t="s">
        <v>1868</v>
      </c>
      <c r="K283" t="str">
        <f>VLOOKUP(Historic_BCast_BASE[[#This Row],[Broadcast Market]],Continent_Look_Up[],2,FALSE)</f>
        <v>North America</v>
      </c>
      <c r="L283" s="132" t="str">
        <f>IF(OR(Historic_BCast_BASE[[#This Row],[Broadcast Continent]]="Digital",Historic_BCast_BASE[[#This Row],[Programme Type]]="Digital"),"Y","N")</f>
        <v>N</v>
      </c>
      <c r="M283" s="132" t="str">
        <f>IF(ISNUMBER(SEARCH("Pan ",Historic_BCast_BASE[[#This Row],[Broadcast Market]]))=TRUE,"Y","N")</f>
        <v>N</v>
      </c>
      <c r="N283" s="132" t="str">
        <f>VLOOKUP(CONCATENATE(Historic_BCast_BASE[[#This Row],[Broadcast Market]],Historic_BCast_BASE[[#This Row],[Broadcaster]]),Table1[[CC]:[Pay TV vs. Free-to-Air]],3,FALSE)</f>
        <v>Pay TV</v>
      </c>
      <c r="O283" s="133">
        <f>VLOOKUP(CONCATENATE(Historic_BCast_BASE[[#This Row],[Broadcast Market]],Historic_BCast_BASE[[#This Row],[Broadcaster]]),Table1[[CC]:[Pay TV vs. Free-to-Air]],2,FALSE)</f>
        <v>34000000</v>
      </c>
      <c r="P283" s="235">
        <f>Historic_BCast_BASE[[#This Row],[Rolex EXP]]*86400</f>
        <v>26808.944494296411</v>
      </c>
      <c r="Q283" s="19" t="str">
        <f>IF(Historic_BCast_BASE[[#This Row],[Dashboard Rated?]]="No","N","Y")</f>
        <v>Y</v>
      </c>
      <c r="S283" s="22"/>
    </row>
    <row r="284" spans="1:19" x14ac:dyDescent="0.25">
      <c r="A284" s="72" t="s">
        <v>1869</v>
      </c>
      <c r="B284" t="s">
        <v>126</v>
      </c>
      <c r="C284" t="s">
        <v>468</v>
      </c>
      <c r="D284" t="s">
        <v>1642</v>
      </c>
      <c r="E284" s="102">
        <v>2.8541666666666665</v>
      </c>
      <c r="F284" s="101">
        <v>232058</v>
      </c>
      <c r="G284" s="102">
        <v>0.25753005398437262</v>
      </c>
      <c r="H284" s="101">
        <v>13847.493741336066</v>
      </c>
      <c r="I284" s="101">
        <v>4041.1225419440748</v>
      </c>
      <c r="J284" s="101" t="s">
        <v>1867</v>
      </c>
      <c r="K284" t="str">
        <f>VLOOKUP(Historic_BCast_BASE[[#This Row],[Broadcast Market]],Continent_Look_Up[],2,FALSE)</f>
        <v>Asia Pacific</v>
      </c>
      <c r="L284" s="132" t="str">
        <f>IF(OR(Historic_BCast_BASE[[#This Row],[Broadcast Continent]]="Digital",Historic_BCast_BASE[[#This Row],[Programme Type]]="Digital"),"Y","N")</f>
        <v>N</v>
      </c>
      <c r="M284" s="132" t="str">
        <f>IF(ISNUMBER(SEARCH("Pan ",Historic_BCast_BASE[[#This Row],[Broadcast Market]]))=TRUE,"Y","N")</f>
        <v>N</v>
      </c>
      <c r="N284" s="132" t="str">
        <f>VLOOKUP(CONCATENATE(Historic_BCast_BASE[[#This Row],[Broadcast Market]],Historic_BCast_BASE[[#This Row],[Broadcaster]]),Table1[[CC]:[Pay TV vs. Free-to-Air]],3,FALSE)</f>
        <v>Pay TV</v>
      </c>
      <c r="O284" s="133">
        <f>VLOOKUP(CONCATENATE(Historic_BCast_BASE[[#This Row],[Broadcast Market]],Historic_BCast_BASE[[#This Row],[Broadcaster]]),Table1[[CC]:[Pay TV vs. Free-to-Air]],2,FALSE)</f>
        <v>6225000</v>
      </c>
      <c r="P284" s="235">
        <f>Historic_BCast_BASE[[#This Row],[Rolex EXP]]*86400</f>
        <v>22250.596664249795</v>
      </c>
      <c r="Q284" s="19" t="str">
        <f>IF(Historic_BCast_BASE[[#This Row],[Dashboard Rated?]]="No","N","Y")</f>
        <v>N</v>
      </c>
      <c r="S284" s="22"/>
    </row>
    <row r="285" spans="1:19" x14ac:dyDescent="0.25">
      <c r="A285" s="72" t="s">
        <v>1869</v>
      </c>
      <c r="B285" t="s">
        <v>126</v>
      </c>
      <c r="C285" t="s">
        <v>468</v>
      </c>
      <c r="D285" t="s">
        <v>1643</v>
      </c>
      <c r="E285" s="102">
        <v>6.0347222222222223</v>
      </c>
      <c r="F285" s="101">
        <v>63915</v>
      </c>
      <c r="G285" s="102">
        <v>0.56939836831795776</v>
      </c>
      <c r="H285" s="101">
        <v>50670.396756042457</v>
      </c>
      <c r="I285" s="101">
        <v>14553.083336790447</v>
      </c>
      <c r="J285" s="101" t="s">
        <v>1867</v>
      </c>
      <c r="K285" t="str">
        <f>VLOOKUP(Historic_BCast_BASE[[#This Row],[Broadcast Market]],Continent_Look_Up[],2,FALSE)</f>
        <v>Asia Pacific</v>
      </c>
      <c r="L285" s="132" t="str">
        <f>IF(OR(Historic_BCast_BASE[[#This Row],[Broadcast Continent]]="Digital",Historic_BCast_BASE[[#This Row],[Programme Type]]="Digital"),"Y","N")</f>
        <v>N</v>
      </c>
      <c r="M285" s="132" t="str">
        <f>IF(ISNUMBER(SEARCH("Pan ",Historic_BCast_BASE[[#This Row],[Broadcast Market]]))=TRUE,"Y","N")</f>
        <v>N</v>
      </c>
      <c r="N285" s="132" t="str">
        <f>VLOOKUP(CONCATENATE(Historic_BCast_BASE[[#This Row],[Broadcast Market]],Historic_BCast_BASE[[#This Row],[Broadcaster]]),Table1[[CC]:[Pay TV vs. Free-to-Air]],3,FALSE)</f>
        <v>Pay TV</v>
      </c>
      <c r="O285" s="133">
        <f>VLOOKUP(CONCATENATE(Historic_BCast_BASE[[#This Row],[Broadcast Market]],Historic_BCast_BASE[[#This Row],[Broadcaster]]),Table1[[CC]:[Pay TV vs. Free-to-Air]],2,FALSE)</f>
        <v>6225000</v>
      </c>
      <c r="P285" s="235">
        <f>Historic_BCast_BASE[[#This Row],[Rolex EXP]]*86400</f>
        <v>49196.019022671549</v>
      </c>
      <c r="Q285" s="19" t="str">
        <f>IF(Historic_BCast_BASE[[#This Row],[Dashboard Rated?]]="No","N","Y")</f>
        <v>N</v>
      </c>
      <c r="S285" s="22"/>
    </row>
    <row r="286" spans="1:19" x14ac:dyDescent="0.25">
      <c r="A286" s="72" t="s">
        <v>1869</v>
      </c>
      <c r="B286" t="s">
        <v>126</v>
      </c>
      <c r="C286" t="s">
        <v>225</v>
      </c>
      <c r="D286" t="s">
        <v>1642</v>
      </c>
      <c r="E286" s="102">
        <v>0.20833333333333334</v>
      </c>
      <c r="F286" s="101">
        <v>17506</v>
      </c>
      <c r="G286" s="102">
        <v>1.58097502594658E-2</v>
      </c>
      <c r="H286" s="101">
        <v>938.30690672459991</v>
      </c>
      <c r="I286" s="101">
        <v>268.3090857422028</v>
      </c>
      <c r="J286" s="101" t="s">
        <v>1867</v>
      </c>
      <c r="K286" t="str">
        <f>VLOOKUP(Historic_BCast_BASE[[#This Row],[Broadcast Market]],Continent_Look_Up[],2,FALSE)</f>
        <v>Asia Pacific</v>
      </c>
      <c r="L286" s="132" t="str">
        <f>IF(OR(Historic_BCast_BASE[[#This Row],[Broadcast Continent]]="Digital",Historic_BCast_BASE[[#This Row],[Programme Type]]="Digital"),"Y","N")</f>
        <v>N</v>
      </c>
      <c r="M286" s="132" t="str">
        <f>IF(ISNUMBER(SEARCH("Pan ",Historic_BCast_BASE[[#This Row],[Broadcast Market]]))=TRUE,"Y","N")</f>
        <v>N</v>
      </c>
      <c r="N286" s="132" t="str">
        <f>VLOOKUP(CONCATENATE(Historic_BCast_BASE[[#This Row],[Broadcast Market]],Historic_BCast_BASE[[#This Row],[Broadcaster]]),Table1[[CC]:[Pay TV vs. Free-to-Air]],3,FALSE)</f>
        <v>Pay TV</v>
      </c>
      <c r="O286" s="133">
        <f>VLOOKUP(CONCATENATE(Historic_BCast_BASE[[#This Row],[Broadcast Market]],Historic_BCast_BASE[[#This Row],[Broadcaster]]),Table1[[CC]:[Pay TV vs. Free-to-Air]],2,FALSE)</f>
        <v>6225000</v>
      </c>
      <c r="P286" s="235">
        <f>Historic_BCast_BASE[[#This Row],[Rolex EXP]]*86400</f>
        <v>1365.9624224178451</v>
      </c>
      <c r="Q286" s="19" t="str">
        <f>IF(Historic_BCast_BASE[[#This Row],[Dashboard Rated?]]="No","N","Y")</f>
        <v>N</v>
      </c>
      <c r="S286" s="22"/>
    </row>
    <row r="287" spans="1:19" x14ac:dyDescent="0.25">
      <c r="A287" s="72" t="s">
        <v>1869</v>
      </c>
      <c r="B287" t="s">
        <v>126</v>
      </c>
      <c r="C287" t="s">
        <v>225</v>
      </c>
      <c r="D287" t="s">
        <v>1643</v>
      </c>
      <c r="E287" s="102">
        <v>2.7291666666666665</v>
      </c>
      <c r="F287" s="101">
        <v>28133</v>
      </c>
      <c r="G287" s="102">
        <v>0.26074758482303712</v>
      </c>
      <c r="H287" s="101">
        <v>21885.922300404978</v>
      </c>
      <c r="I287" s="101">
        <v>6287.4150812093048</v>
      </c>
      <c r="J287" s="101" t="s">
        <v>1867</v>
      </c>
      <c r="K287" t="str">
        <f>VLOOKUP(Historic_BCast_BASE[[#This Row],[Broadcast Market]],Continent_Look_Up[],2,FALSE)</f>
        <v>Asia Pacific</v>
      </c>
      <c r="L287" s="132" t="str">
        <f>IF(OR(Historic_BCast_BASE[[#This Row],[Broadcast Continent]]="Digital",Historic_BCast_BASE[[#This Row],[Programme Type]]="Digital"),"Y","N")</f>
        <v>N</v>
      </c>
      <c r="M287" s="132" t="str">
        <f>IF(ISNUMBER(SEARCH("Pan ",Historic_BCast_BASE[[#This Row],[Broadcast Market]]))=TRUE,"Y","N")</f>
        <v>N</v>
      </c>
      <c r="N287" s="132" t="str">
        <f>VLOOKUP(CONCATENATE(Historic_BCast_BASE[[#This Row],[Broadcast Market]],Historic_BCast_BASE[[#This Row],[Broadcaster]]),Table1[[CC]:[Pay TV vs. Free-to-Air]],3,FALSE)</f>
        <v>Pay TV</v>
      </c>
      <c r="O287" s="133">
        <f>VLOOKUP(CONCATENATE(Historic_BCast_BASE[[#This Row],[Broadcast Market]],Historic_BCast_BASE[[#This Row],[Broadcaster]]),Table1[[CC]:[Pay TV vs. Free-to-Air]],2,FALSE)</f>
        <v>6225000</v>
      </c>
      <c r="P287" s="235">
        <f>Historic_BCast_BASE[[#This Row],[Rolex EXP]]*86400</f>
        <v>22528.591328710409</v>
      </c>
      <c r="Q287" s="19" t="str">
        <f>IF(Historic_BCast_BASE[[#This Row],[Dashboard Rated?]]="No","N","Y")</f>
        <v>N</v>
      </c>
      <c r="S287" s="22"/>
    </row>
    <row r="288" spans="1:19" x14ac:dyDescent="0.25">
      <c r="A288" s="72" t="s">
        <v>1869</v>
      </c>
      <c r="B288" t="s">
        <v>126</v>
      </c>
      <c r="C288" t="s">
        <v>1617</v>
      </c>
      <c r="D288" t="s">
        <v>1643</v>
      </c>
      <c r="E288" s="102">
        <v>5.552083333333333</v>
      </c>
      <c r="F288" s="101">
        <v>89953</v>
      </c>
      <c r="G288" s="102">
        <v>0.5236600397397867</v>
      </c>
      <c r="H288" s="101">
        <v>42772.418031682966</v>
      </c>
      <c r="I288" s="101">
        <v>12285.94225606293</v>
      </c>
      <c r="J288" s="101" t="s">
        <v>1867</v>
      </c>
      <c r="K288" t="str">
        <f>VLOOKUP(Historic_BCast_BASE[[#This Row],[Broadcast Market]],Continent_Look_Up[],2,FALSE)</f>
        <v>Asia Pacific</v>
      </c>
      <c r="L288" s="132" t="str">
        <f>IF(OR(Historic_BCast_BASE[[#This Row],[Broadcast Continent]]="Digital",Historic_BCast_BASE[[#This Row],[Programme Type]]="Digital"),"Y","N")</f>
        <v>N</v>
      </c>
      <c r="M288" s="132" t="str">
        <f>IF(ISNUMBER(SEARCH("Pan ",Historic_BCast_BASE[[#This Row],[Broadcast Market]]))=TRUE,"Y","N")</f>
        <v>N</v>
      </c>
      <c r="N288" s="132" t="str">
        <f>VLOOKUP(CONCATENATE(Historic_BCast_BASE[[#This Row],[Broadcast Market]],Historic_BCast_BASE[[#This Row],[Broadcaster]]),Table1[[CC]:[Pay TV vs. Free-to-Air]],3,FALSE)</f>
        <v>Pay TV</v>
      </c>
      <c r="O288" s="133">
        <f>VLOOKUP(CONCATENATE(Historic_BCast_BASE[[#This Row],[Broadcast Market]],Historic_BCast_BASE[[#This Row],[Broadcaster]]),Table1[[CC]:[Pay TV vs. Free-to-Air]],2,FALSE)</f>
        <v>0</v>
      </c>
      <c r="P288" s="235">
        <f>Historic_BCast_BASE[[#This Row],[Rolex EXP]]*86400</f>
        <v>45244.227433517568</v>
      </c>
      <c r="Q288" s="19" t="str">
        <f>IF(Historic_BCast_BASE[[#This Row],[Dashboard Rated?]]="No","N","Y")</f>
        <v>N</v>
      </c>
      <c r="S288" s="22"/>
    </row>
    <row r="289" spans="1:19" x14ac:dyDescent="0.25">
      <c r="A289" s="72" t="s">
        <v>1869</v>
      </c>
      <c r="B289" t="s">
        <v>126</v>
      </c>
      <c r="C289" t="s">
        <v>1617</v>
      </c>
      <c r="D289" t="s">
        <v>1644</v>
      </c>
      <c r="E289" s="102">
        <v>1.9583333333333333</v>
      </c>
      <c r="F289" s="101">
        <v>63743</v>
      </c>
      <c r="G289" s="102">
        <v>0.18710132040737015</v>
      </c>
      <c r="H289" s="101">
        <v>9524.9814856907542</v>
      </c>
      <c r="I289" s="101">
        <v>2736.3485723543522</v>
      </c>
      <c r="J289" s="101" t="s">
        <v>1867</v>
      </c>
      <c r="K289" t="str">
        <f>VLOOKUP(Historic_BCast_BASE[[#This Row],[Broadcast Market]],Continent_Look_Up[],2,FALSE)</f>
        <v>Asia Pacific</v>
      </c>
      <c r="L289" s="132" t="str">
        <f>IF(OR(Historic_BCast_BASE[[#This Row],[Broadcast Continent]]="Digital",Historic_BCast_BASE[[#This Row],[Programme Type]]="Digital"),"Y","N")</f>
        <v>N</v>
      </c>
      <c r="M289" s="132" t="str">
        <f>IF(ISNUMBER(SEARCH("Pan ",Historic_BCast_BASE[[#This Row],[Broadcast Market]]))=TRUE,"Y","N")</f>
        <v>N</v>
      </c>
      <c r="N289" s="132" t="str">
        <f>VLOOKUP(CONCATENATE(Historic_BCast_BASE[[#This Row],[Broadcast Market]],Historic_BCast_BASE[[#This Row],[Broadcaster]]),Table1[[CC]:[Pay TV vs. Free-to-Air]],3,FALSE)</f>
        <v>Pay TV</v>
      </c>
      <c r="O289" s="133">
        <f>VLOOKUP(CONCATENATE(Historic_BCast_BASE[[#This Row],[Broadcast Market]],Historic_BCast_BASE[[#This Row],[Broadcaster]]),Table1[[CC]:[Pay TV vs. Free-to-Air]],2,FALSE)</f>
        <v>0</v>
      </c>
      <c r="P289" s="235">
        <f>Historic_BCast_BASE[[#This Row],[Rolex EXP]]*86400</f>
        <v>16165.554083196781</v>
      </c>
      <c r="Q289" s="19" t="str">
        <f>IF(Historic_BCast_BASE[[#This Row],[Dashboard Rated?]]="No","N","Y")</f>
        <v>N</v>
      </c>
      <c r="S289" s="22"/>
    </row>
    <row r="290" spans="1:19" x14ac:dyDescent="0.25">
      <c r="A290" s="72" t="s">
        <v>1869</v>
      </c>
      <c r="B290" t="s">
        <v>45</v>
      </c>
      <c r="C290" t="s">
        <v>45</v>
      </c>
      <c r="D290" t="s">
        <v>45</v>
      </c>
      <c r="E290" s="102">
        <v>0.54166666666666663</v>
      </c>
      <c r="F290" s="101">
        <v>35218.596430517646</v>
      </c>
      <c r="G290" s="102">
        <v>5.0244117680982296E-2</v>
      </c>
      <c r="H290" s="101">
        <v>17608.052327533442</v>
      </c>
      <c r="I290" s="101">
        <v>5106.5514386363348</v>
      </c>
      <c r="J290" s="101"/>
      <c r="K290" t="str">
        <f>VLOOKUP(Historic_BCast_BASE[[#This Row],[Broadcast Market]],Continent_Look_Up[],2,FALSE)</f>
        <v>Digital</v>
      </c>
      <c r="L290" s="132" t="str">
        <f>IF(OR(Historic_BCast_BASE[[#This Row],[Broadcast Continent]]="Digital",Historic_BCast_BASE[[#This Row],[Programme Type]]="Digital"),"Y","N")</f>
        <v>Y</v>
      </c>
      <c r="M290" s="132" t="str">
        <f>IF(ISNUMBER(SEARCH("Pan ",Historic_BCast_BASE[[#This Row],[Broadcast Market]]))=TRUE,"Y","N")</f>
        <v>N</v>
      </c>
      <c r="N290" s="132" t="str">
        <f>VLOOKUP(CONCATENATE(Historic_BCast_BASE[[#This Row],[Broadcast Market]],Historic_BCast_BASE[[#This Row],[Broadcaster]]),Table1[[CC]:[Pay TV vs. Free-to-Air]],3,FALSE)</f>
        <v>Digital</v>
      </c>
      <c r="O290" s="133" t="str">
        <f>VLOOKUP(CONCATENATE(Historic_BCast_BASE[[#This Row],[Broadcast Market]],Historic_BCast_BASE[[#This Row],[Broadcaster]]),Table1[[CC]:[Pay TV vs. Free-to-Air]],2,FALSE)</f>
        <v>-</v>
      </c>
      <c r="P290" s="235">
        <f>Historic_BCast_BASE[[#This Row],[Rolex EXP]]*86400</f>
        <v>4341.0917676368708</v>
      </c>
      <c r="Q290" s="19" t="str">
        <f>IF(Historic_BCast_BASE[[#This Row],[Dashboard Rated?]]="No","N","Y")</f>
        <v>Y</v>
      </c>
      <c r="S290" s="22"/>
    </row>
    <row r="291" spans="1:19" x14ac:dyDescent="0.25">
      <c r="A291" s="72" t="s">
        <v>1869</v>
      </c>
      <c r="B291" t="s">
        <v>45</v>
      </c>
      <c r="C291" t="s">
        <v>45</v>
      </c>
      <c r="D291" t="s">
        <v>45</v>
      </c>
      <c r="E291" s="102">
        <v>8.3333333333333329E-2</v>
      </c>
      <c r="F291" s="101">
        <v>1056.87758538098</v>
      </c>
      <c r="G291" s="102">
        <v>6.4544469473424839E-3</v>
      </c>
      <c r="H291" s="101">
        <v>271.51746244291189</v>
      </c>
      <c r="I291" s="101">
        <v>83.774203691440874</v>
      </c>
      <c r="J291" s="101"/>
      <c r="K291" t="str">
        <f>VLOOKUP(Historic_BCast_BASE[[#This Row],[Broadcast Market]],Continent_Look_Up[],2,FALSE)</f>
        <v>Digital</v>
      </c>
      <c r="L291" s="132" t="str">
        <f>IF(OR(Historic_BCast_BASE[[#This Row],[Broadcast Continent]]="Digital",Historic_BCast_BASE[[#This Row],[Programme Type]]="Digital"),"Y","N")</f>
        <v>Y</v>
      </c>
      <c r="M291" s="132" t="str">
        <f>IF(ISNUMBER(SEARCH("Pan ",Historic_BCast_BASE[[#This Row],[Broadcast Market]]))=TRUE,"Y","N")</f>
        <v>N</v>
      </c>
      <c r="N291" s="132" t="str">
        <f>VLOOKUP(CONCATENATE(Historic_BCast_BASE[[#This Row],[Broadcast Market]],Historic_BCast_BASE[[#This Row],[Broadcaster]]),Table1[[CC]:[Pay TV vs. Free-to-Air]],3,FALSE)</f>
        <v>Digital</v>
      </c>
      <c r="O291" s="133" t="str">
        <f>VLOOKUP(CONCATENATE(Historic_BCast_BASE[[#This Row],[Broadcast Market]],Historic_BCast_BASE[[#This Row],[Broadcaster]]),Table1[[CC]:[Pay TV vs. Free-to-Air]],2,FALSE)</f>
        <v>-</v>
      </c>
      <c r="P291" s="235">
        <f>Historic_BCast_BASE[[#This Row],[Rolex EXP]]*86400</f>
        <v>557.66421625039061</v>
      </c>
      <c r="Q291" s="19" t="str">
        <f>IF(Historic_BCast_BASE[[#This Row],[Dashboard Rated?]]="No","N","Y")</f>
        <v>Y</v>
      </c>
      <c r="S291" s="22"/>
    </row>
    <row r="292" spans="1:19" x14ac:dyDescent="0.25">
      <c r="A292" s="72" t="s">
        <v>1869</v>
      </c>
      <c r="B292" t="s">
        <v>45</v>
      </c>
      <c r="C292" t="s">
        <v>45</v>
      </c>
      <c r="D292" t="s">
        <v>45</v>
      </c>
      <c r="E292" s="102">
        <v>0.76388888888888884</v>
      </c>
      <c r="F292" s="101">
        <v>35218.596430517646</v>
      </c>
      <c r="G292" s="102">
        <v>7.2982784556066341E-2</v>
      </c>
      <c r="H292" s="101">
        <v>25576.81871600918</v>
      </c>
      <c r="I292" s="101">
        <v>7347.7404112604745</v>
      </c>
      <c r="J292" s="101"/>
      <c r="K292" t="str">
        <f>VLOOKUP(Historic_BCast_BASE[[#This Row],[Broadcast Market]],Continent_Look_Up[],2,FALSE)</f>
        <v>Digital</v>
      </c>
      <c r="L292" s="132" t="str">
        <f>IF(OR(Historic_BCast_BASE[[#This Row],[Broadcast Continent]]="Digital",Historic_BCast_BASE[[#This Row],[Programme Type]]="Digital"),"Y","N")</f>
        <v>Y</v>
      </c>
      <c r="M292" s="132" t="str">
        <f>IF(ISNUMBER(SEARCH("Pan ",Historic_BCast_BASE[[#This Row],[Broadcast Market]]))=TRUE,"Y","N")</f>
        <v>N</v>
      </c>
      <c r="N292" s="132" t="str">
        <f>VLOOKUP(CONCATENATE(Historic_BCast_BASE[[#This Row],[Broadcast Market]],Historic_BCast_BASE[[#This Row],[Broadcaster]]),Table1[[CC]:[Pay TV vs. Free-to-Air]],3,FALSE)</f>
        <v>Digital</v>
      </c>
      <c r="O292" s="133" t="str">
        <f>VLOOKUP(CONCATENATE(Historic_BCast_BASE[[#This Row],[Broadcast Market]],Historic_BCast_BASE[[#This Row],[Broadcaster]]),Table1[[CC]:[Pay TV vs. Free-to-Air]],2,FALSE)</f>
        <v>-</v>
      </c>
      <c r="P292" s="235">
        <f>Historic_BCast_BASE[[#This Row],[Rolex EXP]]*86400</f>
        <v>6305.7125856441317</v>
      </c>
      <c r="Q292" s="19" t="str">
        <f>IF(Historic_BCast_BASE[[#This Row],[Dashboard Rated?]]="No","N","Y")</f>
        <v>Y</v>
      </c>
      <c r="S292" s="22"/>
    </row>
    <row r="293" spans="1:19" x14ac:dyDescent="0.25">
      <c r="A293" s="72" t="s">
        <v>1869</v>
      </c>
      <c r="B293" t="s">
        <v>45</v>
      </c>
      <c r="C293" t="s">
        <v>45</v>
      </c>
      <c r="D293" t="s">
        <v>45</v>
      </c>
      <c r="E293" s="102">
        <v>0.21180555555555555</v>
      </c>
      <c r="F293" s="101">
        <v>2113.75517076196</v>
      </c>
      <c r="G293" s="102">
        <v>1.5463746859917133E-2</v>
      </c>
      <c r="H293" s="101">
        <v>650.50922898870294</v>
      </c>
      <c r="I293" s="101">
        <v>188.27732811318307</v>
      </c>
      <c r="J293" s="101"/>
      <c r="K293" t="str">
        <f>VLOOKUP(Historic_BCast_BASE[[#This Row],[Broadcast Market]],Continent_Look_Up[],2,FALSE)</f>
        <v>Digital</v>
      </c>
      <c r="L293" s="132" t="str">
        <f>IF(OR(Historic_BCast_BASE[[#This Row],[Broadcast Continent]]="Digital",Historic_BCast_BASE[[#This Row],[Programme Type]]="Digital"),"Y","N")</f>
        <v>Y</v>
      </c>
      <c r="M293" s="132" t="str">
        <f>IF(ISNUMBER(SEARCH("Pan ",Historic_BCast_BASE[[#This Row],[Broadcast Market]]))=TRUE,"Y","N")</f>
        <v>N</v>
      </c>
      <c r="N293" s="132" t="str">
        <f>VLOOKUP(CONCATENATE(Historic_BCast_BASE[[#This Row],[Broadcast Market]],Historic_BCast_BASE[[#This Row],[Broadcaster]]),Table1[[CC]:[Pay TV vs. Free-to-Air]],3,FALSE)</f>
        <v>Digital</v>
      </c>
      <c r="O293" s="133" t="str">
        <f>VLOOKUP(CONCATENATE(Historic_BCast_BASE[[#This Row],[Broadcast Market]],Historic_BCast_BASE[[#This Row],[Broadcaster]]),Table1[[CC]:[Pay TV vs. Free-to-Air]],2,FALSE)</f>
        <v>-</v>
      </c>
      <c r="P293" s="235">
        <f>Historic_BCast_BASE[[#This Row],[Rolex EXP]]*86400</f>
        <v>1336.0677286968403</v>
      </c>
      <c r="Q293" s="19" t="str">
        <f>IF(Historic_BCast_BASE[[#This Row],[Dashboard Rated?]]="No","N","Y")</f>
        <v>Y</v>
      </c>
      <c r="S293" s="22"/>
    </row>
    <row r="294" spans="1:19" x14ac:dyDescent="0.25">
      <c r="A294" s="72" t="s">
        <v>1869</v>
      </c>
      <c r="B294" t="s">
        <v>45</v>
      </c>
      <c r="C294" t="s">
        <v>45</v>
      </c>
      <c r="D294" t="s">
        <v>45</v>
      </c>
      <c r="E294" s="102">
        <v>1.7256944444444444</v>
      </c>
      <c r="F294" s="101">
        <v>124242.58661518103</v>
      </c>
      <c r="G294" s="102">
        <v>0.15974786685540374</v>
      </c>
      <c r="H294" s="101">
        <v>74326.672474965351</v>
      </c>
      <c r="I294" s="101">
        <v>21238.614784046742</v>
      </c>
      <c r="J294" s="101"/>
      <c r="K294" t="str">
        <f>VLOOKUP(Historic_BCast_BASE[[#This Row],[Broadcast Market]],Continent_Look_Up[],2,FALSE)</f>
        <v>Digital</v>
      </c>
      <c r="L294" s="132" t="str">
        <f>IF(OR(Historic_BCast_BASE[[#This Row],[Broadcast Continent]]="Digital",Historic_BCast_BASE[[#This Row],[Programme Type]]="Digital"),"Y","N")</f>
        <v>Y</v>
      </c>
      <c r="M294" s="132" t="str">
        <f>IF(ISNUMBER(SEARCH("Pan ",Historic_BCast_BASE[[#This Row],[Broadcast Market]]))=TRUE,"Y","N")</f>
        <v>N</v>
      </c>
      <c r="N294" s="132" t="str">
        <f>VLOOKUP(CONCATENATE(Historic_BCast_BASE[[#This Row],[Broadcast Market]],Historic_BCast_BASE[[#This Row],[Broadcaster]]),Table1[[CC]:[Pay TV vs. Free-to-Air]],3,FALSE)</f>
        <v>Digital</v>
      </c>
      <c r="O294" s="133" t="str">
        <f>VLOOKUP(CONCATENATE(Historic_BCast_BASE[[#This Row],[Broadcast Market]],Historic_BCast_BASE[[#This Row],[Broadcaster]]),Table1[[CC]:[Pay TV vs. Free-to-Air]],2,FALSE)</f>
        <v>-</v>
      </c>
      <c r="P294" s="235">
        <f>Historic_BCast_BASE[[#This Row],[Rolex EXP]]*86400</f>
        <v>13802.215696306883</v>
      </c>
      <c r="Q294" s="19" t="str">
        <f>IF(Historic_BCast_BASE[[#This Row],[Dashboard Rated?]]="No","N","Y")</f>
        <v>Y</v>
      </c>
      <c r="S294" s="22"/>
    </row>
    <row r="295" spans="1:19" x14ac:dyDescent="0.25">
      <c r="A295" s="72" t="s">
        <v>1869</v>
      </c>
      <c r="B295" t="s">
        <v>45</v>
      </c>
      <c r="C295" t="s">
        <v>45</v>
      </c>
      <c r="D295" t="s">
        <v>45</v>
      </c>
      <c r="E295" s="102">
        <v>2.0833333333333332E-2</v>
      </c>
      <c r="F295" s="101">
        <v>857.91777726110195</v>
      </c>
      <c r="G295" s="102">
        <v>1.7138215248058335E-3</v>
      </c>
      <c r="H295" s="101">
        <v>58.522827887187589</v>
      </c>
      <c r="I295" s="101">
        <v>17.876565678831067</v>
      </c>
      <c r="J295" s="101"/>
      <c r="K295" t="str">
        <f>VLOOKUP(Historic_BCast_BASE[[#This Row],[Broadcast Market]],Continent_Look_Up[],2,FALSE)</f>
        <v>Digital</v>
      </c>
      <c r="L295" s="132" t="str">
        <f>IF(OR(Historic_BCast_BASE[[#This Row],[Broadcast Continent]]="Digital",Historic_BCast_BASE[[#This Row],[Programme Type]]="Digital"),"Y","N")</f>
        <v>Y</v>
      </c>
      <c r="M295" s="132" t="str">
        <f>IF(ISNUMBER(SEARCH("Pan ",Historic_BCast_BASE[[#This Row],[Broadcast Market]]))=TRUE,"Y","N")</f>
        <v>N</v>
      </c>
      <c r="N295" s="132" t="str">
        <f>VLOOKUP(CONCATENATE(Historic_BCast_BASE[[#This Row],[Broadcast Market]],Historic_BCast_BASE[[#This Row],[Broadcaster]]),Table1[[CC]:[Pay TV vs. Free-to-Air]],3,FALSE)</f>
        <v>Digital</v>
      </c>
      <c r="O295" s="133" t="str">
        <f>VLOOKUP(CONCATENATE(Historic_BCast_BASE[[#This Row],[Broadcast Market]],Historic_BCast_BASE[[#This Row],[Broadcaster]]),Table1[[CC]:[Pay TV vs. Free-to-Air]],2,FALSE)</f>
        <v>-</v>
      </c>
      <c r="P295" s="235">
        <f>Historic_BCast_BASE[[#This Row],[Rolex EXP]]*86400</f>
        <v>148.07417974322402</v>
      </c>
      <c r="Q295" s="19" t="str">
        <f>IF(Historic_BCast_BASE[[#This Row],[Dashboard Rated?]]="No","N","Y")</f>
        <v>Y</v>
      </c>
      <c r="S295" s="22"/>
    </row>
    <row r="296" spans="1:19" x14ac:dyDescent="0.25">
      <c r="A296" s="72" t="s">
        <v>1869</v>
      </c>
      <c r="B296" t="s">
        <v>45</v>
      </c>
      <c r="C296" t="s">
        <v>45</v>
      </c>
      <c r="D296" t="s">
        <v>45</v>
      </c>
      <c r="E296" s="102">
        <v>4.989583333333333</v>
      </c>
      <c r="F296" s="101">
        <v>281963.48541331291</v>
      </c>
      <c r="G296" s="102">
        <v>0.47174619335866547</v>
      </c>
      <c r="H296" s="101">
        <v>221887.73587789916</v>
      </c>
      <c r="I296" s="101">
        <v>64703.248707458319</v>
      </c>
      <c r="J296" s="101"/>
      <c r="K296" t="str">
        <f>VLOOKUP(Historic_BCast_BASE[[#This Row],[Broadcast Market]],Continent_Look_Up[],2,FALSE)</f>
        <v>Digital</v>
      </c>
      <c r="L296" s="132" t="str">
        <f>IF(OR(Historic_BCast_BASE[[#This Row],[Broadcast Continent]]="Digital",Historic_BCast_BASE[[#This Row],[Programme Type]]="Digital"),"Y","N")</f>
        <v>Y</v>
      </c>
      <c r="M296" s="132" t="str">
        <f>IF(ISNUMBER(SEARCH("Pan ",Historic_BCast_BASE[[#This Row],[Broadcast Market]]))=TRUE,"Y","N")</f>
        <v>N</v>
      </c>
      <c r="N296" s="132" t="str">
        <f>VLOOKUP(CONCATENATE(Historic_BCast_BASE[[#This Row],[Broadcast Market]],Historic_BCast_BASE[[#This Row],[Broadcaster]]),Table1[[CC]:[Pay TV vs. Free-to-Air]],3,FALSE)</f>
        <v>Digital</v>
      </c>
      <c r="O296" s="133" t="str">
        <f>VLOOKUP(CONCATENATE(Historic_BCast_BASE[[#This Row],[Broadcast Market]],Historic_BCast_BASE[[#This Row],[Broadcaster]]),Table1[[CC]:[Pay TV vs. Free-to-Air]],2,FALSE)</f>
        <v>-</v>
      </c>
      <c r="P296" s="235">
        <f>Historic_BCast_BASE[[#This Row],[Rolex EXP]]*86400</f>
        <v>40758.871106188693</v>
      </c>
      <c r="Q296" s="19" t="str">
        <f>IF(Historic_BCast_BASE[[#This Row],[Dashboard Rated?]]="No","N","Y")</f>
        <v>Y</v>
      </c>
      <c r="S296" s="22"/>
    </row>
    <row r="297" spans="1:19" x14ac:dyDescent="0.25">
      <c r="A297" s="72" t="s">
        <v>1869</v>
      </c>
      <c r="B297" t="s">
        <v>45</v>
      </c>
      <c r="C297" t="s">
        <v>45</v>
      </c>
      <c r="D297" t="s">
        <v>45</v>
      </c>
      <c r="E297" s="102">
        <v>0.21875</v>
      </c>
      <c r="F297" s="101">
        <v>3048.53209870503</v>
      </c>
      <c r="G297" s="102">
        <v>1.6942923236774019E-2</v>
      </c>
      <c r="H297" s="101">
        <v>2055.8582105884684</v>
      </c>
      <c r="I297" s="101">
        <v>634.31605077986978</v>
      </c>
      <c r="J297" s="101"/>
      <c r="K297" t="str">
        <f>VLOOKUP(Historic_BCast_BASE[[#This Row],[Broadcast Market]],Continent_Look_Up[],2,FALSE)</f>
        <v>Digital</v>
      </c>
      <c r="L297" s="132" t="str">
        <f>IF(OR(Historic_BCast_BASE[[#This Row],[Broadcast Continent]]="Digital",Historic_BCast_BASE[[#This Row],[Programme Type]]="Digital"),"Y","N")</f>
        <v>Y</v>
      </c>
      <c r="M297" s="132" t="str">
        <f>IF(ISNUMBER(SEARCH("Pan ",Historic_BCast_BASE[[#This Row],[Broadcast Market]]))=TRUE,"Y","N")</f>
        <v>N</v>
      </c>
      <c r="N297" s="132" t="str">
        <f>VLOOKUP(CONCATENATE(Historic_BCast_BASE[[#This Row],[Broadcast Market]],Historic_BCast_BASE[[#This Row],[Broadcaster]]),Table1[[CC]:[Pay TV vs. Free-to-Air]],3,FALSE)</f>
        <v>Digital</v>
      </c>
      <c r="O297" s="133" t="str">
        <f>VLOOKUP(CONCATENATE(Historic_BCast_BASE[[#This Row],[Broadcast Market]],Historic_BCast_BASE[[#This Row],[Broadcaster]]),Table1[[CC]:[Pay TV vs. Free-to-Air]],2,FALSE)</f>
        <v>-</v>
      </c>
      <c r="P297" s="235">
        <f>Historic_BCast_BASE[[#This Row],[Rolex EXP]]*86400</f>
        <v>1463.8685676572752</v>
      </c>
      <c r="Q297" s="19" t="str">
        <f>IF(Historic_BCast_BASE[[#This Row],[Dashboard Rated?]]="No","N","Y")</f>
        <v>Y</v>
      </c>
      <c r="S297" s="22"/>
    </row>
    <row r="298" spans="1:19" x14ac:dyDescent="0.25">
      <c r="A298" s="72" t="s">
        <v>1869</v>
      </c>
      <c r="B298" t="s">
        <v>45</v>
      </c>
      <c r="C298" t="s">
        <v>45</v>
      </c>
      <c r="D298" t="s">
        <v>45</v>
      </c>
      <c r="E298" s="102">
        <v>0.49234953703703704</v>
      </c>
      <c r="F298" s="101">
        <v>9645.282829023181</v>
      </c>
      <c r="G298" s="102">
        <v>3.9892710027580804E-2</v>
      </c>
      <c r="H298" s="101">
        <v>4169.3941215698178</v>
      </c>
      <c r="I298" s="101">
        <v>1218.3553220628705</v>
      </c>
      <c r="J298" s="101"/>
      <c r="K298" t="str">
        <f>VLOOKUP(Historic_BCast_BASE[[#This Row],[Broadcast Market]],Continent_Look_Up[],2,FALSE)</f>
        <v>Digital</v>
      </c>
      <c r="L298" s="132" t="str">
        <f>IF(OR(Historic_BCast_BASE[[#This Row],[Broadcast Continent]]="Digital",Historic_BCast_BASE[[#This Row],[Programme Type]]="Digital"),"Y","N")</f>
        <v>Y</v>
      </c>
      <c r="M298" s="132" t="str">
        <f>IF(ISNUMBER(SEARCH("Pan ",Historic_BCast_BASE[[#This Row],[Broadcast Market]]))=TRUE,"Y","N")</f>
        <v>N</v>
      </c>
      <c r="N298" s="132" t="str">
        <f>VLOOKUP(CONCATENATE(Historic_BCast_BASE[[#This Row],[Broadcast Market]],Historic_BCast_BASE[[#This Row],[Broadcaster]]),Table1[[CC]:[Pay TV vs. Free-to-Air]],3,FALSE)</f>
        <v>Digital</v>
      </c>
      <c r="O298" s="133" t="str">
        <f>VLOOKUP(CONCATENATE(Historic_BCast_BASE[[#This Row],[Broadcast Market]],Historic_BCast_BASE[[#This Row],[Broadcaster]]),Table1[[CC]:[Pay TV vs. Free-to-Air]],2,FALSE)</f>
        <v>-</v>
      </c>
      <c r="P298" s="235">
        <f>Historic_BCast_BASE[[#This Row],[Rolex EXP]]*86400</f>
        <v>3446.7301463829813</v>
      </c>
      <c r="Q298" s="19" t="str">
        <f>IF(Historic_BCast_BASE[[#This Row],[Dashboard Rated?]]="No","N","Y")</f>
        <v>Y</v>
      </c>
      <c r="S298" s="22"/>
    </row>
    <row r="299" spans="1:19" x14ac:dyDescent="0.25">
      <c r="A299" s="72" t="s">
        <v>1869</v>
      </c>
      <c r="B299" t="s">
        <v>45</v>
      </c>
      <c r="C299" t="s">
        <v>45</v>
      </c>
      <c r="D299" t="s">
        <v>45</v>
      </c>
      <c r="E299" s="102">
        <v>0.29166666666666669</v>
      </c>
      <c r="F299" s="101">
        <v>23528.880500123181</v>
      </c>
      <c r="G299" s="102">
        <v>2.7866154103225335E-2</v>
      </c>
      <c r="H299" s="101">
        <v>1864.0789669573414</v>
      </c>
      <c r="I299" s="101">
        <v>535.51493277465261</v>
      </c>
      <c r="J299" s="101"/>
      <c r="K299" t="str">
        <f>VLOOKUP(Historic_BCast_BASE[[#This Row],[Broadcast Market]],Continent_Look_Up[],2,FALSE)</f>
        <v>Digital</v>
      </c>
      <c r="L299" s="132" t="str">
        <f>IF(OR(Historic_BCast_BASE[[#This Row],[Broadcast Continent]]="Digital",Historic_BCast_BASE[[#This Row],[Programme Type]]="Digital"),"Y","N")</f>
        <v>Y</v>
      </c>
      <c r="M299" s="132" t="str">
        <f>IF(ISNUMBER(SEARCH("Pan ",Historic_BCast_BASE[[#This Row],[Broadcast Market]]))=TRUE,"Y","N")</f>
        <v>N</v>
      </c>
      <c r="N299" s="132" t="str">
        <f>VLOOKUP(CONCATENATE(Historic_BCast_BASE[[#This Row],[Broadcast Market]],Historic_BCast_BASE[[#This Row],[Broadcaster]]),Table1[[CC]:[Pay TV vs. Free-to-Air]],3,FALSE)</f>
        <v>Digital</v>
      </c>
      <c r="O299" s="133" t="str">
        <f>VLOOKUP(CONCATENATE(Historic_BCast_BASE[[#This Row],[Broadcast Market]],Historic_BCast_BASE[[#This Row],[Broadcaster]]),Table1[[CC]:[Pay TV vs. Free-to-Air]],2,FALSE)</f>
        <v>-</v>
      </c>
      <c r="P299" s="235">
        <f>Historic_BCast_BASE[[#This Row],[Rolex EXP]]*86400</f>
        <v>2407.6357145186689</v>
      </c>
      <c r="Q299" s="19" t="str">
        <f>IF(Historic_BCast_BASE[[#This Row],[Dashboard Rated?]]="No","N","Y")</f>
        <v>Y</v>
      </c>
      <c r="S299" s="22"/>
    </row>
    <row r="300" spans="1:19" x14ac:dyDescent="0.25">
      <c r="A300" s="72" t="s">
        <v>1869</v>
      </c>
      <c r="B300" t="s">
        <v>45</v>
      </c>
      <c r="C300" t="s">
        <v>45</v>
      </c>
      <c r="D300" t="s">
        <v>45</v>
      </c>
      <c r="E300" s="102">
        <v>4.645833333333333</v>
      </c>
      <c r="F300" s="101">
        <v>64805.036787847726</v>
      </c>
      <c r="G300" s="102">
        <v>0.44386802607280357</v>
      </c>
      <c r="H300" s="101">
        <v>45796.960793529412</v>
      </c>
      <c r="I300" s="101">
        <v>13156.608070451746</v>
      </c>
      <c r="J300" s="101"/>
      <c r="K300" t="str">
        <f>VLOOKUP(Historic_BCast_BASE[[#This Row],[Broadcast Market]],Continent_Look_Up[],2,FALSE)</f>
        <v>Digital</v>
      </c>
      <c r="L300" s="132" t="str">
        <f>IF(OR(Historic_BCast_BASE[[#This Row],[Broadcast Continent]]="Digital",Historic_BCast_BASE[[#This Row],[Programme Type]]="Digital"),"Y","N")</f>
        <v>Y</v>
      </c>
      <c r="M300" s="132" t="str">
        <f>IF(ISNUMBER(SEARCH("Pan ",Historic_BCast_BASE[[#This Row],[Broadcast Market]]))=TRUE,"Y","N")</f>
        <v>N</v>
      </c>
      <c r="N300" s="132" t="str">
        <f>VLOOKUP(CONCATENATE(Historic_BCast_BASE[[#This Row],[Broadcast Market]],Historic_BCast_BASE[[#This Row],[Broadcaster]]),Table1[[CC]:[Pay TV vs. Free-to-Air]],3,FALSE)</f>
        <v>Digital</v>
      </c>
      <c r="O300" s="133" t="str">
        <f>VLOOKUP(CONCATENATE(Historic_BCast_BASE[[#This Row],[Broadcast Market]],Historic_BCast_BASE[[#This Row],[Broadcaster]]),Table1[[CC]:[Pay TV vs. Free-to-Air]],2,FALSE)</f>
        <v>-</v>
      </c>
      <c r="P300" s="235">
        <f>Historic_BCast_BASE[[#This Row],[Rolex EXP]]*86400</f>
        <v>38350.197452690227</v>
      </c>
      <c r="Q300" s="19" t="str">
        <f>IF(Historic_BCast_BASE[[#This Row],[Dashboard Rated?]]="No","N","Y")</f>
        <v>Y</v>
      </c>
      <c r="S300" s="22"/>
    </row>
    <row r="301" spans="1:19" x14ac:dyDescent="0.25">
      <c r="A301" s="72" t="s">
        <v>1869</v>
      </c>
      <c r="B301" t="s">
        <v>45</v>
      </c>
      <c r="C301" t="s">
        <v>45</v>
      </c>
      <c r="D301" t="s">
        <v>45</v>
      </c>
      <c r="E301" s="102">
        <v>4.145833333333333</v>
      </c>
      <c r="F301" s="101">
        <v>60526.753872072819</v>
      </c>
      <c r="G301" s="102">
        <v>0.40081453235872688</v>
      </c>
      <c r="H301" s="101">
        <v>25165.855793874816</v>
      </c>
      <c r="I301" s="101">
        <v>7168.7409247289525</v>
      </c>
      <c r="J301" s="101"/>
      <c r="K301" t="str">
        <f>VLOOKUP(Historic_BCast_BASE[[#This Row],[Broadcast Market]],Continent_Look_Up[],2,FALSE)</f>
        <v>Digital</v>
      </c>
      <c r="L301" s="132" t="str">
        <f>IF(OR(Historic_BCast_BASE[[#This Row],[Broadcast Continent]]="Digital",Historic_BCast_BASE[[#This Row],[Programme Type]]="Digital"),"Y","N")</f>
        <v>Y</v>
      </c>
      <c r="M301" s="132" t="str">
        <f>IF(ISNUMBER(SEARCH("Pan ",Historic_BCast_BASE[[#This Row],[Broadcast Market]]))=TRUE,"Y","N")</f>
        <v>N</v>
      </c>
      <c r="N301" s="132" t="str">
        <f>VLOOKUP(CONCATENATE(Historic_BCast_BASE[[#This Row],[Broadcast Market]],Historic_BCast_BASE[[#This Row],[Broadcaster]]),Table1[[CC]:[Pay TV vs. Free-to-Air]],3,FALSE)</f>
        <v>Digital</v>
      </c>
      <c r="O301" s="133" t="str">
        <f>VLOOKUP(CONCATENATE(Historic_BCast_BASE[[#This Row],[Broadcast Market]],Historic_BCast_BASE[[#This Row],[Broadcaster]]),Table1[[CC]:[Pay TV vs. Free-to-Air]],2,FALSE)</f>
        <v>-</v>
      </c>
      <c r="P301" s="235">
        <f>Historic_BCast_BASE[[#This Row],[Rolex EXP]]*86400</f>
        <v>34630.375595794001</v>
      </c>
      <c r="Q301" s="19" t="str">
        <f>IF(Historic_BCast_BASE[[#This Row],[Dashboard Rated?]]="No","N","Y")</f>
        <v>Y</v>
      </c>
      <c r="S301" s="22"/>
    </row>
    <row r="302" spans="1:19" x14ac:dyDescent="0.25">
      <c r="A302" s="72" t="s">
        <v>1869</v>
      </c>
      <c r="B302" t="s">
        <v>45</v>
      </c>
      <c r="C302" t="s">
        <v>45</v>
      </c>
      <c r="D302" t="s">
        <v>45</v>
      </c>
      <c r="E302" s="102">
        <v>1.7669560185185185</v>
      </c>
      <c r="F302" s="101">
        <v>59972.247784878426</v>
      </c>
      <c r="G302" s="102">
        <v>0.15325624304110758</v>
      </c>
      <c r="H302" s="101">
        <v>43672.993597704932</v>
      </c>
      <c r="I302" s="101">
        <v>13483.14256258292</v>
      </c>
      <c r="J302" s="101"/>
      <c r="K302" t="str">
        <f>VLOOKUP(Historic_BCast_BASE[[#This Row],[Broadcast Market]],Continent_Look_Up[],2,FALSE)</f>
        <v>Digital</v>
      </c>
      <c r="L302" s="132" t="str">
        <f>IF(OR(Historic_BCast_BASE[[#This Row],[Broadcast Continent]]="Digital",Historic_BCast_BASE[[#This Row],[Programme Type]]="Digital"),"Y","N")</f>
        <v>Y</v>
      </c>
      <c r="M302" s="132" t="str">
        <f>IF(ISNUMBER(SEARCH("Pan ",Historic_BCast_BASE[[#This Row],[Broadcast Market]]))=TRUE,"Y","N")</f>
        <v>N</v>
      </c>
      <c r="N302" s="132" t="str">
        <f>VLOOKUP(CONCATENATE(Historic_BCast_BASE[[#This Row],[Broadcast Market]],Historic_BCast_BASE[[#This Row],[Broadcaster]]),Table1[[CC]:[Pay TV vs. Free-to-Air]],3,FALSE)</f>
        <v>Digital</v>
      </c>
      <c r="O302" s="133" t="str">
        <f>VLOOKUP(CONCATENATE(Historic_BCast_BASE[[#This Row],[Broadcast Market]],Historic_BCast_BASE[[#This Row],[Broadcaster]]),Table1[[CC]:[Pay TV vs. Free-to-Air]],2,FALSE)</f>
        <v>-</v>
      </c>
      <c r="P302" s="235">
        <f>Historic_BCast_BASE[[#This Row],[Rolex EXP]]*86400</f>
        <v>13241.339398751694</v>
      </c>
      <c r="Q302" s="19" t="str">
        <f>IF(Historic_BCast_BASE[[#This Row],[Dashboard Rated?]]="No","N","Y")</f>
        <v>Y</v>
      </c>
      <c r="S302" s="22"/>
    </row>
    <row r="303" spans="1:19" x14ac:dyDescent="0.25">
      <c r="A303" s="72" t="s">
        <v>1869</v>
      </c>
      <c r="B303" t="s">
        <v>45</v>
      </c>
      <c r="C303" t="s">
        <v>45</v>
      </c>
      <c r="D303" t="s">
        <v>45</v>
      </c>
      <c r="E303" s="102">
        <v>1.1006250000000002</v>
      </c>
      <c r="F303" s="101">
        <v>37087.780009660688</v>
      </c>
      <c r="G303" s="102">
        <v>0.10044041707231742</v>
      </c>
      <c r="H303" s="101">
        <v>3541.767400969376</v>
      </c>
      <c r="I303" s="101">
        <v>1081.9794798371993</v>
      </c>
      <c r="J303" s="101"/>
      <c r="K303" t="str">
        <f>VLOOKUP(Historic_BCast_BASE[[#This Row],[Broadcast Market]],Continent_Look_Up[],2,FALSE)</f>
        <v>Digital</v>
      </c>
      <c r="L303" s="132" t="str">
        <f>IF(OR(Historic_BCast_BASE[[#This Row],[Broadcast Continent]]="Digital",Historic_BCast_BASE[[#This Row],[Programme Type]]="Digital"),"Y","N")</f>
        <v>Y</v>
      </c>
      <c r="M303" s="132" t="str">
        <f>IF(ISNUMBER(SEARCH("Pan ",Historic_BCast_BASE[[#This Row],[Broadcast Market]]))=TRUE,"Y","N")</f>
        <v>N</v>
      </c>
      <c r="N303" s="132" t="str">
        <f>VLOOKUP(CONCATENATE(Historic_BCast_BASE[[#This Row],[Broadcast Market]],Historic_BCast_BASE[[#This Row],[Broadcaster]]),Table1[[CC]:[Pay TV vs. Free-to-Air]],3,FALSE)</f>
        <v>Digital</v>
      </c>
      <c r="O303" s="133" t="str">
        <f>VLOOKUP(CONCATENATE(Historic_BCast_BASE[[#This Row],[Broadcast Market]],Historic_BCast_BASE[[#This Row],[Broadcaster]]),Table1[[CC]:[Pay TV vs. Free-to-Air]],2,FALSE)</f>
        <v>-</v>
      </c>
      <c r="P303" s="235">
        <f>Historic_BCast_BASE[[#This Row],[Rolex EXP]]*86400</f>
        <v>8678.0520350482257</v>
      </c>
      <c r="Q303" s="19" t="str">
        <f>IF(Historic_BCast_BASE[[#This Row],[Dashboard Rated?]]="No","N","Y")</f>
        <v>Y</v>
      </c>
      <c r="S303" s="22"/>
    </row>
    <row r="304" spans="1:19" x14ac:dyDescent="0.25">
      <c r="A304" s="72" t="s">
        <v>1869</v>
      </c>
      <c r="B304" t="s">
        <v>45</v>
      </c>
      <c r="C304" t="s">
        <v>45</v>
      </c>
      <c r="D304" t="s">
        <v>45</v>
      </c>
      <c r="E304" s="102">
        <v>5.1370717592592596</v>
      </c>
      <c r="F304" s="101">
        <v>192005.8842249985</v>
      </c>
      <c r="G304" s="102">
        <v>0.48978502454592437</v>
      </c>
      <c r="H304" s="101">
        <v>59315.093857627915</v>
      </c>
      <c r="I304" s="101">
        <v>18008.187830274994</v>
      </c>
      <c r="J304" s="101"/>
      <c r="K304" t="str">
        <f>VLOOKUP(Historic_BCast_BASE[[#This Row],[Broadcast Market]],Continent_Look_Up[],2,FALSE)</f>
        <v>Digital</v>
      </c>
      <c r="L304" s="132" t="str">
        <f>IF(OR(Historic_BCast_BASE[[#This Row],[Broadcast Continent]]="Digital",Historic_BCast_BASE[[#This Row],[Programme Type]]="Digital"),"Y","N")</f>
        <v>Y</v>
      </c>
      <c r="M304" s="132" t="str">
        <f>IF(ISNUMBER(SEARCH("Pan ",Historic_BCast_BASE[[#This Row],[Broadcast Market]]))=TRUE,"Y","N")</f>
        <v>N</v>
      </c>
      <c r="N304" s="132" t="str">
        <f>VLOOKUP(CONCATENATE(Historic_BCast_BASE[[#This Row],[Broadcast Market]],Historic_BCast_BASE[[#This Row],[Broadcaster]]),Table1[[CC]:[Pay TV vs. Free-to-Air]],3,FALSE)</f>
        <v>Digital</v>
      </c>
      <c r="O304" s="133" t="str">
        <f>VLOOKUP(CONCATENATE(Historic_BCast_BASE[[#This Row],[Broadcast Market]],Historic_BCast_BASE[[#This Row],[Broadcaster]]),Table1[[CC]:[Pay TV vs. Free-to-Air]],2,FALSE)</f>
        <v>-</v>
      </c>
      <c r="P304" s="235">
        <f>Historic_BCast_BASE[[#This Row],[Rolex EXP]]*86400</f>
        <v>42317.426120767865</v>
      </c>
      <c r="Q304" s="19" t="str">
        <f>IF(Historic_BCast_BASE[[#This Row],[Dashboard Rated?]]="No","N","Y")</f>
        <v>Y</v>
      </c>
      <c r="S304" s="22"/>
    </row>
    <row r="305" spans="1:19" x14ac:dyDescent="0.25">
      <c r="A305" s="72" t="s">
        <v>1869</v>
      </c>
      <c r="B305" t="s">
        <v>45</v>
      </c>
      <c r="C305" t="s">
        <v>45</v>
      </c>
      <c r="D305" t="s">
        <v>45</v>
      </c>
      <c r="E305" s="102">
        <v>1.0962152777777778</v>
      </c>
      <c r="F305" s="101">
        <v>17345.469449845277</v>
      </c>
      <c r="G305" s="102">
        <v>7.866403918415453E-2</v>
      </c>
      <c r="H305" s="101">
        <v>3536.6574402119682</v>
      </c>
      <c r="I305" s="101">
        <v>1075.5893500435329</v>
      </c>
      <c r="J305" s="101"/>
      <c r="K305" t="str">
        <f>VLOOKUP(Historic_BCast_BASE[[#This Row],[Broadcast Market]],Continent_Look_Up[],2,FALSE)</f>
        <v>Digital</v>
      </c>
      <c r="L305" s="132" t="str">
        <f>IF(OR(Historic_BCast_BASE[[#This Row],[Broadcast Continent]]="Digital",Historic_BCast_BASE[[#This Row],[Programme Type]]="Digital"),"Y","N")</f>
        <v>Y</v>
      </c>
      <c r="M305" s="132" t="str">
        <f>IF(ISNUMBER(SEARCH("Pan ",Historic_BCast_BASE[[#This Row],[Broadcast Market]]))=TRUE,"Y","N")</f>
        <v>N</v>
      </c>
      <c r="N305" s="132" t="str">
        <f>VLOOKUP(CONCATENATE(Historic_BCast_BASE[[#This Row],[Broadcast Market]],Historic_BCast_BASE[[#This Row],[Broadcaster]]),Table1[[CC]:[Pay TV vs. Free-to-Air]],3,FALSE)</f>
        <v>Digital</v>
      </c>
      <c r="O305" s="133" t="str">
        <f>VLOOKUP(CONCATENATE(Historic_BCast_BASE[[#This Row],[Broadcast Market]],Historic_BCast_BASE[[#This Row],[Broadcaster]]),Table1[[CC]:[Pay TV vs. Free-to-Air]],2,FALSE)</f>
        <v>-</v>
      </c>
      <c r="P305" s="235">
        <f>Historic_BCast_BASE[[#This Row],[Rolex EXP]]*86400</f>
        <v>6796.5729855109512</v>
      </c>
      <c r="Q305" s="19" t="str">
        <f>IF(Historic_BCast_BASE[[#This Row],[Dashboard Rated?]]="No","N","Y")</f>
        <v>Y</v>
      </c>
      <c r="S305" s="22"/>
    </row>
    <row r="306" spans="1:19" x14ac:dyDescent="0.25">
      <c r="A306" s="72" t="s">
        <v>1869</v>
      </c>
      <c r="B306" t="s">
        <v>45</v>
      </c>
      <c r="C306" t="s">
        <v>45</v>
      </c>
      <c r="D306" t="s">
        <v>45</v>
      </c>
      <c r="E306" s="102">
        <v>1.1555555555555557</v>
      </c>
      <c r="F306" s="101">
        <v>2476.7069290719301</v>
      </c>
      <c r="G306" s="102">
        <v>0.11839960800836978</v>
      </c>
      <c r="H306" s="101">
        <v>283.36967399006465</v>
      </c>
      <c r="I306" s="101">
        <v>87.265179895939056</v>
      </c>
      <c r="J306" s="101"/>
      <c r="K306" t="str">
        <f>VLOOKUP(Historic_BCast_BASE[[#This Row],[Broadcast Market]],Continent_Look_Up[],2,FALSE)</f>
        <v>Digital</v>
      </c>
      <c r="L306" s="132" t="str">
        <f>IF(OR(Historic_BCast_BASE[[#This Row],[Broadcast Continent]]="Digital",Historic_BCast_BASE[[#This Row],[Programme Type]]="Digital"),"Y","N")</f>
        <v>Y</v>
      </c>
      <c r="M306" s="132" t="str">
        <f>IF(ISNUMBER(SEARCH("Pan ",Historic_BCast_BASE[[#This Row],[Broadcast Market]]))=TRUE,"Y","N")</f>
        <v>N</v>
      </c>
      <c r="N306" s="132" t="str">
        <f>VLOOKUP(CONCATENATE(Historic_BCast_BASE[[#This Row],[Broadcast Market]],Historic_BCast_BASE[[#This Row],[Broadcaster]]),Table1[[CC]:[Pay TV vs. Free-to-Air]],3,FALSE)</f>
        <v>Digital</v>
      </c>
      <c r="O306" s="133" t="str">
        <f>VLOOKUP(CONCATENATE(Historic_BCast_BASE[[#This Row],[Broadcast Market]],Historic_BCast_BASE[[#This Row],[Broadcaster]]),Table1[[CC]:[Pay TV vs. Free-to-Air]],2,FALSE)</f>
        <v>-</v>
      </c>
      <c r="P306" s="235">
        <f>Historic_BCast_BASE[[#This Row],[Rolex EXP]]*86400</f>
        <v>10229.726131923149</v>
      </c>
      <c r="Q306" s="19" t="str">
        <f>IF(Historic_BCast_BASE[[#This Row],[Dashboard Rated?]]="No","N","Y")</f>
        <v>Y</v>
      </c>
      <c r="S306" s="22"/>
    </row>
    <row r="307" spans="1:19" x14ac:dyDescent="0.25">
      <c r="A307" s="72" t="s">
        <v>1869</v>
      </c>
      <c r="B307" t="s">
        <v>45</v>
      </c>
      <c r="C307" t="s">
        <v>45</v>
      </c>
      <c r="D307" t="s">
        <v>45</v>
      </c>
      <c r="E307" s="102">
        <v>2.9608333333333334</v>
      </c>
      <c r="F307" s="101">
        <v>10163.843240910284</v>
      </c>
      <c r="G307" s="102">
        <v>0.34654565009975324</v>
      </c>
      <c r="H307" s="101">
        <v>2954.1320002901189</v>
      </c>
      <c r="I307" s="101">
        <v>855.07669994252262</v>
      </c>
      <c r="J307" s="101"/>
      <c r="K307" t="str">
        <f>VLOOKUP(Historic_BCast_BASE[[#This Row],[Broadcast Market]],Continent_Look_Up[],2,FALSE)</f>
        <v>Digital</v>
      </c>
      <c r="L307" s="132" t="str">
        <f>IF(OR(Historic_BCast_BASE[[#This Row],[Broadcast Continent]]="Digital",Historic_BCast_BASE[[#This Row],[Programme Type]]="Digital"),"Y","N")</f>
        <v>Y</v>
      </c>
      <c r="M307" s="132" t="str">
        <f>IF(ISNUMBER(SEARCH("Pan ",Historic_BCast_BASE[[#This Row],[Broadcast Market]]))=TRUE,"Y","N")</f>
        <v>N</v>
      </c>
      <c r="N307" s="132" t="str">
        <f>VLOOKUP(CONCATENATE(Historic_BCast_BASE[[#This Row],[Broadcast Market]],Historic_BCast_BASE[[#This Row],[Broadcaster]]),Table1[[CC]:[Pay TV vs. Free-to-Air]],3,FALSE)</f>
        <v>Digital</v>
      </c>
      <c r="O307" s="133" t="str">
        <f>VLOOKUP(CONCATENATE(Historic_BCast_BASE[[#This Row],[Broadcast Market]],Historic_BCast_BASE[[#This Row],[Broadcaster]]),Table1[[CC]:[Pay TV vs. Free-to-Air]],2,FALSE)</f>
        <v>-</v>
      </c>
      <c r="P307" s="235">
        <f>Historic_BCast_BASE[[#This Row],[Rolex EXP]]*86400</f>
        <v>29941.544168618679</v>
      </c>
      <c r="Q307" s="19" t="str">
        <f>IF(Historic_BCast_BASE[[#This Row],[Dashboard Rated?]]="No","N","Y")</f>
        <v>Y</v>
      </c>
      <c r="S307" s="22"/>
    </row>
    <row r="308" spans="1:19" x14ac:dyDescent="0.25">
      <c r="A308" s="72" t="s">
        <v>1869</v>
      </c>
      <c r="B308" t="s">
        <v>45</v>
      </c>
      <c r="C308" t="s">
        <v>45</v>
      </c>
      <c r="D308" t="s">
        <v>45</v>
      </c>
      <c r="E308" s="102">
        <v>2.5350925925925925</v>
      </c>
      <c r="F308" s="101">
        <v>3033.0236292168411</v>
      </c>
      <c r="G308" s="102">
        <v>0.23658934051131941</v>
      </c>
      <c r="H308" s="101">
        <v>642.11638710258899</v>
      </c>
      <c r="I308" s="101">
        <v>189.46739030952014</v>
      </c>
      <c r="J308" s="101"/>
      <c r="K308" t="str">
        <f>VLOOKUP(Historic_BCast_BASE[[#This Row],[Broadcast Market]],Continent_Look_Up[],2,FALSE)</f>
        <v>Digital</v>
      </c>
      <c r="L308" s="132" t="str">
        <f>IF(OR(Historic_BCast_BASE[[#This Row],[Broadcast Continent]]="Digital",Historic_BCast_BASE[[#This Row],[Programme Type]]="Digital"),"Y","N")</f>
        <v>Y</v>
      </c>
      <c r="M308" s="132" t="str">
        <f>IF(ISNUMBER(SEARCH("Pan ",Historic_BCast_BASE[[#This Row],[Broadcast Market]]))=TRUE,"Y","N")</f>
        <v>N</v>
      </c>
      <c r="N308" s="132" t="str">
        <f>VLOOKUP(CONCATENATE(Historic_BCast_BASE[[#This Row],[Broadcast Market]],Historic_BCast_BASE[[#This Row],[Broadcaster]]),Table1[[CC]:[Pay TV vs. Free-to-Air]],3,FALSE)</f>
        <v>Digital</v>
      </c>
      <c r="O308" s="133" t="str">
        <f>VLOOKUP(CONCATENATE(Historic_BCast_BASE[[#This Row],[Broadcast Market]],Historic_BCast_BASE[[#This Row],[Broadcaster]]),Table1[[CC]:[Pay TV vs. Free-to-Air]],2,FALSE)</f>
        <v>-</v>
      </c>
      <c r="P308" s="235">
        <f>Historic_BCast_BASE[[#This Row],[Rolex EXP]]*86400</f>
        <v>20441.319020177998</v>
      </c>
      <c r="Q308" s="19" t="str">
        <f>IF(Historic_BCast_BASE[[#This Row],[Dashboard Rated?]]="No","N","Y")</f>
        <v>Y</v>
      </c>
      <c r="S308" s="22"/>
    </row>
    <row r="309" spans="1:19" x14ac:dyDescent="0.25">
      <c r="A309" s="72" t="s">
        <v>1869</v>
      </c>
      <c r="B309" t="s">
        <v>45</v>
      </c>
      <c r="C309" t="s">
        <v>45</v>
      </c>
      <c r="D309" t="s">
        <v>45</v>
      </c>
      <c r="E309" s="102">
        <v>2.6342592592592588E-2</v>
      </c>
      <c r="F309" s="101">
        <v>1299.80537417035</v>
      </c>
      <c r="G309" s="102">
        <v>2.1670321058100427E-3</v>
      </c>
      <c r="H309" s="101">
        <v>112.11345006782044</v>
      </c>
      <c r="I309" s="101">
        <v>34.246524407213755</v>
      </c>
      <c r="J309" s="101"/>
      <c r="K309" t="str">
        <f>VLOOKUP(Historic_BCast_BASE[[#This Row],[Broadcast Market]],Continent_Look_Up[],2,FALSE)</f>
        <v>Digital</v>
      </c>
      <c r="L309" s="132" t="str">
        <f>IF(OR(Historic_BCast_BASE[[#This Row],[Broadcast Continent]]="Digital",Historic_BCast_BASE[[#This Row],[Programme Type]]="Digital"),"Y","N")</f>
        <v>Y</v>
      </c>
      <c r="M309" s="132" t="str">
        <f>IF(ISNUMBER(SEARCH("Pan ",Historic_BCast_BASE[[#This Row],[Broadcast Market]]))=TRUE,"Y","N")</f>
        <v>N</v>
      </c>
      <c r="N309" s="132" t="str">
        <f>VLOOKUP(CONCATENATE(Historic_BCast_BASE[[#This Row],[Broadcast Market]],Historic_BCast_BASE[[#This Row],[Broadcaster]]),Table1[[CC]:[Pay TV vs. Free-to-Air]],3,FALSE)</f>
        <v>Digital</v>
      </c>
      <c r="O309" s="133" t="str">
        <f>VLOOKUP(CONCATENATE(Historic_BCast_BASE[[#This Row],[Broadcast Market]],Historic_BCast_BASE[[#This Row],[Broadcaster]]),Table1[[CC]:[Pay TV vs. Free-to-Air]],2,FALSE)</f>
        <v>-</v>
      </c>
      <c r="P309" s="235">
        <f>Historic_BCast_BASE[[#This Row],[Rolex EXP]]*86400</f>
        <v>187.2315739419877</v>
      </c>
      <c r="Q309" s="19" t="str">
        <f>IF(Historic_BCast_BASE[[#This Row],[Dashboard Rated?]]="No","N","Y")</f>
        <v>Y</v>
      </c>
      <c r="S309" s="22"/>
    </row>
    <row r="310" spans="1:19" x14ac:dyDescent="0.25">
      <c r="A310" s="72" t="s">
        <v>1869</v>
      </c>
      <c r="B310" t="s">
        <v>45</v>
      </c>
      <c r="C310" t="s">
        <v>45</v>
      </c>
      <c r="D310" t="s">
        <v>45</v>
      </c>
      <c r="E310" s="102">
        <v>0.51189814814814816</v>
      </c>
      <c r="F310" s="101">
        <v>279747.00108533009</v>
      </c>
      <c r="G310" s="102">
        <v>4.4309414565305759E-2</v>
      </c>
      <c r="H310" s="101">
        <v>15695.01921726002</v>
      </c>
      <c r="I310" s="101">
        <v>4582.8238098753072</v>
      </c>
      <c r="J310" s="101"/>
      <c r="K310" t="str">
        <f>VLOOKUP(Historic_BCast_BASE[[#This Row],[Broadcast Market]],Continent_Look_Up[],2,FALSE)</f>
        <v>Digital</v>
      </c>
      <c r="L310" s="132" t="str">
        <f>IF(OR(Historic_BCast_BASE[[#This Row],[Broadcast Continent]]="Digital",Historic_BCast_BASE[[#This Row],[Programme Type]]="Digital"),"Y","N")</f>
        <v>Y</v>
      </c>
      <c r="M310" s="132" t="str">
        <f>IF(ISNUMBER(SEARCH("Pan ",Historic_BCast_BASE[[#This Row],[Broadcast Market]]))=TRUE,"Y","N")</f>
        <v>N</v>
      </c>
      <c r="N310" s="132" t="str">
        <f>VLOOKUP(CONCATENATE(Historic_BCast_BASE[[#This Row],[Broadcast Market]],Historic_BCast_BASE[[#This Row],[Broadcaster]]),Table1[[CC]:[Pay TV vs. Free-to-Air]],3,FALSE)</f>
        <v>Digital</v>
      </c>
      <c r="O310" s="133" t="str">
        <f>VLOOKUP(CONCATENATE(Historic_BCast_BASE[[#This Row],[Broadcast Market]],Historic_BCast_BASE[[#This Row],[Broadcaster]]),Table1[[CC]:[Pay TV vs. Free-to-Air]],2,FALSE)</f>
        <v>-</v>
      </c>
      <c r="P310" s="235">
        <f>Historic_BCast_BASE[[#This Row],[Rolex EXP]]*86400</f>
        <v>3828.3334184424175</v>
      </c>
      <c r="Q310" s="19" t="str">
        <f>IF(Historic_BCast_BASE[[#This Row],[Dashboard Rated?]]="No","N","Y")</f>
        <v>Y</v>
      </c>
      <c r="S310" s="22"/>
    </row>
    <row r="311" spans="1:19" x14ac:dyDescent="0.25">
      <c r="A311" s="72" t="s">
        <v>1869</v>
      </c>
      <c r="B311" t="s">
        <v>45</v>
      </c>
      <c r="C311" t="s">
        <v>45</v>
      </c>
      <c r="D311" t="s">
        <v>45</v>
      </c>
      <c r="E311" s="102">
        <v>0.8852430555555556</v>
      </c>
      <c r="F311" s="101">
        <v>215157.64766768581</v>
      </c>
      <c r="G311" s="102">
        <v>6.6465147654323167E-2</v>
      </c>
      <c r="H311" s="101">
        <v>70877.57642696242</v>
      </c>
      <c r="I311" s="101">
        <v>21556.24997420099</v>
      </c>
      <c r="J311" s="101"/>
      <c r="K311" t="str">
        <f>VLOOKUP(Historic_BCast_BASE[[#This Row],[Broadcast Market]],Continent_Look_Up[],2,FALSE)</f>
        <v>Digital</v>
      </c>
      <c r="L311" s="132" t="str">
        <f>IF(OR(Historic_BCast_BASE[[#This Row],[Broadcast Continent]]="Digital",Historic_BCast_BASE[[#This Row],[Programme Type]]="Digital"),"Y","N")</f>
        <v>Y</v>
      </c>
      <c r="M311" s="132" t="str">
        <f>IF(ISNUMBER(SEARCH("Pan ",Historic_BCast_BASE[[#This Row],[Broadcast Market]]))=TRUE,"Y","N")</f>
        <v>N</v>
      </c>
      <c r="N311" s="132" t="str">
        <f>VLOOKUP(CONCATENATE(Historic_BCast_BASE[[#This Row],[Broadcast Market]],Historic_BCast_BASE[[#This Row],[Broadcaster]]),Table1[[CC]:[Pay TV vs. Free-to-Air]],3,FALSE)</f>
        <v>Digital</v>
      </c>
      <c r="O311" s="133" t="str">
        <f>VLOOKUP(CONCATENATE(Historic_BCast_BASE[[#This Row],[Broadcast Market]],Historic_BCast_BASE[[#This Row],[Broadcaster]]),Table1[[CC]:[Pay TV vs. Free-to-Air]],2,FALSE)</f>
        <v>-</v>
      </c>
      <c r="P311" s="235">
        <f>Historic_BCast_BASE[[#This Row],[Rolex EXP]]*86400</f>
        <v>5742.5887573335212</v>
      </c>
      <c r="Q311" s="19" t="str">
        <f>IF(Historic_BCast_BASE[[#This Row],[Dashboard Rated?]]="No","N","Y")</f>
        <v>Y</v>
      </c>
      <c r="S311" s="22"/>
    </row>
    <row r="312" spans="1:19" x14ac:dyDescent="0.25">
      <c r="A312" s="72" t="s">
        <v>1869</v>
      </c>
      <c r="B312" t="s">
        <v>45</v>
      </c>
      <c r="C312" t="s">
        <v>45</v>
      </c>
      <c r="D312" t="s">
        <v>45</v>
      </c>
      <c r="E312" s="102">
        <v>6.5891203703703702E-2</v>
      </c>
      <c r="F312" s="101">
        <v>8526.9412908199702</v>
      </c>
      <c r="G312" s="102">
        <v>4.2684209909211093E-3</v>
      </c>
      <c r="H312" s="101">
        <v>1448.6870007637228</v>
      </c>
      <c r="I312" s="101">
        <v>394.37466349257988</v>
      </c>
      <c r="J312" s="101"/>
      <c r="K312" t="str">
        <f>VLOOKUP(Historic_BCast_BASE[[#This Row],[Broadcast Market]],Continent_Look_Up[],2,FALSE)</f>
        <v>Digital</v>
      </c>
      <c r="L312" s="132" t="str">
        <f>IF(OR(Historic_BCast_BASE[[#This Row],[Broadcast Continent]]="Digital",Historic_BCast_BASE[[#This Row],[Programme Type]]="Digital"),"Y","N")</f>
        <v>Y</v>
      </c>
      <c r="M312" s="132" t="str">
        <f>IF(ISNUMBER(SEARCH("Pan ",Historic_BCast_BASE[[#This Row],[Broadcast Market]]))=TRUE,"Y","N")</f>
        <v>N</v>
      </c>
      <c r="N312" s="132" t="str">
        <f>VLOOKUP(CONCATENATE(Historic_BCast_BASE[[#This Row],[Broadcast Market]],Historic_BCast_BASE[[#This Row],[Broadcaster]]),Table1[[CC]:[Pay TV vs. Free-to-Air]],3,FALSE)</f>
        <v>Digital</v>
      </c>
      <c r="O312" s="133" t="str">
        <f>VLOOKUP(CONCATENATE(Historic_BCast_BASE[[#This Row],[Broadcast Market]],Historic_BCast_BASE[[#This Row],[Broadcaster]]),Table1[[CC]:[Pay TV vs. Free-to-Air]],2,FALSE)</f>
        <v>-</v>
      </c>
      <c r="P312" s="235">
        <f>Historic_BCast_BASE[[#This Row],[Rolex EXP]]*86400</f>
        <v>368.79157361558384</v>
      </c>
      <c r="Q312" s="19" t="str">
        <f>IF(Historic_BCast_BASE[[#This Row],[Dashboard Rated?]]="No","N","Y")</f>
        <v>Y</v>
      </c>
      <c r="S312" s="22"/>
    </row>
    <row r="313" spans="1:19" x14ac:dyDescent="0.25">
      <c r="A313" s="72" t="s">
        <v>1869</v>
      </c>
      <c r="B313" t="s">
        <v>45</v>
      </c>
      <c r="C313" t="s">
        <v>45</v>
      </c>
      <c r="D313" t="s">
        <v>45</v>
      </c>
      <c r="E313" s="102">
        <v>6.3726851851851854E-2</v>
      </c>
      <c r="F313" s="101">
        <v>3349.9949200852097</v>
      </c>
      <c r="G313" s="102">
        <v>4.1282146453559855E-3</v>
      </c>
      <c r="H313" s="101">
        <v>550.45327766774494</v>
      </c>
      <c r="I313" s="101">
        <v>149.84936431000014</v>
      </c>
      <c r="J313" s="101"/>
      <c r="K313" t="str">
        <f>VLOOKUP(Historic_BCast_BASE[[#This Row],[Broadcast Market]],Continent_Look_Up[],2,FALSE)</f>
        <v>Digital</v>
      </c>
      <c r="L313" s="132" t="str">
        <f>IF(OR(Historic_BCast_BASE[[#This Row],[Broadcast Continent]]="Digital",Historic_BCast_BASE[[#This Row],[Programme Type]]="Digital"),"Y","N")</f>
        <v>Y</v>
      </c>
      <c r="M313" s="132" t="str">
        <f>IF(ISNUMBER(SEARCH("Pan ",Historic_BCast_BASE[[#This Row],[Broadcast Market]]))=TRUE,"Y","N")</f>
        <v>N</v>
      </c>
      <c r="N313" s="132" t="str">
        <f>VLOOKUP(CONCATENATE(Historic_BCast_BASE[[#This Row],[Broadcast Market]],Historic_BCast_BASE[[#This Row],[Broadcaster]]),Table1[[CC]:[Pay TV vs. Free-to-Air]],3,FALSE)</f>
        <v>Digital</v>
      </c>
      <c r="O313" s="133" t="str">
        <f>VLOOKUP(CONCATENATE(Historic_BCast_BASE[[#This Row],[Broadcast Market]],Historic_BCast_BASE[[#This Row],[Broadcaster]]),Table1[[CC]:[Pay TV vs. Free-to-Air]],2,FALSE)</f>
        <v>-</v>
      </c>
      <c r="P313" s="235">
        <f>Historic_BCast_BASE[[#This Row],[Rolex EXP]]*86400</f>
        <v>356.67774535875714</v>
      </c>
      <c r="Q313" s="19" t="str">
        <f>IF(Historic_BCast_BASE[[#This Row],[Dashboard Rated?]]="No","N","Y")</f>
        <v>Y</v>
      </c>
      <c r="S313" s="22"/>
    </row>
    <row r="314" spans="1:19" x14ac:dyDescent="0.25">
      <c r="A314" s="72" t="s">
        <v>1869</v>
      </c>
      <c r="B314" t="s">
        <v>45</v>
      </c>
      <c r="C314" t="s">
        <v>45</v>
      </c>
      <c r="D314" t="s">
        <v>45</v>
      </c>
      <c r="E314" s="102">
        <v>0.29166666666666669</v>
      </c>
      <c r="F314" s="101">
        <v>14338.777845573788</v>
      </c>
      <c r="G314" s="102">
        <v>2.7866154103225335E-2</v>
      </c>
      <c r="H314" s="101">
        <v>2271.9835050093461</v>
      </c>
      <c r="I314" s="101">
        <v>652.69825770103398</v>
      </c>
      <c r="J314" s="101"/>
      <c r="K314" t="str">
        <f>VLOOKUP(Historic_BCast_BASE[[#This Row],[Broadcast Market]],Continent_Look_Up[],2,FALSE)</f>
        <v>Digital</v>
      </c>
      <c r="L314" s="132" t="str">
        <f>IF(OR(Historic_BCast_BASE[[#This Row],[Broadcast Continent]]="Digital",Historic_BCast_BASE[[#This Row],[Programme Type]]="Digital"),"Y","N")</f>
        <v>Y</v>
      </c>
      <c r="M314" s="132" t="str">
        <f>IF(ISNUMBER(SEARCH("Pan ",Historic_BCast_BASE[[#This Row],[Broadcast Market]]))=TRUE,"Y","N")</f>
        <v>N</v>
      </c>
      <c r="N314" s="132" t="str">
        <f>VLOOKUP(CONCATENATE(Historic_BCast_BASE[[#This Row],[Broadcast Market]],Historic_BCast_BASE[[#This Row],[Broadcaster]]),Table1[[CC]:[Pay TV vs. Free-to-Air]],3,FALSE)</f>
        <v>Digital</v>
      </c>
      <c r="O314" s="133" t="str">
        <f>VLOOKUP(CONCATENATE(Historic_BCast_BASE[[#This Row],[Broadcast Market]],Historic_BCast_BASE[[#This Row],[Broadcaster]]),Table1[[CC]:[Pay TV vs. Free-to-Air]],2,FALSE)</f>
        <v>-</v>
      </c>
      <c r="P314" s="235">
        <f>Historic_BCast_BASE[[#This Row],[Rolex EXP]]*86400</f>
        <v>2407.6357145186689</v>
      </c>
      <c r="Q314" s="19" t="str">
        <f>IF(Historic_BCast_BASE[[#This Row],[Dashboard Rated?]]="No","N","Y")</f>
        <v>Y</v>
      </c>
      <c r="S314" s="22"/>
    </row>
    <row r="315" spans="1:19" x14ac:dyDescent="0.25">
      <c r="A315" s="72" t="s">
        <v>1869</v>
      </c>
      <c r="B315" t="s">
        <v>45</v>
      </c>
      <c r="C315" t="s">
        <v>45</v>
      </c>
      <c r="D315" t="s">
        <v>45</v>
      </c>
      <c r="E315" s="102">
        <v>4.1666666666666664E-2</v>
      </c>
      <c r="F315" s="101">
        <v>2644.3436306413601</v>
      </c>
      <c r="G315" s="102">
        <v>3.9808791576036191E-3</v>
      </c>
      <c r="H315" s="101">
        <v>418.99701460597379</v>
      </c>
      <c r="I315" s="101">
        <v>120.36998543883738</v>
      </c>
      <c r="J315" s="101"/>
      <c r="K315" t="str">
        <f>VLOOKUP(Historic_BCast_BASE[[#This Row],[Broadcast Market]],Continent_Look_Up[],2,FALSE)</f>
        <v>Digital</v>
      </c>
      <c r="L315" s="132" t="str">
        <f>IF(OR(Historic_BCast_BASE[[#This Row],[Broadcast Continent]]="Digital",Historic_BCast_BASE[[#This Row],[Programme Type]]="Digital"),"Y","N")</f>
        <v>Y</v>
      </c>
      <c r="M315" s="132" t="str">
        <f>IF(ISNUMBER(SEARCH("Pan ",Historic_BCast_BASE[[#This Row],[Broadcast Market]]))=TRUE,"Y","N")</f>
        <v>N</v>
      </c>
      <c r="N315" s="132" t="str">
        <f>VLOOKUP(CONCATENATE(Historic_BCast_BASE[[#This Row],[Broadcast Market]],Historic_BCast_BASE[[#This Row],[Broadcaster]]),Table1[[CC]:[Pay TV vs. Free-to-Air]],3,FALSE)</f>
        <v>Digital</v>
      </c>
      <c r="O315" s="133" t="str">
        <f>VLOOKUP(CONCATENATE(Historic_BCast_BASE[[#This Row],[Broadcast Market]],Historic_BCast_BASE[[#This Row],[Broadcaster]]),Table1[[CC]:[Pay TV vs. Free-to-Air]],2,FALSE)</f>
        <v>-</v>
      </c>
      <c r="P315" s="235">
        <f>Historic_BCast_BASE[[#This Row],[Rolex EXP]]*86400</f>
        <v>343.94795921695271</v>
      </c>
      <c r="Q315" s="19" t="str">
        <f>IF(Historic_BCast_BASE[[#This Row],[Dashboard Rated?]]="No","N","Y")</f>
        <v>Y</v>
      </c>
      <c r="S315" s="22"/>
    </row>
    <row r="316" spans="1:19" x14ac:dyDescent="0.25">
      <c r="A316" s="72" t="s">
        <v>1869</v>
      </c>
      <c r="B316" t="s">
        <v>45</v>
      </c>
      <c r="C316" t="s">
        <v>45</v>
      </c>
      <c r="D316" t="s">
        <v>45</v>
      </c>
      <c r="E316" s="102">
        <v>0.32291666666666669</v>
      </c>
      <c r="F316" s="101">
        <v>3089.0575510315598</v>
      </c>
      <c r="G316" s="102">
        <v>3.0851813471428045E-2</v>
      </c>
      <c r="H316" s="101">
        <v>1896.6654986583865</v>
      </c>
      <c r="I316" s="101">
        <v>544.87643228329648</v>
      </c>
      <c r="J316" s="101"/>
      <c r="K316" t="str">
        <f>VLOOKUP(Historic_BCast_BASE[[#This Row],[Broadcast Market]],Continent_Look_Up[],2,FALSE)</f>
        <v>Digital</v>
      </c>
      <c r="L316" s="132" t="str">
        <f>IF(OR(Historic_BCast_BASE[[#This Row],[Broadcast Continent]]="Digital",Historic_BCast_BASE[[#This Row],[Programme Type]]="Digital"),"Y","N")</f>
        <v>Y</v>
      </c>
      <c r="M316" s="132" t="str">
        <f>IF(ISNUMBER(SEARCH("Pan ",Historic_BCast_BASE[[#This Row],[Broadcast Market]]))=TRUE,"Y","N")</f>
        <v>N</v>
      </c>
      <c r="N316" s="132" t="str">
        <f>VLOOKUP(CONCATENATE(Historic_BCast_BASE[[#This Row],[Broadcast Market]],Historic_BCast_BASE[[#This Row],[Broadcaster]]),Table1[[CC]:[Pay TV vs. Free-to-Air]],3,FALSE)</f>
        <v>Digital</v>
      </c>
      <c r="O316" s="133" t="str">
        <f>VLOOKUP(CONCATENATE(Historic_BCast_BASE[[#This Row],[Broadcast Market]],Historic_BCast_BASE[[#This Row],[Broadcaster]]),Table1[[CC]:[Pay TV vs. Free-to-Air]],2,FALSE)</f>
        <v>-</v>
      </c>
      <c r="P316" s="235">
        <f>Historic_BCast_BASE[[#This Row],[Rolex EXP]]*86400</f>
        <v>2665.5966839313833</v>
      </c>
      <c r="Q316" s="19" t="str">
        <f>IF(Historic_BCast_BASE[[#This Row],[Dashboard Rated?]]="No","N","Y")</f>
        <v>Y</v>
      </c>
      <c r="S316" s="22"/>
    </row>
    <row r="317" spans="1:19" x14ac:dyDescent="0.25">
      <c r="A317" s="72" t="s">
        <v>1869</v>
      </c>
      <c r="B317" t="s">
        <v>45</v>
      </c>
      <c r="C317" t="s">
        <v>45</v>
      </c>
      <c r="D317" t="s">
        <v>45</v>
      </c>
      <c r="E317" s="102">
        <v>0.125</v>
      </c>
      <c r="F317" s="101">
        <v>1253.8011076694499</v>
      </c>
      <c r="G317" s="102">
        <v>1.1942637472810857E-2</v>
      </c>
      <c r="H317" s="101">
        <v>595.99544658545165</v>
      </c>
      <c r="I317" s="101">
        <v>171.21831594568445</v>
      </c>
      <c r="J317" s="101"/>
      <c r="K317" t="str">
        <f>VLOOKUP(Historic_BCast_BASE[[#This Row],[Broadcast Market]],Continent_Look_Up[],2,FALSE)</f>
        <v>Digital</v>
      </c>
      <c r="L317" s="132" t="str">
        <f>IF(OR(Historic_BCast_BASE[[#This Row],[Broadcast Continent]]="Digital",Historic_BCast_BASE[[#This Row],[Programme Type]]="Digital"),"Y","N")</f>
        <v>Y</v>
      </c>
      <c r="M317" s="132" t="str">
        <f>IF(ISNUMBER(SEARCH("Pan ",Historic_BCast_BASE[[#This Row],[Broadcast Market]]))=TRUE,"Y","N")</f>
        <v>N</v>
      </c>
      <c r="N317" s="132" t="str">
        <f>VLOOKUP(CONCATENATE(Historic_BCast_BASE[[#This Row],[Broadcast Market]],Historic_BCast_BASE[[#This Row],[Broadcaster]]),Table1[[CC]:[Pay TV vs. Free-to-Air]],3,FALSE)</f>
        <v>Digital</v>
      </c>
      <c r="O317" s="133" t="str">
        <f>VLOOKUP(CONCATENATE(Historic_BCast_BASE[[#This Row],[Broadcast Market]],Historic_BCast_BASE[[#This Row],[Broadcaster]]),Table1[[CC]:[Pay TV vs. Free-to-Air]],2,FALSE)</f>
        <v>-</v>
      </c>
      <c r="P317" s="235">
        <f>Historic_BCast_BASE[[#This Row],[Rolex EXP]]*86400</f>
        <v>1031.8438776508581</v>
      </c>
      <c r="Q317" s="19" t="str">
        <f>IF(Historic_BCast_BASE[[#This Row],[Dashboard Rated?]]="No","N","Y")</f>
        <v>Y</v>
      </c>
      <c r="S317" s="22"/>
    </row>
    <row r="318" spans="1:19" x14ac:dyDescent="0.25">
      <c r="A318" s="72" t="s">
        <v>1869</v>
      </c>
      <c r="B318" t="s">
        <v>45</v>
      </c>
      <c r="C318" t="s">
        <v>45</v>
      </c>
      <c r="D318" t="s">
        <v>45</v>
      </c>
      <c r="E318" s="102">
        <v>0.25</v>
      </c>
      <c r="F318" s="101">
        <v>3089.0575510315598</v>
      </c>
      <c r="G318" s="102">
        <v>1.7743306652793268E-2</v>
      </c>
      <c r="H318" s="101">
        <v>1090.7986848693693</v>
      </c>
      <c r="I318" s="101">
        <v>311.2511755707722</v>
      </c>
      <c r="J318" s="101"/>
      <c r="K318" t="str">
        <f>VLOOKUP(Historic_BCast_BASE[[#This Row],[Broadcast Market]],Continent_Look_Up[],2,FALSE)</f>
        <v>Digital</v>
      </c>
      <c r="L318" s="132" t="str">
        <f>IF(OR(Historic_BCast_BASE[[#This Row],[Broadcast Continent]]="Digital",Historic_BCast_BASE[[#This Row],[Programme Type]]="Digital"),"Y","N")</f>
        <v>Y</v>
      </c>
      <c r="M318" s="132" t="str">
        <f>IF(ISNUMBER(SEARCH("Pan ",Historic_BCast_BASE[[#This Row],[Broadcast Market]]))=TRUE,"Y","N")</f>
        <v>N</v>
      </c>
      <c r="N318" s="132" t="str">
        <f>VLOOKUP(CONCATENATE(Historic_BCast_BASE[[#This Row],[Broadcast Market]],Historic_BCast_BASE[[#This Row],[Broadcaster]]),Table1[[CC]:[Pay TV vs. Free-to-Air]],3,FALSE)</f>
        <v>Digital</v>
      </c>
      <c r="O318" s="133" t="str">
        <f>VLOOKUP(CONCATENATE(Historic_BCast_BASE[[#This Row],[Broadcast Market]],Historic_BCast_BASE[[#This Row],[Broadcaster]]),Table1[[CC]:[Pay TV vs. Free-to-Air]],2,FALSE)</f>
        <v>-</v>
      </c>
      <c r="P318" s="235">
        <f>Historic_BCast_BASE[[#This Row],[Rolex EXP]]*86400</f>
        <v>1533.0216948013383</v>
      </c>
      <c r="Q318" s="19" t="str">
        <f>IF(Historic_BCast_BASE[[#This Row],[Dashboard Rated?]]="No","N","Y")</f>
        <v>Y</v>
      </c>
      <c r="S318" s="22"/>
    </row>
    <row r="319" spans="1:19" x14ac:dyDescent="0.25">
      <c r="A319" s="72" t="s">
        <v>1869</v>
      </c>
      <c r="B319" t="s">
        <v>45</v>
      </c>
      <c r="C319" t="s">
        <v>45</v>
      </c>
      <c r="D319" t="s">
        <v>45</v>
      </c>
      <c r="E319" s="102">
        <v>5.1076388888888884</v>
      </c>
      <c r="F319" s="101">
        <v>1140875.8720314377</v>
      </c>
      <c r="G319" s="102">
        <v>0.49463669972928348</v>
      </c>
      <c r="H319" s="101">
        <v>379092.44197027676</v>
      </c>
      <c r="I319" s="101">
        <v>110469.07639606232</v>
      </c>
      <c r="J319" s="101"/>
      <c r="K319" t="str">
        <f>VLOOKUP(Historic_BCast_BASE[[#This Row],[Broadcast Market]],Continent_Look_Up[],2,FALSE)</f>
        <v>Digital</v>
      </c>
      <c r="L319" s="132" t="str">
        <f>IF(OR(Historic_BCast_BASE[[#This Row],[Broadcast Continent]]="Digital",Historic_BCast_BASE[[#This Row],[Programme Type]]="Digital"),"Y","N")</f>
        <v>Y</v>
      </c>
      <c r="M319" s="132" t="str">
        <f>IF(ISNUMBER(SEARCH("Pan ",Historic_BCast_BASE[[#This Row],[Broadcast Market]]))=TRUE,"Y","N")</f>
        <v>N</v>
      </c>
      <c r="N319" s="132" t="str">
        <f>VLOOKUP(CONCATENATE(Historic_BCast_BASE[[#This Row],[Broadcast Market]],Historic_BCast_BASE[[#This Row],[Broadcaster]]),Table1[[CC]:[Pay TV vs. Free-to-Air]],3,FALSE)</f>
        <v>Digital</v>
      </c>
      <c r="O319" s="133" t="str">
        <f>VLOOKUP(CONCATENATE(Historic_BCast_BASE[[#This Row],[Broadcast Market]],Historic_BCast_BASE[[#This Row],[Broadcaster]]),Table1[[CC]:[Pay TV vs. Free-to-Air]],2,FALSE)</f>
        <v>-</v>
      </c>
      <c r="P319" s="235">
        <f>Historic_BCast_BASE[[#This Row],[Rolex EXP]]*86400</f>
        <v>42736.610856610096</v>
      </c>
      <c r="Q319" s="19" t="str">
        <f>IF(Historic_BCast_BASE[[#This Row],[Dashboard Rated?]]="No","N","Y")</f>
        <v>Y</v>
      </c>
      <c r="S319" s="22"/>
    </row>
    <row r="320" spans="1:19" x14ac:dyDescent="0.25">
      <c r="A320" s="72" t="s">
        <v>1869</v>
      </c>
      <c r="B320" t="s">
        <v>45</v>
      </c>
      <c r="C320" t="s">
        <v>45</v>
      </c>
      <c r="D320" t="s">
        <v>45</v>
      </c>
      <c r="E320" s="102">
        <v>0.54166666666666663</v>
      </c>
      <c r="F320" s="101">
        <v>21272.926900344086</v>
      </c>
      <c r="G320" s="102">
        <v>4.3156422613368696E-2</v>
      </c>
      <c r="H320" s="101">
        <v>7551.7590902215952</v>
      </c>
      <c r="I320" s="101">
        <v>2322.240941402013</v>
      </c>
      <c r="J320" s="101"/>
      <c r="K320" t="str">
        <f>VLOOKUP(Historic_BCast_BASE[[#This Row],[Broadcast Market]],Continent_Look_Up[],2,FALSE)</f>
        <v>Digital</v>
      </c>
      <c r="L320" s="132" t="str">
        <f>IF(OR(Historic_BCast_BASE[[#This Row],[Broadcast Continent]]="Digital",Historic_BCast_BASE[[#This Row],[Programme Type]]="Digital"),"Y","N")</f>
        <v>Y</v>
      </c>
      <c r="M320" s="132" t="str">
        <f>IF(ISNUMBER(SEARCH("Pan ",Historic_BCast_BASE[[#This Row],[Broadcast Market]]))=TRUE,"Y","N")</f>
        <v>N</v>
      </c>
      <c r="N320" s="132" t="str">
        <f>VLOOKUP(CONCATENATE(Historic_BCast_BASE[[#This Row],[Broadcast Market]],Historic_BCast_BASE[[#This Row],[Broadcaster]]),Table1[[CC]:[Pay TV vs. Free-to-Air]],3,FALSE)</f>
        <v>Digital</v>
      </c>
      <c r="O320" s="133" t="str">
        <f>VLOOKUP(CONCATENATE(Historic_BCast_BASE[[#This Row],[Broadcast Market]],Historic_BCast_BASE[[#This Row],[Broadcaster]]),Table1[[CC]:[Pay TV vs. Free-to-Air]],2,FALSE)</f>
        <v>-</v>
      </c>
      <c r="P320" s="235">
        <f>Historic_BCast_BASE[[#This Row],[Rolex EXP]]*86400</f>
        <v>3728.7149137950555</v>
      </c>
      <c r="Q320" s="19" t="str">
        <f>IF(Historic_BCast_BASE[[#This Row],[Dashboard Rated?]]="No","N","Y")</f>
        <v>Y</v>
      </c>
      <c r="S320" s="22"/>
    </row>
    <row r="321" spans="1:19" x14ac:dyDescent="0.25">
      <c r="A321" s="72" t="s">
        <v>1869</v>
      </c>
      <c r="B321" t="s">
        <v>45</v>
      </c>
      <c r="C321" t="s">
        <v>45</v>
      </c>
      <c r="D321" t="s">
        <v>45</v>
      </c>
      <c r="E321" s="102">
        <v>4.7145833333333336</v>
      </c>
      <c r="F321" s="101">
        <v>325156.35934423434</v>
      </c>
      <c r="G321" s="102">
        <v>0.45160262131126577</v>
      </c>
      <c r="H321" s="101">
        <v>262751.40014431498</v>
      </c>
      <c r="I321" s="101">
        <v>78056.948412912461</v>
      </c>
      <c r="J321" s="101"/>
      <c r="K321" t="str">
        <f>VLOOKUP(Historic_BCast_BASE[[#This Row],[Broadcast Market]],Continent_Look_Up[],2,FALSE)</f>
        <v>Digital</v>
      </c>
      <c r="L321" s="132" t="str">
        <f>IF(OR(Historic_BCast_BASE[[#This Row],[Broadcast Continent]]="Digital",Historic_BCast_BASE[[#This Row],[Programme Type]]="Digital"),"Y","N")</f>
        <v>Y</v>
      </c>
      <c r="M321" s="132" t="str">
        <f>IF(ISNUMBER(SEARCH("Pan ",Historic_BCast_BASE[[#This Row],[Broadcast Market]]))=TRUE,"Y","N")</f>
        <v>N</v>
      </c>
      <c r="N321" s="132" t="str">
        <f>VLOOKUP(CONCATENATE(Historic_BCast_BASE[[#This Row],[Broadcast Market]],Historic_BCast_BASE[[#This Row],[Broadcaster]]),Table1[[CC]:[Pay TV vs. Free-to-Air]],3,FALSE)</f>
        <v>Digital</v>
      </c>
      <c r="O321" s="133" t="str">
        <f>VLOOKUP(CONCATENATE(Historic_BCast_BASE[[#This Row],[Broadcast Market]],Historic_BCast_BASE[[#This Row],[Broadcaster]]),Table1[[CC]:[Pay TV vs. Free-to-Air]],2,FALSE)</f>
        <v>-</v>
      </c>
      <c r="P321" s="235">
        <f>Historic_BCast_BASE[[#This Row],[Rolex EXP]]*86400</f>
        <v>39018.466481293362</v>
      </c>
      <c r="Q321" s="19" t="str">
        <f>IF(Historic_BCast_BASE[[#This Row],[Dashboard Rated?]]="No","N","Y")</f>
        <v>Y</v>
      </c>
      <c r="S321" s="22"/>
    </row>
    <row r="322" spans="1:19" x14ac:dyDescent="0.25">
      <c r="A322" s="72" t="s">
        <v>1869</v>
      </c>
      <c r="B322" t="s">
        <v>45</v>
      </c>
      <c r="C322" t="s">
        <v>45</v>
      </c>
      <c r="D322" t="s">
        <v>45</v>
      </c>
      <c r="E322" s="102">
        <v>8.3333333333333329E-2</v>
      </c>
      <c r="F322" s="101">
        <v>1145.5941177493501</v>
      </c>
      <c r="G322" s="102">
        <v>4.9735850026388449E-3</v>
      </c>
      <c r="H322" s="101">
        <v>226.78501936062551</v>
      </c>
      <c r="I322" s="101">
        <v>58.421943273152728</v>
      </c>
      <c r="J322" s="101"/>
      <c r="K322" t="str">
        <f>VLOOKUP(Historic_BCast_BASE[[#This Row],[Broadcast Market]],Continent_Look_Up[],2,FALSE)</f>
        <v>Digital</v>
      </c>
      <c r="L322" s="132" t="str">
        <f>IF(OR(Historic_BCast_BASE[[#This Row],[Broadcast Continent]]="Digital",Historic_BCast_BASE[[#This Row],[Programme Type]]="Digital"),"Y","N")</f>
        <v>Y</v>
      </c>
      <c r="M322" s="132" t="str">
        <f>IF(ISNUMBER(SEARCH("Pan ",Historic_BCast_BASE[[#This Row],[Broadcast Market]]))=TRUE,"Y","N")</f>
        <v>N</v>
      </c>
      <c r="N322" s="132" t="str">
        <f>VLOOKUP(CONCATENATE(Historic_BCast_BASE[[#This Row],[Broadcast Market]],Historic_BCast_BASE[[#This Row],[Broadcaster]]),Table1[[CC]:[Pay TV vs. Free-to-Air]],3,FALSE)</f>
        <v>Digital</v>
      </c>
      <c r="O322" s="133" t="str">
        <f>VLOOKUP(CONCATENATE(Historic_BCast_BASE[[#This Row],[Broadcast Market]],Historic_BCast_BASE[[#This Row],[Broadcaster]]),Table1[[CC]:[Pay TV vs. Free-to-Air]],2,FALSE)</f>
        <v>-</v>
      </c>
      <c r="P322" s="235">
        <f>Historic_BCast_BASE[[#This Row],[Rolex EXP]]*86400</f>
        <v>429.71774422799621</v>
      </c>
      <c r="Q322" s="19" t="str">
        <f>IF(Historic_BCast_BASE[[#This Row],[Dashboard Rated?]]="No","N","Y")</f>
        <v>Y</v>
      </c>
      <c r="S322" s="22"/>
    </row>
    <row r="323" spans="1:19" x14ac:dyDescent="0.25">
      <c r="A323" s="72" t="s">
        <v>1869</v>
      </c>
      <c r="B323" t="s">
        <v>45</v>
      </c>
      <c r="C323" t="s">
        <v>45</v>
      </c>
      <c r="D323" t="s">
        <v>45</v>
      </c>
      <c r="E323" s="102">
        <v>0.75416666666666676</v>
      </c>
      <c r="F323" s="101">
        <v>35742.018886075748</v>
      </c>
      <c r="G323" s="102">
        <v>7.2650849122742514E-2</v>
      </c>
      <c r="H323" s="101">
        <v>23594.305977154778</v>
      </c>
      <c r="I323" s="101">
        <v>7225.5206579594496</v>
      </c>
      <c r="J323" s="101"/>
      <c r="K323" t="str">
        <f>VLOOKUP(Historic_BCast_BASE[[#This Row],[Broadcast Market]],Continent_Look_Up[],2,FALSE)</f>
        <v>Digital</v>
      </c>
      <c r="L323" s="132" t="str">
        <f>IF(OR(Historic_BCast_BASE[[#This Row],[Broadcast Continent]]="Digital",Historic_BCast_BASE[[#This Row],[Programme Type]]="Digital"),"Y","N")</f>
        <v>Y</v>
      </c>
      <c r="M323" s="132" t="str">
        <f>IF(ISNUMBER(SEARCH("Pan ",Historic_BCast_BASE[[#This Row],[Broadcast Market]]))=TRUE,"Y","N")</f>
        <v>N</v>
      </c>
      <c r="N323" s="132" t="str">
        <f>VLOOKUP(CONCATENATE(Historic_BCast_BASE[[#This Row],[Broadcast Market]],Historic_BCast_BASE[[#This Row],[Broadcaster]]),Table1[[CC]:[Pay TV vs. Free-to-Air]],3,FALSE)</f>
        <v>Digital</v>
      </c>
      <c r="O323" s="133" t="str">
        <f>VLOOKUP(CONCATENATE(Historic_BCast_BASE[[#This Row],[Broadcast Market]],Historic_BCast_BASE[[#This Row],[Broadcaster]]),Table1[[CC]:[Pay TV vs. Free-to-Air]],2,FALSE)</f>
        <v>-</v>
      </c>
      <c r="P323" s="235">
        <f>Historic_BCast_BASE[[#This Row],[Rolex EXP]]*86400</f>
        <v>6277.0333642049536</v>
      </c>
      <c r="Q323" s="19" t="str">
        <f>IF(Historic_BCast_BASE[[#This Row],[Dashboard Rated?]]="No","N","Y")</f>
        <v>Y</v>
      </c>
      <c r="S323" s="22"/>
    </row>
    <row r="324" spans="1:19" x14ac:dyDescent="0.25">
      <c r="A324" s="72" t="s">
        <v>1869</v>
      </c>
      <c r="B324" t="s">
        <v>45</v>
      </c>
      <c r="C324" t="s">
        <v>45</v>
      </c>
      <c r="D324" t="s">
        <v>45</v>
      </c>
      <c r="E324" s="102">
        <v>0.58333333333333337</v>
      </c>
      <c r="F324" s="101">
        <v>3685.224451073188</v>
      </c>
      <c r="G324" s="102">
        <v>4.3784601464955643E-2</v>
      </c>
      <c r="H324" s="101">
        <v>2265.3375437331424</v>
      </c>
      <c r="I324" s="101">
        <v>713.70125088616419</v>
      </c>
      <c r="J324" s="101"/>
      <c r="K324" t="str">
        <f>VLOOKUP(Historic_BCast_BASE[[#This Row],[Broadcast Market]],Continent_Look_Up[],2,FALSE)</f>
        <v>Digital</v>
      </c>
      <c r="L324" s="132" t="str">
        <f>IF(OR(Historic_BCast_BASE[[#This Row],[Broadcast Continent]]="Digital",Historic_BCast_BASE[[#This Row],[Programme Type]]="Digital"),"Y","N")</f>
        <v>Y</v>
      </c>
      <c r="M324" s="132" t="str">
        <f>IF(ISNUMBER(SEARCH("Pan ",Historic_BCast_BASE[[#This Row],[Broadcast Market]]))=TRUE,"Y","N")</f>
        <v>N</v>
      </c>
      <c r="N324" s="132" t="str">
        <f>VLOOKUP(CONCATENATE(Historic_BCast_BASE[[#This Row],[Broadcast Market]],Historic_BCast_BASE[[#This Row],[Broadcaster]]),Table1[[CC]:[Pay TV vs. Free-to-Air]],3,FALSE)</f>
        <v>Digital</v>
      </c>
      <c r="O324" s="133" t="str">
        <f>VLOOKUP(CONCATENATE(Historic_BCast_BASE[[#This Row],[Broadcast Market]],Historic_BCast_BASE[[#This Row],[Broadcaster]]),Table1[[CC]:[Pay TV vs. Free-to-Air]],2,FALSE)</f>
        <v>-</v>
      </c>
      <c r="P324" s="235">
        <f>Historic_BCast_BASE[[#This Row],[Rolex EXP]]*86400</f>
        <v>3782.9895665721674</v>
      </c>
      <c r="Q324" s="19" t="str">
        <f>IF(Historic_BCast_BASE[[#This Row],[Dashboard Rated?]]="No","N","Y")</f>
        <v>Y</v>
      </c>
      <c r="S324" s="22"/>
    </row>
    <row r="325" spans="1:19" x14ac:dyDescent="0.25">
      <c r="A325" s="72" t="s">
        <v>1869</v>
      </c>
      <c r="B325" t="s">
        <v>45</v>
      </c>
      <c r="C325" t="s">
        <v>45</v>
      </c>
      <c r="D325" t="s">
        <v>45</v>
      </c>
      <c r="E325" s="102">
        <v>5.4236111111111107</v>
      </c>
      <c r="F325" s="101">
        <v>500551.3045317583</v>
      </c>
      <c r="G325" s="102">
        <v>0.50537844981059554</v>
      </c>
      <c r="H325" s="101">
        <v>425702.44376665889</v>
      </c>
      <c r="I325" s="101">
        <v>125680.18420240618</v>
      </c>
      <c r="J325" s="101"/>
      <c r="K325" t="str">
        <f>VLOOKUP(Historic_BCast_BASE[[#This Row],[Broadcast Market]],Continent_Look_Up[],2,FALSE)</f>
        <v>Digital</v>
      </c>
      <c r="L325" s="132" t="str">
        <f>IF(OR(Historic_BCast_BASE[[#This Row],[Broadcast Continent]]="Digital",Historic_BCast_BASE[[#This Row],[Programme Type]]="Digital"),"Y","N")</f>
        <v>Y</v>
      </c>
      <c r="M325" s="132" t="str">
        <f>IF(ISNUMBER(SEARCH("Pan ",Historic_BCast_BASE[[#This Row],[Broadcast Market]]))=TRUE,"Y","N")</f>
        <v>N</v>
      </c>
      <c r="N325" s="132" t="str">
        <f>VLOOKUP(CONCATENATE(Historic_BCast_BASE[[#This Row],[Broadcast Market]],Historic_BCast_BASE[[#This Row],[Broadcaster]]),Table1[[CC]:[Pay TV vs. Free-to-Air]],3,FALSE)</f>
        <v>Digital</v>
      </c>
      <c r="O325" s="133" t="str">
        <f>VLOOKUP(CONCATENATE(Historic_BCast_BASE[[#This Row],[Broadcast Market]],Historic_BCast_BASE[[#This Row],[Broadcaster]]),Table1[[CC]:[Pay TV vs. Free-to-Air]],2,FALSE)</f>
        <v>-</v>
      </c>
      <c r="P325" s="235">
        <f>Historic_BCast_BASE[[#This Row],[Rolex EXP]]*86400</f>
        <v>43664.698063635456</v>
      </c>
      <c r="Q325" s="19" t="str">
        <f>IF(Historic_BCast_BASE[[#This Row],[Dashboard Rated?]]="No","N","Y")</f>
        <v>Y</v>
      </c>
      <c r="S325" s="22"/>
    </row>
    <row r="326" spans="1:19" x14ac:dyDescent="0.25">
      <c r="A326" s="72" t="s">
        <v>1869</v>
      </c>
      <c r="B326" t="s">
        <v>45</v>
      </c>
      <c r="C326" t="s">
        <v>45</v>
      </c>
      <c r="D326" t="s">
        <v>45</v>
      </c>
      <c r="E326" s="102">
        <v>0.80625000000000002</v>
      </c>
      <c r="F326" s="101">
        <v>31455.53005241877</v>
      </c>
      <c r="G326" s="102">
        <v>6.4107502581749062E-2</v>
      </c>
      <c r="H326" s="101">
        <v>10586.677724033552</v>
      </c>
      <c r="I326" s="101">
        <v>2998.8153216400406</v>
      </c>
      <c r="J326" s="101"/>
      <c r="K326" t="str">
        <f>VLOOKUP(Historic_BCast_BASE[[#This Row],[Broadcast Market]],Continent_Look_Up[],2,FALSE)</f>
        <v>Digital</v>
      </c>
      <c r="L326" s="132" t="str">
        <f>IF(OR(Historic_BCast_BASE[[#This Row],[Broadcast Continent]]="Digital",Historic_BCast_BASE[[#This Row],[Programme Type]]="Digital"),"Y","N")</f>
        <v>Y</v>
      </c>
      <c r="M326" s="132" t="str">
        <f>IF(ISNUMBER(SEARCH("Pan ",Historic_BCast_BASE[[#This Row],[Broadcast Market]]))=TRUE,"Y","N")</f>
        <v>N</v>
      </c>
      <c r="N326" s="132" t="str">
        <f>VLOOKUP(CONCATENATE(Historic_BCast_BASE[[#This Row],[Broadcast Market]],Historic_BCast_BASE[[#This Row],[Broadcaster]]),Table1[[CC]:[Pay TV vs. Free-to-Air]],3,FALSE)</f>
        <v>Digital</v>
      </c>
      <c r="O326" s="133" t="str">
        <f>VLOOKUP(CONCATENATE(Historic_BCast_BASE[[#This Row],[Broadcast Market]],Historic_BCast_BASE[[#This Row],[Broadcaster]]),Table1[[CC]:[Pay TV vs. Free-to-Air]],2,FALSE)</f>
        <v>-</v>
      </c>
      <c r="P326" s="235">
        <f>Historic_BCast_BASE[[#This Row],[Rolex EXP]]*86400</f>
        <v>5538.8882230631189</v>
      </c>
      <c r="Q326" s="19" t="str">
        <f>IF(Historic_BCast_BASE[[#This Row],[Dashboard Rated?]]="No","N","Y")</f>
        <v>Y</v>
      </c>
      <c r="S326" s="22"/>
    </row>
    <row r="327" spans="1:19" x14ac:dyDescent="0.25">
      <c r="A327" s="72" t="s">
        <v>1869</v>
      </c>
      <c r="B327" t="s">
        <v>45</v>
      </c>
      <c r="C327" t="s">
        <v>45</v>
      </c>
      <c r="D327" t="s">
        <v>45</v>
      </c>
      <c r="E327" s="102">
        <v>1.7006944444444445</v>
      </c>
      <c r="F327" s="101">
        <v>30814.583945876762</v>
      </c>
      <c r="G327" s="102">
        <v>0.15790819792193331</v>
      </c>
      <c r="H327" s="101">
        <v>33356.537978620931</v>
      </c>
      <c r="I327" s="101">
        <v>10364.980414843913</v>
      </c>
      <c r="J327" s="101"/>
      <c r="K327" t="str">
        <f>VLOOKUP(Historic_BCast_BASE[[#This Row],[Broadcast Market]],Continent_Look_Up[],2,FALSE)</f>
        <v>Digital</v>
      </c>
      <c r="L327" s="132" t="str">
        <f>IF(OR(Historic_BCast_BASE[[#This Row],[Broadcast Continent]]="Digital",Historic_BCast_BASE[[#This Row],[Programme Type]]="Digital"),"Y","N")</f>
        <v>Y</v>
      </c>
      <c r="M327" s="132" t="str">
        <f>IF(ISNUMBER(SEARCH("Pan ",Historic_BCast_BASE[[#This Row],[Broadcast Market]]))=TRUE,"Y","N")</f>
        <v>N</v>
      </c>
      <c r="N327" s="132" t="str">
        <f>VLOOKUP(CONCATENATE(Historic_BCast_BASE[[#This Row],[Broadcast Market]],Historic_BCast_BASE[[#This Row],[Broadcaster]]),Table1[[CC]:[Pay TV vs. Free-to-Air]],3,FALSE)</f>
        <v>Digital</v>
      </c>
      <c r="O327" s="133" t="str">
        <f>VLOOKUP(CONCATENATE(Historic_BCast_BASE[[#This Row],[Broadcast Market]],Historic_BCast_BASE[[#This Row],[Broadcaster]]),Table1[[CC]:[Pay TV vs. Free-to-Air]],2,FALSE)</f>
        <v>-</v>
      </c>
      <c r="P327" s="235">
        <f>Historic_BCast_BASE[[#This Row],[Rolex EXP]]*86400</f>
        <v>13643.268300455038</v>
      </c>
      <c r="Q327" s="19" t="str">
        <f>IF(Historic_BCast_BASE[[#This Row],[Dashboard Rated?]]="No","N","Y")</f>
        <v>Y</v>
      </c>
      <c r="S327" s="22"/>
    </row>
    <row r="328" spans="1:19" x14ac:dyDescent="0.25">
      <c r="A328" s="72" t="s">
        <v>1869</v>
      </c>
      <c r="B328" t="s">
        <v>45</v>
      </c>
      <c r="C328" t="s">
        <v>45</v>
      </c>
      <c r="D328" t="s">
        <v>45</v>
      </c>
      <c r="E328" s="102">
        <v>0.375</v>
      </c>
      <c r="F328" s="101">
        <v>8930.11318293767</v>
      </c>
      <c r="G328" s="102">
        <v>3.582791241843257E-2</v>
      </c>
      <c r="H328" s="101">
        <v>4244.9370653504902</v>
      </c>
      <c r="I328" s="101">
        <v>1219.4908195838364</v>
      </c>
      <c r="J328" s="101"/>
      <c r="K328" t="str">
        <f>VLOOKUP(Historic_BCast_BASE[[#This Row],[Broadcast Market]],Continent_Look_Up[],2,FALSE)</f>
        <v>Digital</v>
      </c>
      <c r="L328" s="132" t="str">
        <f>IF(OR(Historic_BCast_BASE[[#This Row],[Broadcast Continent]]="Digital",Historic_BCast_BASE[[#This Row],[Programme Type]]="Digital"),"Y","N")</f>
        <v>Y</v>
      </c>
      <c r="M328" s="132" t="str">
        <f>IF(ISNUMBER(SEARCH("Pan ",Historic_BCast_BASE[[#This Row],[Broadcast Market]]))=TRUE,"Y","N")</f>
        <v>N</v>
      </c>
      <c r="N328" s="132" t="str">
        <f>VLOOKUP(CONCATENATE(Historic_BCast_BASE[[#This Row],[Broadcast Market]],Historic_BCast_BASE[[#This Row],[Broadcaster]]),Table1[[CC]:[Pay TV vs. Free-to-Air]],3,FALSE)</f>
        <v>Digital</v>
      </c>
      <c r="O328" s="133" t="str">
        <f>VLOOKUP(CONCATENATE(Historic_BCast_BASE[[#This Row],[Broadcast Market]],Historic_BCast_BASE[[#This Row],[Broadcaster]]),Table1[[CC]:[Pay TV vs. Free-to-Air]],2,FALSE)</f>
        <v>-</v>
      </c>
      <c r="P328" s="235">
        <f>Historic_BCast_BASE[[#This Row],[Rolex EXP]]*86400</f>
        <v>3095.531632952574</v>
      </c>
      <c r="Q328" s="19" t="str">
        <f>IF(Historic_BCast_BASE[[#This Row],[Dashboard Rated?]]="No","N","Y")</f>
        <v>Y</v>
      </c>
      <c r="S328" s="22"/>
    </row>
    <row r="329" spans="1:19" x14ac:dyDescent="0.25">
      <c r="A329" s="72" t="s">
        <v>1869</v>
      </c>
      <c r="B329" t="s">
        <v>45</v>
      </c>
      <c r="C329" t="s">
        <v>45</v>
      </c>
      <c r="D329" t="s">
        <v>45</v>
      </c>
      <c r="E329" s="102">
        <v>1.2708333333333333</v>
      </c>
      <c r="F329" s="101">
        <v>562037.57159191801</v>
      </c>
      <c r="G329" s="102">
        <v>0.12141681430691038</v>
      </c>
      <c r="H329" s="101">
        <v>452696.33182764356</v>
      </c>
      <c r="I329" s="101">
        <v>130051.16736106614</v>
      </c>
      <c r="J329" s="101"/>
      <c r="K329" t="str">
        <f>VLOOKUP(Historic_BCast_BASE[[#This Row],[Broadcast Market]],Continent_Look_Up[],2,FALSE)</f>
        <v>Digital</v>
      </c>
      <c r="L329" s="132" t="str">
        <f>IF(OR(Historic_BCast_BASE[[#This Row],[Broadcast Continent]]="Digital",Historic_BCast_BASE[[#This Row],[Programme Type]]="Digital"),"Y","N")</f>
        <v>Y</v>
      </c>
      <c r="M329" s="132" t="str">
        <f>IF(ISNUMBER(SEARCH("Pan ",Historic_BCast_BASE[[#This Row],[Broadcast Market]]))=TRUE,"Y","N")</f>
        <v>N</v>
      </c>
      <c r="N329" s="132" t="str">
        <f>VLOOKUP(CONCATENATE(Historic_BCast_BASE[[#This Row],[Broadcast Market]],Historic_BCast_BASE[[#This Row],[Broadcaster]]),Table1[[CC]:[Pay TV vs. Free-to-Air]],3,FALSE)</f>
        <v>Digital</v>
      </c>
      <c r="O329" s="133" t="str">
        <f>VLOOKUP(CONCATENATE(Historic_BCast_BASE[[#This Row],[Broadcast Market]],Historic_BCast_BASE[[#This Row],[Broadcaster]]),Table1[[CC]:[Pay TV vs. Free-to-Air]],2,FALSE)</f>
        <v>-</v>
      </c>
      <c r="P329" s="235">
        <f>Historic_BCast_BASE[[#This Row],[Rolex EXP]]*86400</f>
        <v>10490.412756117057</v>
      </c>
      <c r="Q329" s="19" t="str">
        <f>IF(Historic_BCast_BASE[[#This Row],[Dashboard Rated?]]="No","N","Y")</f>
        <v>Y</v>
      </c>
      <c r="S329" s="22"/>
    </row>
    <row r="330" spans="1:19" x14ac:dyDescent="0.25">
      <c r="A330" s="72" t="s">
        <v>1869</v>
      </c>
      <c r="B330" t="s">
        <v>45</v>
      </c>
      <c r="C330" t="s">
        <v>45</v>
      </c>
      <c r="D330" t="s">
        <v>45</v>
      </c>
      <c r="E330" s="102">
        <v>4.1666666666666664E-2</v>
      </c>
      <c r="F330" s="101">
        <v>124471.39163117101</v>
      </c>
      <c r="G330" s="102">
        <v>3.9808791576036182E-3</v>
      </c>
      <c r="H330" s="101">
        <v>19722.528075771395</v>
      </c>
      <c r="I330" s="101">
        <v>5665.9124875392781</v>
      </c>
      <c r="J330" s="101"/>
      <c r="K330" t="str">
        <f>VLOOKUP(Historic_BCast_BASE[[#This Row],[Broadcast Market]],Continent_Look_Up[],2,FALSE)</f>
        <v>Digital</v>
      </c>
      <c r="L330" s="132" t="str">
        <f>IF(OR(Historic_BCast_BASE[[#This Row],[Broadcast Continent]]="Digital",Historic_BCast_BASE[[#This Row],[Programme Type]]="Digital"),"Y","N")</f>
        <v>Y</v>
      </c>
      <c r="M330" s="132" t="str">
        <f>IF(ISNUMBER(SEARCH("Pan ",Historic_BCast_BASE[[#This Row],[Broadcast Market]]))=TRUE,"Y","N")</f>
        <v>N</v>
      </c>
      <c r="N330" s="132" t="str">
        <f>VLOOKUP(CONCATENATE(Historic_BCast_BASE[[#This Row],[Broadcast Market]],Historic_BCast_BASE[[#This Row],[Broadcaster]]),Table1[[CC]:[Pay TV vs. Free-to-Air]],3,FALSE)</f>
        <v>Digital</v>
      </c>
      <c r="O330" s="133" t="str">
        <f>VLOOKUP(CONCATENATE(Historic_BCast_BASE[[#This Row],[Broadcast Market]],Historic_BCast_BASE[[#This Row],[Broadcaster]]),Table1[[CC]:[Pay TV vs. Free-to-Air]],2,FALSE)</f>
        <v>-</v>
      </c>
      <c r="P330" s="235">
        <f>Historic_BCast_BASE[[#This Row],[Rolex EXP]]*86400</f>
        <v>343.9479592169526</v>
      </c>
      <c r="Q330" s="19" t="str">
        <f>IF(Historic_BCast_BASE[[#This Row],[Dashboard Rated?]]="No","N","Y")</f>
        <v>Y</v>
      </c>
      <c r="S330" s="22"/>
    </row>
    <row r="331" spans="1:19" x14ac:dyDescent="0.25">
      <c r="A331" s="72" t="s">
        <v>1869</v>
      </c>
      <c r="B331" t="s">
        <v>45</v>
      </c>
      <c r="C331" t="s">
        <v>45</v>
      </c>
      <c r="D331" t="s">
        <v>45</v>
      </c>
      <c r="E331" s="102">
        <v>4.1534722222222227</v>
      </c>
      <c r="F331" s="101">
        <v>9797981.2411719896</v>
      </c>
      <c r="G331" s="102">
        <v>0.37801093126050139</v>
      </c>
      <c r="H331" s="101">
        <v>6409544.5409674766</v>
      </c>
      <c r="I331" s="101">
        <v>1888369.7160956184</v>
      </c>
      <c r="J331" s="101"/>
      <c r="K331" t="str">
        <f>VLOOKUP(Historic_BCast_BASE[[#This Row],[Broadcast Market]],Continent_Look_Up[],2,FALSE)</f>
        <v>Digital</v>
      </c>
      <c r="L331" s="132" t="str">
        <f>IF(OR(Historic_BCast_BASE[[#This Row],[Broadcast Continent]]="Digital",Historic_BCast_BASE[[#This Row],[Programme Type]]="Digital"),"Y","N")</f>
        <v>Y</v>
      </c>
      <c r="M331" s="132" t="str">
        <f>IF(ISNUMBER(SEARCH("Pan ",Historic_BCast_BASE[[#This Row],[Broadcast Market]]))=TRUE,"Y","N")</f>
        <v>N</v>
      </c>
      <c r="N331" s="132" t="str">
        <f>VLOOKUP(CONCATENATE(Historic_BCast_BASE[[#This Row],[Broadcast Market]],Historic_BCast_BASE[[#This Row],[Broadcaster]]),Table1[[CC]:[Pay TV vs. Free-to-Air]],3,FALSE)</f>
        <v>Digital</v>
      </c>
      <c r="O331" s="133" t="str">
        <f>VLOOKUP(CONCATENATE(Historic_BCast_BASE[[#This Row],[Broadcast Market]],Historic_BCast_BASE[[#This Row],[Broadcaster]]),Table1[[CC]:[Pay TV vs. Free-to-Air]],2,FALSE)</f>
        <v>-</v>
      </c>
      <c r="P331" s="235">
        <f>Historic_BCast_BASE[[#This Row],[Rolex EXP]]*86400</f>
        <v>32660.144460907319</v>
      </c>
      <c r="Q331" s="19" t="str">
        <f>IF(Historic_BCast_BASE[[#This Row],[Dashboard Rated?]]="No","N","Y")</f>
        <v>Y</v>
      </c>
      <c r="S331" s="22"/>
    </row>
    <row r="332" spans="1:19" x14ac:dyDescent="0.25">
      <c r="A332" s="72" t="s">
        <v>1869</v>
      </c>
      <c r="B332" t="s">
        <v>45</v>
      </c>
      <c r="C332" t="s">
        <v>45</v>
      </c>
      <c r="D332" t="s">
        <v>45</v>
      </c>
      <c r="E332" s="102">
        <v>1.0402777777777776</v>
      </c>
      <c r="F332" s="101">
        <v>4320338.2614271892</v>
      </c>
      <c r="G332" s="102">
        <v>9.2752394863508045E-2</v>
      </c>
      <c r="H332" s="101">
        <v>1119142.1725530757</v>
      </c>
      <c r="I332" s="101">
        <v>323963.55629488523</v>
      </c>
      <c r="J332" s="101"/>
      <c r="K332" t="str">
        <f>VLOOKUP(Historic_BCast_BASE[[#This Row],[Broadcast Market]],Continent_Look_Up[],2,FALSE)</f>
        <v>Digital</v>
      </c>
      <c r="L332" s="132" t="str">
        <f>IF(OR(Historic_BCast_BASE[[#This Row],[Broadcast Continent]]="Digital",Historic_BCast_BASE[[#This Row],[Programme Type]]="Digital"),"Y","N")</f>
        <v>Y</v>
      </c>
      <c r="M332" s="132" t="str">
        <f>IF(ISNUMBER(SEARCH("Pan ",Historic_BCast_BASE[[#This Row],[Broadcast Market]]))=TRUE,"Y","N")</f>
        <v>N</v>
      </c>
      <c r="N332" s="132" t="str">
        <f>VLOOKUP(CONCATENATE(Historic_BCast_BASE[[#This Row],[Broadcast Market]],Historic_BCast_BASE[[#This Row],[Broadcaster]]),Table1[[CC]:[Pay TV vs. Free-to-Air]],3,FALSE)</f>
        <v>Digital</v>
      </c>
      <c r="O332" s="133" t="str">
        <f>VLOOKUP(CONCATENATE(Historic_BCast_BASE[[#This Row],[Broadcast Market]],Historic_BCast_BASE[[#This Row],[Broadcaster]]),Table1[[CC]:[Pay TV vs. Free-to-Air]],2,FALSE)</f>
        <v>-</v>
      </c>
      <c r="P332" s="235">
        <f>Historic_BCast_BASE[[#This Row],[Rolex EXP]]*86400</f>
        <v>8013.8069162070951</v>
      </c>
      <c r="Q332" s="19" t="str">
        <f>IF(Historic_BCast_BASE[[#This Row],[Dashboard Rated?]]="No","N","Y")</f>
        <v>Y</v>
      </c>
      <c r="S332" s="22"/>
    </row>
    <row r="333" spans="1:19" x14ac:dyDescent="0.25">
      <c r="A333" s="72" t="s">
        <v>1869</v>
      </c>
      <c r="B333" t="s">
        <v>45</v>
      </c>
      <c r="C333" t="s">
        <v>45</v>
      </c>
      <c r="D333" t="s">
        <v>45</v>
      </c>
      <c r="E333" s="102">
        <v>1.7638888888888891</v>
      </c>
      <c r="F333" s="101">
        <v>6064276.7917579319</v>
      </c>
      <c r="G333" s="102">
        <v>0.15378126204958029</v>
      </c>
      <c r="H333" s="101">
        <v>1576049.7804453217</v>
      </c>
      <c r="I333" s="101">
        <v>464213.64899105002</v>
      </c>
      <c r="J333" s="101"/>
      <c r="K333" t="str">
        <f>VLOOKUP(Historic_BCast_BASE[[#This Row],[Broadcast Market]],Continent_Look_Up[],2,FALSE)</f>
        <v>Digital</v>
      </c>
      <c r="L333" s="132" t="str">
        <f>IF(OR(Historic_BCast_BASE[[#This Row],[Broadcast Continent]]="Digital",Historic_BCast_BASE[[#This Row],[Programme Type]]="Digital"),"Y","N")</f>
        <v>Y</v>
      </c>
      <c r="M333" s="132" t="str">
        <f>IF(ISNUMBER(SEARCH("Pan ",Historic_BCast_BASE[[#This Row],[Broadcast Market]]))=TRUE,"Y","N")</f>
        <v>N</v>
      </c>
      <c r="N333" s="132" t="str">
        <f>VLOOKUP(CONCATENATE(Historic_BCast_BASE[[#This Row],[Broadcast Market]],Historic_BCast_BASE[[#This Row],[Broadcaster]]),Table1[[CC]:[Pay TV vs. Free-to-Air]],3,FALSE)</f>
        <v>Digital</v>
      </c>
      <c r="O333" s="133" t="str">
        <f>VLOOKUP(CONCATENATE(Historic_BCast_BASE[[#This Row],[Broadcast Market]],Historic_BCast_BASE[[#This Row],[Broadcaster]]),Table1[[CC]:[Pay TV vs. Free-to-Air]],2,FALSE)</f>
        <v>-</v>
      </c>
      <c r="P333" s="235">
        <f>Historic_BCast_BASE[[#This Row],[Rolex EXP]]*86400</f>
        <v>13286.701041083737</v>
      </c>
      <c r="Q333" s="19" t="str">
        <f>IF(Historic_BCast_BASE[[#This Row],[Dashboard Rated?]]="No","N","Y")</f>
        <v>Y</v>
      </c>
      <c r="S333" s="22"/>
    </row>
    <row r="334" spans="1:19" x14ac:dyDescent="0.25">
      <c r="A334" s="72" t="s">
        <v>1869</v>
      </c>
      <c r="B334" t="s">
        <v>45</v>
      </c>
      <c r="C334" t="s">
        <v>45</v>
      </c>
      <c r="D334" t="s">
        <v>45</v>
      </c>
      <c r="E334" s="102">
        <v>6.0472222222222216</v>
      </c>
      <c r="F334" s="101">
        <v>3646214</v>
      </c>
      <c r="G334" s="102">
        <v>0.56102383841241299</v>
      </c>
      <c r="H334" s="101">
        <v>3131584.7165845293</v>
      </c>
      <c r="I334" s="101">
        <v>919610.15696907393</v>
      </c>
      <c r="J334" s="101"/>
      <c r="K334" t="str">
        <f>VLOOKUP(Historic_BCast_BASE[[#This Row],[Broadcast Market]],Continent_Look_Up[],2,FALSE)</f>
        <v>Digital</v>
      </c>
      <c r="L334" s="132" t="str">
        <f>IF(OR(Historic_BCast_BASE[[#This Row],[Broadcast Continent]]="Digital",Historic_BCast_BASE[[#This Row],[Programme Type]]="Digital"),"Y","N")</f>
        <v>Y</v>
      </c>
      <c r="M334" s="132" t="str">
        <f>IF(ISNUMBER(SEARCH("Pan ",Historic_BCast_BASE[[#This Row],[Broadcast Market]]))=TRUE,"Y","N")</f>
        <v>N</v>
      </c>
      <c r="N334" s="132" t="str">
        <f>VLOOKUP(CONCATENATE(Historic_BCast_BASE[[#This Row],[Broadcast Market]],Historic_BCast_BASE[[#This Row],[Broadcaster]]),Table1[[CC]:[Pay TV vs. Free-to-Air]],3,FALSE)</f>
        <v>Digital</v>
      </c>
      <c r="O334" s="133" t="str">
        <f>VLOOKUP(CONCATENATE(Historic_BCast_BASE[[#This Row],[Broadcast Market]],Historic_BCast_BASE[[#This Row],[Broadcaster]]),Table1[[CC]:[Pay TV vs. Free-to-Air]],2,FALSE)</f>
        <v>-</v>
      </c>
      <c r="P334" s="235">
        <f>Historic_BCast_BASE[[#This Row],[Rolex EXP]]*86400</f>
        <v>48472.459638832479</v>
      </c>
      <c r="Q334" s="19" t="str">
        <f>IF(Historic_BCast_BASE[[#This Row],[Dashboard Rated?]]="No","N","Y")</f>
        <v>Y</v>
      </c>
      <c r="S334" s="22"/>
    </row>
    <row r="335" spans="1:19" x14ac:dyDescent="0.25">
      <c r="A335" s="72" t="s">
        <v>1869</v>
      </c>
      <c r="B335" t="s">
        <v>45</v>
      </c>
      <c r="C335" t="s">
        <v>45</v>
      </c>
      <c r="D335" t="s">
        <v>45</v>
      </c>
      <c r="E335" s="102">
        <v>3</v>
      </c>
      <c r="F335" s="101">
        <v>312734.71648505307</v>
      </c>
      <c r="G335" s="102">
        <v>0.271156117507728</v>
      </c>
      <c r="H335" s="101">
        <v>35704.873540831111</v>
      </c>
      <c r="I335" s="101">
        <v>10438.689089226333</v>
      </c>
      <c r="J335" s="101"/>
      <c r="K335" t="str">
        <f>VLOOKUP(Historic_BCast_BASE[[#This Row],[Broadcast Market]],Continent_Look_Up[],2,FALSE)</f>
        <v>Digital</v>
      </c>
      <c r="L335" s="132" t="str">
        <f>IF(OR(Historic_BCast_BASE[[#This Row],[Broadcast Continent]]="Digital",Historic_BCast_BASE[[#This Row],[Programme Type]]="Digital"),"Y","N")</f>
        <v>Y</v>
      </c>
      <c r="M335" s="132" t="str">
        <f>IF(ISNUMBER(SEARCH("Pan ",Historic_BCast_BASE[[#This Row],[Broadcast Market]]))=TRUE,"Y","N")</f>
        <v>N</v>
      </c>
      <c r="N335" s="132" t="str">
        <f>VLOOKUP(CONCATENATE(Historic_BCast_BASE[[#This Row],[Broadcast Market]],Historic_BCast_BASE[[#This Row],[Broadcaster]]),Table1[[CC]:[Pay TV vs. Free-to-Air]],3,FALSE)</f>
        <v>Digital</v>
      </c>
      <c r="O335" s="133" t="str">
        <f>VLOOKUP(CONCATENATE(Historic_BCast_BASE[[#This Row],[Broadcast Market]],Historic_BCast_BASE[[#This Row],[Broadcaster]]),Table1[[CC]:[Pay TV vs. Free-to-Air]],2,FALSE)</f>
        <v>-</v>
      </c>
      <c r="P335" s="235">
        <f>Historic_BCast_BASE[[#This Row],[Rolex EXP]]*86400</f>
        <v>23427.8885526677</v>
      </c>
      <c r="Q335" s="19" t="str">
        <f>IF(Historic_BCast_BASE[[#This Row],[Dashboard Rated?]]="No","N","Y")</f>
        <v>Y</v>
      </c>
      <c r="S335" s="22"/>
    </row>
    <row r="336" spans="1:19" x14ac:dyDescent="0.25">
      <c r="A336" s="72" t="s">
        <v>1869</v>
      </c>
      <c r="B336" t="s">
        <v>45</v>
      </c>
      <c r="C336" t="s">
        <v>45</v>
      </c>
      <c r="D336" t="s">
        <v>45</v>
      </c>
      <c r="E336" s="102">
        <v>5.9965277777777777</v>
      </c>
      <c r="F336" s="101">
        <v>109303.84015272681</v>
      </c>
      <c r="G336" s="102">
        <v>0.57097853238714891</v>
      </c>
      <c r="H336" s="101">
        <v>177435.78322139109</v>
      </c>
      <c r="I336" s="101">
        <v>51041.756769285297</v>
      </c>
      <c r="J336" s="101"/>
      <c r="K336" t="str">
        <f>VLOOKUP(Historic_BCast_BASE[[#This Row],[Broadcast Market]],Continent_Look_Up[],2,FALSE)</f>
        <v>Digital</v>
      </c>
      <c r="L336" s="132" t="str">
        <f>IF(OR(Historic_BCast_BASE[[#This Row],[Broadcast Continent]]="Digital",Historic_BCast_BASE[[#This Row],[Programme Type]]="Digital"),"Y","N")</f>
        <v>Y</v>
      </c>
      <c r="M336" s="132" t="str">
        <f>IF(ISNUMBER(SEARCH("Pan ",Historic_BCast_BASE[[#This Row],[Broadcast Market]]))=TRUE,"Y","N")</f>
        <v>N</v>
      </c>
      <c r="N336" s="132" t="str">
        <f>VLOOKUP(CONCATENATE(Historic_BCast_BASE[[#This Row],[Broadcast Market]],Historic_BCast_BASE[[#This Row],[Broadcaster]]),Table1[[CC]:[Pay TV vs. Free-to-Air]],3,FALSE)</f>
        <v>Digital</v>
      </c>
      <c r="O336" s="133" t="str">
        <f>VLOOKUP(CONCATENATE(Historic_BCast_BASE[[#This Row],[Broadcast Market]],Historic_BCast_BASE[[#This Row],[Broadcaster]]),Table1[[CC]:[Pay TV vs. Free-to-Air]],2,FALSE)</f>
        <v>-</v>
      </c>
      <c r="P336" s="235">
        <f>Historic_BCast_BASE[[#This Row],[Rolex EXP]]*86400</f>
        <v>49332.545198249667</v>
      </c>
      <c r="Q336" s="19" t="str">
        <f>IF(Historic_BCast_BASE[[#This Row],[Dashboard Rated?]]="No","N","Y")</f>
        <v>Y</v>
      </c>
      <c r="S336" s="22"/>
    </row>
    <row r="337" spans="1:19" x14ac:dyDescent="0.25">
      <c r="A337" s="72" t="s">
        <v>1869</v>
      </c>
      <c r="B337" t="s">
        <v>45</v>
      </c>
      <c r="C337" t="s">
        <v>45</v>
      </c>
      <c r="D337" t="s">
        <v>45</v>
      </c>
      <c r="E337" s="102">
        <v>4.1666666666666664E-2</v>
      </c>
      <c r="F337" s="101">
        <v>9622.8127920639799</v>
      </c>
      <c r="G337" s="102">
        <v>3.9808791576036191E-3</v>
      </c>
      <c r="H337" s="101">
        <v>762.36873779696316</v>
      </c>
      <c r="I337" s="101">
        <v>219.01424274810802</v>
      </c>
      <c r="J337" s="101"/>
      <c r="K337" t="str">
        <f>VLOOKUP(Historic_BCast_BASE[[#This Row],[Broadcast Market]],Continent_Look_Up[],2,FALSE)</f>
        <v>Digital</v>
      </c>
      <c r="L337" s="132" t="str">
        <f>IF(OR(Historic_BCast_BASE[[#This Row],[Broadcast Continent]]="Digital",Historic_BCast_BASE[[#This Row],[Programme Type]]="Digital"),"Y","N")</f>
        <v>Y</v>
      </c>
      <c r="M337" s="132" t="str">
        <f>IF(ISNUMBER(SEARCH("Pan ",Historic_BCast_BASE[[#This Row],[Broadcast Market]]))=TRUE,"Y","N")</f>
        <v>N</v>
      </c>
      <c r="N337" s="132" t="str">
        <f>VLOOKUP(CONCATENATE(Historic_BCast_BASE[[#This Row],[Broadcast Market]],Historic_BCast_BASE[[#This Row],[Broadcaster]]),Table1[[CC]:[Pay TV vs. Free-to-Air]],3,FALSE)</f>
        <v>Digital</v>
      </c>
      <c r="O337" s="133" t="str">
        <f>VLOOKUP(CONCATENATE(Historic_BCast_BASE[[#This Row],[Broadcast Market]],Historic_BCast_BASE[[#This Row],[Broadcaster]]),Table1[[CC]:[Pay TV vs. Free-to-Air]],2,FALSE)</f>
        <v>-</v>
      </c>
      <c r="P337" s="235">
        <f>Historic_BCast_BASE[[#This Row],[Rolex EXP]]*86400</f>
        <v>343.94795921695271</v>
      </c>
      <c r="Q337" s="19" t="str">
        <f>IF(Historic_BCast_BASE[[#This Row],[Dashboard Rated?]]="No","N","Y")</f>
        <v>Y</v>
      </c>
      <c r="S337" s="22"/>
    </row>
    <row r="338" spans="1:19" x14ac:dyDescent="0.25">
      <c r="A338" s="72" t="s">
        <v>1869</v>
      </c>
      <c r="B338" t="s">
        <v>45</v>
      </c>
      <c r="C338" t="s">
        <v>45</v>
      </c>
      <c r="D338" t="s">
        <v>45</v>
      </c>
      <c r="E338" s="102">
        <v>1.5410648148148149</v>
      </c>
      <c r="F338" s="101">
        <v>7569.8899213375644</v>
      </c>
      <c r="G338" s="102">
        <v>0.1409926665026893</v>
      </c>
      <c r="H338" s="101">
        <v>882.86941824144071</v>
      </c>
      <c r="I338" s="101">
        <v>268.90710891769174</v>
      </c>
      <c r="J338" s="101"/>
      <c r="K338" t="str">
        <f>VLOOKUP(Historic_BCast_BASE[[#This Row],[Broadcast Market]],Continent_Look_Up[],2,FALSE)</f>
        <v>Digital</v>
      </c>
      <c r="L338" s="132" t="str">
        <f>IF(OR(Historic_BCast_BASE[[#This Row],[Broadcast Continent]]="Digital",Historic_BCast_BASE[[#This Row],[Programme Type]]="Digital"),"Y","N")</f>
        <v>Y</v>
      </c>
      <c r="M338" s="132" t="str">
        <f>IF(ISNUMBER(SEARCH("Pan ",Historic_BCast_BASE[[#This Row],[Broadcast Market]]))=TRUE,"Y","N")</f>
        <v>N</v>
      </c>
      <c r="N338" s="132" t="str">
        <f>VLOOKUP(CONCATENATE(Historic_BCast_BASE[[#This Row],[Broadcast Market]],Historic_BCast_BASE[[#This Row],[Broadcaster]]),Table1[[CC]:[Pay TV vs. Free-to-Air]],3,FALSE)</f>
        <v>Digital</v>
      </c>
      <c r="O338" s="133" t="str">
        <f>VLOOKUP(CONCATENATE(Historic_BCast_BASE[[#This Row],[Broadcast Market]],Historic_BCast_BASE[[#This Row],[Broadcaster]]),Table1[[CC]:[Pay TV vs. Free-to-Air]],2,FALSE)</f>
        <v>-</v>
      </c>
      <c r="P338" s="235">
        <f>Historic_BCast_BASE[[#This Row],[Rolex EXP]]*86400</f>
        <v>12181.766385832356</v>
      </c>
      <c r="Q338" s="19" t="str">
        <f>IF(Historic_BCast_BASE[[#This Row],[Dashboard Rated?]]="No","N","Y")</f>
        <v>Y</v>
      </c>
      <c r="S338" s="22"/>
    </row>
    <row r="339" spans="1:19" x14ac:dyDescent="0.25">
      <c r="A339" s="72" t="s">
        <v>1869</v>
      </c>
      <c r="B339" t="s">
        <v>45</v>
      </c>
      <c r="C339" t="s">
        <v>45</v>
      </c>
      <c r="D339" t="s">
        <v>45</v>
      </c>
      <c r="E339" s="102">
        <v>5.7826388888888891</v>
      </c>
      <c r="F339" s="101">
        <v>65592.011118889437</v>
      </c>
      <c r="G339" s="102">
        <v>0.54213545400789642</v>
      </c>
      <c r="H339" s="101">
        <v>24575.3341249802</v>
      </c>
      <c r="I339" s="101">
        <v>7327.4229560024123</v>
      </c>
      <c r="J339" s="101"/>
      <c r="K339" t="str">
        <f>VLOOKUP(Historic_BCast_BASE[[#This Row],[Broadcast Market]],Continent_Look_Up[],2,FALSE)</f>
        <v>Digital</v>
      </c>
      <c r="L339" s="132" t="str">
        <f>IF(OR(Historic_BCast_BASE[[#This Row],[Broadcast Continent]]="Digital",Historic_BCast_BASE[[#This Row],[Programme Type]]="Digital"),"Y","N")</f>
        <v>Y</v>
      </c>
      <c r="M339" s="132" t="str">
        <f>IF(ISNUMBER(SEARCH("Pan ",Historic_BCast_BASE[[#This Row],[Broadcast Market]]))=TRUE,"Y","N")</f>
        <v>N</v>
      </c>
      <c r="N339" s="132" t="str">
        <f>VLOOKUP(CONCATENATE(Historic_BCast_BASE[[#This Row],[Broadcast Market]],Historic_BCast_BASE[[#This Row],[Broadcaster]]),Table1[[CC]:[Pay TV vs. Free-to-Air]],3,FALSE)</f>
        <v>Digital</v>
      </c>
      <c r="O339" s="133" t="str">
        <f>VLOOKUP(CONCATENATE(Historic_BCast_BASE[[#This Row],[Broadcast Market]],Historic_BCast_BASE[[#This Row],[Broadcaster]]),Table1[[CC]:[Pay TV vs. Free-to-Air]],2,FALSE)</f>
        <v>-</v>
      </c>
      <c r="P339" s="235">
        <f>Historic_BCast_BASE[[#This Row],[Rolex EXP]]*86400</f>
        <v>46840.50322628225</v>
      </c>
      <c r="Q339" s="19" t="str">
        <f>IF(Historic_BCast_BASE[[#This Row],[Dashboard Rated?]]="No","N","Y")</f>
        <v>Y</v>
      </c>
      <c r="S339" s="22"/>
    </row>
    <row r="340" spans="1:19" x14ac:dyDescent="0.25">
      <c r="A340" s="72" t="s">
        <v>1869</v>
      </c>
      <c r="B340" t="s">
        <v>45</v>
      </c>
      <c r="C340" t="s">
        <v>45</v>
      </c>
      <c r="D340" t="s">
        <v>45</v>
      </c>
      <c r="E340" s="102">
        <v>1.2158564814814814</v>
      </c>
      <c r="F340" s="101">
        <v>3635.2126555412847</v>
      </c>
      <c r="G340" s="102">
        <v>8.5495900114466061E-2</v>
      </c>
      <c r="H340" s="101">
        <v>558.77672101034307</v>
      </c>
      <c r="I340" s="101">
        <v>169.71804897929835</v>
      </c>
      <c r="J340" s="101"/>
      <c r="K340" t="str">
        <f>VLOOKUP(Historic_BCast_BASE[[#This Row],[Broadcast Market]],Continent_Look_Up[],2,FALSE)</f>
        <v>Digital</v>
      </c>
      <c r="L340" s="132" t="str">
        <f>IF(OR(Historic_BCast_BASE[[#This Row],[Broadcast Continent]]="Digital",Historic_BCast_BASE[[#This Row],[Programme Type]]="Digital"),"Y","N")</f>
        <v>Y</v>
      </c>
      <c r="M340" s="132" t="str">
        <f>IF(ISNUMBER(SEARCH("Pan ",Historic_BCast_BASE[[#This Row],[Broadcast Market]]))=TRUE,"Y","N")</f>
        <v>N</v>
      </c>
      <c r="N340" s="132" t="str">
        <f>VLOOKUP(CONCATENATE(Historic_BCast_BASE[[#This Row],[Broadcast Market]],Historic_BCast_BASE[[#This Row],[Broadcaster]]),Table1[[CC]:[Pay TV vs. Free-to-Air]],3,FALSE)</f>
        <v>Digital</v>
      </c>
      <c r="O340" s="133" t="str">
        <f>VLOOKUP(CONCATENATE(Historic_BCast_BASE[[#This Row],[Broadcast Market]],Historic_BCast_BASE[[#This Row],[Broadcaster]]),Table1[[CC]:[Pay TV vs. Free-to-Air]],2,FALSE)</f>
        <v>-</v>
      </c>
      <c r="P340" s="235">
        <f>Historic_BCast_BASE[[#This Row],[Rolex EXP]]*86400</f>
        <v>7386.8457698898674</v>
      </c>
      <c r="Q340" s="19" t="str">
        <f>IF(Historic_BCast_BASE[[#This Row],[Dashboard Rated?]]="No","N","Y")</f>
        <v>Y</v>
      </c>
      <c r="S340" s="22"/>
    </row>
    <row r="341" spans="1:19" x14ac:dyDescent="0.25">
      <c r="A341" s="72" t="s">
        <v>1869</v>
      </c>
      <c r="B341" t="s">
        <v>45</v>
      </c>
      <c r="C341" t="s">
        <v>45</v>
      </c>
      <c r="D341" t="s">
        <v>45</v>
      </c>
      <c r="E341" s="102">
        <v>1.1555555555555557</v>
      </c>
      <c r="F341" s="101">
        <v>5212.0619987818227</v>
      </c>
      <c r="G341" s="102">
        <v>0.11839960800836978</v>
      </c>
      <c r="H341" s="101">
        <v>596.32328078501098</v>
      </c>
      <c r="I341" s="101">
        <v>183.639955931213</v>
      </c>
      <c r="J341" s="101"/>
      <c r="K341" t="str">
        <f>VLOOKUP(Historic_BCast_BASE[[#This Row],[Broadcast Market]],Continent_Look_Up[],2,FALSE)</f>
        <v>Digital</v>
      </c>
      <c r="L341" s="132" t="str">
        <f>IF(OR(Historic_BCast_BASE[[#This Row],[Broadcast Continent]]="Digital",Historic_BCast_BASE[[#This Row],[Programme Type]]="Digital"),"Y","N")</f>
        <v>Y</v>
      </c>
      <c r="M341" s="132" t="str">
        <f>IF(ISNUMBER(SEARCH("Pan ",Historic_BCast_BASE[[#This Row],[Broadcast Market]]))=TRUE,"Y","N")</f>
        <v>N</v>
      </c>
      <c r="N341" s="132" t="str">
        <f>VLOOKUP(CONCATENATE(Historic_BCast_BASE[[#This Row],[Broadcast Market]],Historic_BCast_BASE[[#This Row],[Broadcaster]]),Table1[[CC]:[Pay TV vs. Free-to-Air]],3,FALSE)</f>
        <v>Digital</v>
      </c>
      <c r="O341" s="133" t="str">
        <f>VLOOKUP(CONCATENATE(Historic_BCast_BASE[[#This Row],[Broadcast Market]],Historic_BCast_BASE[[#This Row],[Broadcaster]]),Table1[[CC]:[Pay TV vs. Free-to-Air]],2,FALSE)</f>
        <v>-</v>
      </c>
      <c r="P341" s="235">
        <f>Historic_BCast_BASE[[#This Row],[Rolex EXP]]*86400</f>
        <v>10229.726131923149</v>
      </c>
      <c r="Q341" s="19" t="str">
        <f>IF(Historic_BCast_BASE[[#This Row],[Dashboard Rated?]]="No","N","Y")</f>
        <v>Y</v>
      </c>
      <c r="S341" s="22"/>
    </row>
    <row r="342" spans="1:19" x14ac:dyDescent="0.25">
      <c r="A342" s="72" t="s">
        <v>1869</v>
      </c>
      <c r="B342" t="s">
        <v>45</v>
      </c>
      <c r="C342" t="s">
        <v>45</v>
      </c>
      <c r="D342" t="s">
        <v>45</v>
      </c>
      <c r="E342" s="102">
        <v>2.9608333333333334</v>
      </c>
      <c r="F342" s="101">
        <v>31413.702649216106</v>
      </c>
      <c r="G342" s="102">
        <v>0.34654565009975324</v>
      </c>
      <c r="H342" s="101">
        <v>9130.3630835469903</v>
      </c>
      <c r="I342" s="101">
        <v>2642.7873296684488</v>
      </c>
      <c r="J342" s="101"/>
      <c r="K342" t="str">
        <f>VLOOKUP(Historic_BCast_BASE[[#This Row],[Broadcast Market]],Continent_Look_Up[],2,FALSE)</f>
        <v>Digital</v>
      </c>
      <c r="L342" s="132" t="str">
        <f>IF(OR(Historic_BCast_BASE[[#This Row],[Broadcast Continent]]="Digital",Historic_BCast_BASE[[#This Row],[Programme Type]]="Digital"),"Y","N")</f>
        <v>Y</v>
      </c>
      <c r="M342" s="132" t="str">
        <f>IF(ISNUMBER(SEARCH("Pan ",Historic_BCast_BASE[[#This Row],[Broadcast Market]]))=TRUE,"Y","N")</f>
        <v>N</v>
      </c>
      <c r="N342" s="132" t="str">
        <f>VLOOKUP(CONCATENATE(Historic_BCast_BASE[[#This Row],[Broadcast Market]],Historic_BCast_BASE[[#This Row],[Broadcaster]]),Table1[[CC]:[Pay TV vs. Free-to-Air]],3,FALSE)</f>
        <v>Digital</v>
      </c>
      <c r="O342" s="133" t="str">
        <f>VLOOKUP(CONCATENATE(Historic_BCast_BASE[[#This Row],[Broadcast Market]],Historic_BCast_BASE[[#This Row],[Broadcaster]]),Table1[[CC]:[Pay TV vs. Free-to-Air]],2,FALSE)</f>
        <v>-</v>
      </c>
      <c r="P342" s="235">
        <f>Historic_BCast_BASE[[#This Row],[Rolex EXP]]*86400</f>
        <v>29941.544168618679</v>
      </c>
      <c r="Q342" s="19" t="str">
        <f>IF(Historic_BCast_BASE[[#This Row],[Dashboard Rated?]]="No","N","Y")</f>
        <v>Y</v>
      </c>
      <c r="S342" s="22"/>
    </row>
    <row r="343" spans="1:19" x14ac:dyDescent="0.25">
      <c r="A343" s="72" t="s">
        <v>1869</v>
      </c>
      <c r="B343" t="s">
        <v>45</v>
      </c>
      <c r="C343" t="s">
        <v>45</v>
      </c>
      <c r="D343" t="s">
        <v>45</v>
      </c>
      <c r="E343" s="102">
        <v>2.5350925925925925</v>
      </c>
      <c r="F343" s="101">
        <v>6387.0249723060115</v>
      </c>
      <c r="G343" s="102">
        <v>0.23658934051131941</v>
      </c>
      <c r="H343" s="101">
        <v>1352.2181887663626</v>
      </c>
      <c r="I343" s="101">
        <v>398.99457982716422</v>
      </c>
      <c r="J343" s="101"/>
      <c r="K343" t="str">
        <f>VLOOKUP(Historic_BCast_BASE[[#This Row],[Broadcast Market]],Continent_Look_Up[],2,FALSE)</f>
        <v>Digital</v>
      </c>
      <c r="L343" s="132" t="str">
        <f>IF(OR(Historic_BCast_BASE[[#This Row],[Broadcast Continent]]="Digital",Historic_BCast_BASE[[#This Row],[Programme Type]]="Digital"),"Y","N")</f>
        <v>Y</v>
      </c>
      <c r="M343" s="132" t="str">
        <f>IF(ISNUMBER(SEARCH("Pan ",Historic_BCast_BASE[[#This Row],[Broadcast Market]]))=TRUE,"Y","N")</f>
        <v>N</v>
      </c>
      <c r="N343" s="132" t="str">
        <f>VLOOKUP(CONCATENATE(Historic_BCast_BASE[[#This Row],[Broadcast Market]],Historic_BCast_BASE[[#This Row],[Broadcaster]]),Table1[[CC]:[Pay TV vs. Free-to-Air]],3,FALSE)</f>
        <v>Digital</v>
      </c>
      <c r="O343" s="133" t="str">
        <f>VLOOKUP(CONCATENATE(Historic_BCast_BASE[[#This Row],[Broadcast Market]],Historic_BCast_BASE[[#This Row],[Broadcaster]]),Table1[[CC]:[Pay TV vs. Free-to-Air]],2,FALSE)</f>
        <v>-</v>
      </c>
      <c r="P343" s="235">
        <f>Historic_BCast_BASE[[#This Row],[Rolex EXP]]*86400</f>
        <v>20441.319020177998</v>
      </c>
      <c r="Q343" s="19" t="str">
        <f>IF(Historic_BCast_BASE[[#This Row],[Dashboard Rated?]]="No","N","Y")</f>
        <v>Y</v>
      </c>
      <c r="S343" s="22"/>
    </row>
    <row r="344" spans="1:19" x14ac:dyDescent="0.25">
      <c r="A344" s="72" t="s">
        <v>1869</v>
      </c>
      <c r="B344" t="s">
        <v>45</v>
      </c>
      <c r="C344" t="s">
        <v>45</v>
      </c>
      <c r="D344" t="s">
        <v>45</v>
      </c>
      <c r="E344" s="102">
        <v>0.38715277777777773</v>
      </c>
      <c r="F344" s="101">
        <v>28.541177029729219</v>
      </c>
      <c r="G344" s="102">
        <v>3.6989002172733626E-2</v>
      </c>
      <c r="H344" s="101">
        <v>4.1501007290992842</v>
      </c>
      <c r="I344" s="101">
        <v>1.1922461185103324</v>
      </c>
      <c r="J344" s="101"/>
      <c r="K344" t="str">
        <f>VLOOKUP(Historic_BCast_BASE[[#This Row],[Broadcast Market]],Continent_Look_Up[],2,FALSE)</f>
        <v>Digital</v>
      </c>
      <c r="L344" s="132" t="str">
        <f>IF(OR(Historic_BCast_BASE[[#This Row],[Broadcast Continent]]="Digital",Historic_BCast_BASE[[#This Row],[Programme Type]]="Digital"),"Y","N")</f>
        <v>Y</v>
      </c>
      <c r="M344" s="132" t="str">
        <f>IF(ISNUMBER(SEARCH("Pan ",Historic_BCast_BASE[[#This Row],[Broadcast Market]]))=TRUE,"Y","N")</f>
        <v>N</v>
      </c>
      <c r="N344" s="132" t="str">
        <f>VLOOKUP(CONCATENATE(Historic_BCast_BASE[[#This Row],[Broadcast Market]],Historic_BCast_BASE[[#This Row],[Broadcaster]]),Table1[[CC]:[Pay TV vs. Free-to-Air]],3,FALSE)</f>
        <v>Digital</v>
      </c>
      <c r="O344" s="133" t="str">
        <f>VLOOKUP(CONCATENATE(Historic_BCast_BASE[[#This Row],[Broadcast Market]],Historic_BCast_BASE[[#This Row],[Broadcaster]]),Table1[[CC]:[Pay TV vs. Free-to-Air]],2,FALSE)</f>
        <v>-</v>
      </c>
      <c r="P344" s="235">
        <f>Historic_BCast_BASE[[#This Row],[Rolex EXP]]*86400</f>
        <v>3195.8497877241853</v>
      </c>
      <c r="Q344" s="19" t="str">
        <f>IF(Historic_BCast_BASE[[#This Row],[Dashboard Rated?]]="No","N","Y")</f>
        <v>Y</v>
      </c>
      <c r="S344" s="22"/>
    </row>
    <row r="345" spans="1:19" x14ac:dyDescent="0.25">
      <c r="A345" s="72" t="s">
        <v>1869</v>
      </c>
      <c r="B345" t="s">
        <v>45</v>
      </c>
      <c r="C345" t="s">
        <v>45</v>
      </c>
      <c r="D345" t="s">
        <v>45</v>
      </c>
      <c r="E345" s="102">
        <v>4.4212037037037044</v>
      </c>
      <c r="F345" s="101">
        <v>35659.005886713428</v>
      </c>
      <c r="G345" s="102">
        <v>0.40777913336932342</v>
      </c>
      <c r="H345" s="101">
        <v>3979.0281335968634</v>
      </c>
      <c r="I345" s="101">
        <v>1173.5283108786507</v>
      </c>
      <c r="J345" s="101"/>
      <c r="K345" t="str">
        <f>VLOOKUP(Historic_BCast_BASE[[#This Row],[Broadcast Market]],Continent_Look_Up[],2,FALSE)</f>
        <v>Digital</v>
      </c>
      <c r="L345" s="132" t="str">
        <f>IF(OR(Historic_BCast_BASE[[#This Row],[Broadcast Continent]]="Digital",Historic_BCast_BASE[[#This Row],[Programme Type]]="Digital"),"Y","N")</f>
        <v>Y</v>
      </c>
      <c r="M345" s="132" t="str">
        <f>IF(ISNUMBER(SEARCH("Pan ",Historic_BCast_BASE[[#This Row],[Broadcast Market]]))=TRUE,"Y","N")</f>
        <v>N</v>
      </c>
      <c r="N345" s="132" t="str">
        <f>VLOOKUP(CONCATENATE(Historic_BCast_BASE[[#This Row],[Broadcast Market]],Historic_BCast_BASE[[#This Row],[Broadcaster]]),Table1[[CC]:[Pay TV vs. Free-to-Air]],3,FALSE)</f>
        <v>Digital</v>
      </c>
      <c r="O345" s="133" t="str">
        <f>VLOOKUP(CONCATENATE(Historic_BCast_BASE[[#This Row],[Broadcast Market]],Historic_BCast_BASE[[#This Row],[Broadcaster]]),Table1[[CC]:[Pay TV vs. Free-to-Air]],2,FALSE)</f>
        <v>-</v>
      </c>
      <c r="P345" s="235">
        <f>Historic_BCast_BASE[[#This Row],[Rolex EXP]]*86400</f>
        <v>35232.117123109543</v>
      </c>
      <c r="Q345" s="19" t="str">
        <f>IF(Historic_BCast_BASE[[#This Row],[Dashboard Rated?]]="No","N","Y")</f>
        <v>Y</v>
      </c>
      <c r="S345" s="22"/>
    </row>
    <row r="346" spans="1:19" x14ac:dyDescent="0.25">
      <c r="A346" s="72" t="s">
        <v>1869</v>
      </c>
      <c r="B346" t="s">
        <v>45</v>
      </c>
      <c r="C346" t="s">
        <v>45</v>
      </c>
      <c r="D346" t="s">
        <v>45</v>
      </c>
      <c r="E346" s="102">
        <v>0.28082175925925928</v>
      </c>
      <c r="F346" s="101">
        <v>199.7882392081047</v>
      </c>
      <c r="G346" s="102">
        <v>2.683001972248239E-2</v>
      </c>
      <c r="H346" s="101">
        <v>57.674298640072791</v>
      </c>
      <c r="I346" s="101">
        <v>16.568744514872591</v>
      </c>
      <c r="J346" s="101"/>
      <c r="K346" t="str">
        <f>VLOOKUP(Historic_BCast_BASE[[#This Row],[Broadcast Market]],Continent_Look_Up[],2,FALSE)</f>
        <v>Digital</v>
      </c>
      <c r="L346" s="132" t="str">
        <f>IF(OR(Historic_BCast_BASE[[#This Row],[Broadcast Continent]]="Digital",Historic_BCast_BASE[[#This Row],[Programme Type]]="Digital"),"Y","N")</f>
        <v>Y</v>
      </c>
      <c r="M346" s="132" t="str">
        <f>IF(ISNUMBER(SEARCH("Pan ",Historic_BCast_BASE[[#This Row],[Broadcast Market]]))=TRUE,"Y","N")</f>
        <v>N</v>
      </c>
      <c r="N346" s="132" t="str">
        <f>VLOOKUP(CONCATENATE(Historic_BCast_BASE[[#This Row],[Broadcast Market]],Historic_BCast_BASE[[#This Row],[Broadcaster]]),Table1[[CC]:[Pay TV vs. Free-to-Air]],3,FALSE)</f>
        <v>Digital</v>
      </c>
      <c r="O346" s="133" t="str">
        <f>VLOOKUP(CONCATENATE(Historic_BCast_BASE[[#This Row],[Broadcast Market]],Historic_BCast_BASE[[#This Row],[Broadcaster]]),Table1[[CC]:[Pay TV vs. Free-to-Air]],2,FALSE)</f>
        <v>-</v>
      </c>
      <c r="P346" s="235">
        <f>Historic_BCast_BASE[[#This Row],[Rolex EXP]]*86400</f>
        <v>2318.1137040224785</v>
      </c>
      <c r="Q346" s="19" t="str">
        <f>IF(Historic_BCast_BASE[[#This Row],[Dashboard Rated?]]="No","N","Y")</f>
        <v>Y</v>
      </c>
      <c r="S346" s="22"/>
    </row>
    <row r="347" spans="1:19" x14ac:dyDescent="0.25">
      <c r="A347" s="72" t="s">
        <v>1869</v>
      </c>
      <c r="B347" t="s">
        <v>45</v>
      </c>
      <c r="C347" t="s">
        <v>45</v>
      </c>
      <c r="D347" t="s">
        <v>45</v>
      </c>
      <c r="E347" s="102">
        <v>3.4828703703703705</v>
      </c>
      <c r="F347" s="101">
        <v>18929.61425531669</v>
      </c>
      <c r="G347" s="102">
        <v>0.34988038365246493</v>
      </c>
      <c r="H347" s="101">
        <v>3183.2721686873006</v>
      </c>
      <c r="I347" s="101">
        <v>920.98441921300059</v>
      </c>
      <c r="J347" s="101"/>
      <c r="K347" t="str">
        <f>VLOOKUP(Historic_BCast_BASE[[#This Row],[Broadcast Market]],Continent_Look_Up[],2,FALSE)</f>
        <v>Digital</v>
      </c>
      <c r="L347" s="132" t="str">
        <f>IF(OR(Historic_BCast_BASE[[#This Row],[Broadcast Continent]]="Digital",Historic_BCast_BASE[[#This Row],[Programme Type]]="Digital"),"Y","N")</f>
        <v>Y</v>
      </c>
      <c r="M347" s="132" t="str">
        <f>IF(ISNUMBER(SEARCH("Pan ",Historic_BCast_BASE[[#This Row],[Broadcast Market]]))=TRUE,"Y","N")</f>
        <v>N</v>
      </c>
      <c r="N347" s="132" t="str">
        <f>VLOOKUP(CONCATENATE(Historic_BCast_BASE[[#This Row],[Broadcast Market]],Historic_BCast_BASE[[#This Row],[Broadcaster]]),Table1[[CC]:[Pay TV vs. Free-to-Air]],3,FALSE)</f>
        <v>Digital</v>
      </c>
      <c r="O347" s="133" t="str">
        <f>VLOOKUP(CONCATENATE(Historic_BCast_BASE[[#This Row],[Broadcast Market]],Historic_BCast_BASE[[#This Row],[Broadcaster]]),Table1[[CC]:[Pay TV vs. Free-to-Air]],2,FALSE)</f>
        <v>-</v>
      </c>
      <c r="P347" s="235">
        <f>Historic_BCast_BASE[[#This Row],[Rolex EXP]]*86400</f>
        <v>30229.66514757297</v>
      </c>
      <c r="Q347" s="19" t="str">
        <f>IF(Historic_BCast_BASE[[#This Row],[Dashboard Rated?]]="No","N","Y")</f>
        <v>Y</v>
      </c>
      <c r="S347" s="22"/>
    </row>
    <row r="348" spans="1:19" x14ac:dyDescent="0.25">
      <c r="A348" s="72" t="s">
        <v>1869</v>
      </c>
      <c r="B348" t="s">
        <v>45</v>
      </c>
      <c r="C348" t="s">
        <v>45</v>
      </c>
      <c r="D348" t="s">
        <v>45</v>
      </c>
      <c r="E348" s="102">
        <v>0.72511574074074081</v>
      </c>
      <c r="F348" s="101">
        <v>218.81569056125815</v>
      </c>
      <c r="G348" s="102">
        <v>6.9278355339962974E-2</v>
      </c>
      <c r="H348" s="101">
        <v>64.786124972735578</v>
      </c>
      <c r="I348" s="101">
        <v>18.611838862242092</v>
      </c>
      <c r="J348" s="101"/>
      <c r="K348" t="str">
        <f>VLOOKUP(Historic_BCast_BASE[[#This Row],[Broadcast Market]],Continent_Look_Up[],2,FALSE)</f>
        <v>Digital</v>
      </c>
      <c r="L348" s="132" t="str">
        <f>IF(OR(Historic_BCast_BASE[[#This Row],[Broadcast Continent]]="Digital",Historic_BCast_BASE[[#This Row],[Programme Type]]="Digital"),"Y","N")</f>
        <v>Y</v>
      </c>
      <c r="M348" s="132" t="str">
        <f>IF(ISNUMBER(SEARCH("Pan ",Historic_BCast_BASE[[#This Row],[Broadcast Market]]))=TRUE,"Y","N")</f>
        <v>N</v>
      </c>
      <c r="N348" s="132" t="str">
        <f>VLOOKUP(CONCATENATE(Historic_BCast_BASE[[#This Row],[Broadcast Market]],Historic_BCast_BASE[[#This Row],[Broadcaster]]),Table1[[CC]:[Pay TV vs. Free-to-Air]],3,FALSE)</f>
        <v>Digital</v>
      </c>
      <c r="O348" s="133" t="str">
        <f>VLOOKUP(CONCATENATE(Historic_BCast_BASE[[#This Row],[Broadcast Market]],Historic_BCast_BASE[[#This Row],[Broadcaster]]),Table1[[CC]:[Pay TV vs. Free-to-Air]],2,FALSE)</f>
        <v>-</v>
      </c>
      <c r="P348" s="235">
        <f>Historic_BCast_BASE[[#This Row],[Rolex EXP]]*86400</f>
        <v>5985.6499013728007</v>
      </c>
      <c r="Q348" s="19" t="str">
        <f>IF(Historic_BCast_BASE[[#This Row],[Dashboard Rated?]]="No","N","Y")</f>
        <v>Y</v>
      </c>
      <c r="S348" s="22"/>
    </row>
    <row r="349" spans="1:19" x14ac:dyDescent="0.25">
      <c r="A349" s="72" t="s">
        <v>1869</v>
      </c>
      <c r="B349" t="s">
        <v>45</v>
      </c>
      <c r="C349" t="s">
        <v>45</v>
      </c>
      <c r="D349" t="s">
        <v>45</v>
      </c>
      <c r="E349" s="102">
        <v>1.2777777777777779</v>
      </c>
      <c r="F349" s="101">
        <v>7374.5885581450857</v>
      </c>
      <c r="G349" s="102">
        <v>0.11208162809662502</v>
      </c>
      <c r="H349" s="101">
        <v>839.01248714476333</v>
      </c>
      <c r="I349" s="101">
        <v>246.02993625395391</v>
      </c>
      <c r="J349" s="101"/>
      <c r="K349" t="str">
        <f>VLOOKUP(Historic_BCast_BASE[[#This Row],[Broadcast Market]],Continent_Look_Up[],2,FALSE)</f>
        <v>Digital</v>
      </c>
      <c r="L349" s="132" t="str">
        <f>IF(OR(Historic_BCast_BASE[[#This Row],[Broadcast Continent]]="Digital",Historic_BCast_BASE[[#This Row],[Programme Type]]="Digital"),"Y","N")</f>
        <v>Y</v>
      </c>
      <c r="M349" s="132" t="str">
        <f>IF(ISNUMBER(SEARCH("Pan ",Historic_BCast_BASE[[#This Row],[Broadcast Market]]))=TRUE,"Y","N")</f>
        <v>N</v>
      </c>
      <c r="N349" s="132" t="str">
        <f>VLOOKUP(CONCATENATE(Historic_BCast_BASE[[#This Row],[Broadcast Market]],Historic_BCast_BASE[[#This Row],[Broadcaster]]),Table1[[CC]:[Pay TV vs. Free-to-Air]],3,FALSE)</f>
        <v>Digital</v>
      </c>
      <c r="O349" s="133" t="str">
        <f>VLOOKUP(CONCATENATE(Historic_BCast_BASE[[#This Row],[Broadcast Market]],Historic_BCast_BASE[[#This Row],[Broadcaster]]),Table1[[CC]:[Pay TV vs. Free-to-Air]],2,FALSE)</f>
        <v>-</v>
      </c>
      <c r="P349" s="235">
        <f>Historic_BCast_BASE[[#This Row],[Rolex EXP]]*86400</f>
        <v>9683.8526675484009</v>
      </c>
      <c r="Q349" s="19" t="str">
        <f>IF(Historic_BCast_BASE[[#This Row],[Dashboard Rated?]]="No","N","Y")</f>
        <v>Y</v>
      </c>
      <c r="S349" s="22"/>
    </row>
    <row r="350" spans="1:19" x14ac:dyDescent="0.25">
      <c r="A350" s="72" t="s">
        <v>1869</v>
      </c>
      <c r="B350" t="s">
        <v>45</v>
      </c>
      <c r="C350" t="s">
        <v>45</v>
      </c>
      <c r="D350" t="s">
        <v>45</v>
      </c>
      <c r="E350" s="102">
        <v>6.166666666666667</v>
      </c>
      <c r="F350" s="101">
        <v>61692.641919979098</v>
      </c>
      <c r="G350" s="102">
        <v>0.57144236945972204</v>
      </c>
      <c r="H350" s="101">
        <v>17581.350383632955</v>
      </c>
      <c r="I350" s="101">
        <v>5146.8119626371499</v>
      </c>
      <c r="J350" s="101"/>
      <c r="K350" t="str">
        <f>VLOOKUP(Historic_BCast_BASE[[#This Row],[Broadcast Market]],Continent_Look_Up[],2,FALSE)</f>
        <v>Digital</v>
      </c>
      <c r="L350" s="132" t="str">
        <f>IF(OR(Historic_BCast_BASE[[#This Row],[Broadcast Continent]]="Digital",Historic_BCast_BASE[[#This Row],[Programme Type]]="Digital"),"Y","N")</f>
        <v>Y</v>
      </c>
      <c r="M350" s="132" t="str">
        <f>IF(ISNUMBER(SEARCH("Pan ",Historic_BCast_BASE[[#This Row],[Broadcast Market]]))=TRUE,"Y","N")</f>
        <v>N</v>
      </c>
      <c r="N350" s="132" t="str">
        <f>VLOOKUP(CONCATENATE(Historic_BCast_BASE[[#This Row],[Broadcast Market]],Historic_BCast_BASE[[#This Row],[Broadcaster]]),Table1[[CC]:[Pay TV vs. Free-to-Air]],3,FALSE)</f>
        <v>Digital</v>
      </c>
      <c r="O350" s="133" t="str">
        <f>VLOOKUP(CONCATENATE(Historic_BCast_BASE[[#This Row],[Broadcast Market]],Historic_BCast_BASE[[#This Row],[Broadcaster]]),Table1[[CC]:[Pay TV vs. Free-to-Air]],2,FALSE)</f>
        <v>-</v>
      </c>
      <c r="P350" s="235">
        <f>Historic_BCast_BASE[[#This Row],[Rolex EXP]]*86400</f>
        <v>49372.620721319981</v>
      </c>
      <c r="Q350" s="19" t="str">
        <f>IF(Historic_BCast_BASE[[#This Row],[Dashboard Rated?]]="No","N","Y")</f>
        <v>Y</v>
      </c>
      <c r="S350" s="22"/>
    </row>
    <row r="351" spans="1:19" x14ac:dyDescent="0.25">
      <c r="A351" s="72" t="s">
        <v>1869</v>
      </c>
      <c r="B351" t="s">
        <v>45</v>
      </c>
      <c r="C351" t="s">
        <v>45</v>
      </c>
      <c r="D351" t="s">
        <v>45</v>
      </c>
      <c r="E351" s="102">
        <v>0.36805555555555558</v>
      </c>
      <c r="F351" s="101">
        <v>1172.151072297168</v>
      </c>
      <c r="G351" s="102">
        <v>2.751772959070807E-2</v>
      </c>
      <c r="H351" s="101">
        <v>213.97300250649002</v>
      </c>
      <c r="I351" s="101">
        <v>59.901356839496358</v>
      </c>
      <c r="J351" s="101"/>
      <c r="K351" t="str">
        <f>VLOOKUP(Historic_BCast_BASE[[#This Row],[Broadcast Market]],Continent_Look_Up[],2,FALSE)</f>
        <v>Digital</v>
      </c>
      <c r="L351" s="132" t="str">
        <f>IF(OR(Historic_BCast_BASE[[#This Row],[Broadcast Continent]]="Digital",Historic_BCast_BASE[[#This Row],[Programme Type]]="Digital"),"Y","N")</f>
        <v>Y</v>
      </c>
      <c r="M351" s="132" t="str">
        <f>IF(ISNUMBER(SEARCH("Pan ",Historic_BCast_BASE[[#This Row],[Broadcast Market]]))=TRUE,"Y","N")</f>
        <v>N</v>
      </c>
      <c r="N351" s="132" t="str">
        <f>VLOOKUP(CONCATENATE(Historic_BCast_BASE[[#This Row],[Broadcast Market]],Historic_BCast_BASE[[#This Row],[Broadcaster]]),Table1[[CC]:[Pay TV vs. Free-to-Air]],3,FALSE)</f>
        <v>Digital</v>
      </c>
      <c r="O351" s="133" t="str">
        <f>VLOOKUP(CONCATENATE(Historic_BCast_BASE[[#This Row],[Broadcast Market]],Historic_BCast_BASE[[#This Row],[Broadcaster]]),Table1[[CC]:[Pay TV vs. Free-to-Air]],2,FALSE)</f>
        <v>-</v>
      </c>
      <c r="P351" s="235">
        <f>Historic_BCast_BASE[[#This Row],[Rolex EXP]]*86400</f>
        <v>2377.5318366371771</v>
      </c>
      <c r="Q351" s="19" t="str">
        <f>IF(Historic_BCast_BASE[[#This Row],[Dashboard Rated?]]="No","N","Y")</f>
        <v>Y</v>
      </c>
      <c r="S351" s="22"/>
    </row>
    <row r="352" spans="1:19" x14ac:dyDescent="0.25">
      <c r="A352" s="72" t="s">
        <v>1869</v>
      </c>
      <c r="B352" t="s">
        <v>45</v>
      </c>
      <c r="C352" t="s">
        <v>45</v>
      </c>
      <c r="D352" t="s">
        <v>45</v>
      </c>
      <c r="E352" s="102">
        <v>1.7430555555555556</v>
      </c>
      <c r="F352" s="101">
        <v>9725.3997602266427</v>
      </c>
      <c r="G352" s="102">
        <v>0.15840365607488668</v>
      </c>
      <c r="H352" s="101">
        <v>1375.6230429952302</v>
      </c>
      <c r="I352" s="101">
        <v>396.26167002034049</v>
      </c>
      <c r="J352" s="101"/>
      <c r="K352" t="str">
        <f>VLOOKUP(Historic_BCast_BASE[[#This Row],[Broadcast Market]],Continent_Look_Up[],2,FALSE)</f>
        <v>Digital</v>
      </c>
      <c r="L352" s="132" t="str">
        <f>IF(OR(Historic_BCast_BASE[[#This Row],[Broadcast Continent]]="Digital",Historic_BCast_BASE[[#This Row],[Programme Type]]="Digital"),"Y","N")</f>
        <v>Y</v>
      </c>
      <c r="M352" s="132" t="str">
        <f>IF(ISNUMBER(SEARCH("Pan ",Historic_BCast_BASE[[#This Row],[Broadcast Market]]))=TRUE,"Y","N")</f>
        <v>N</v>
      </c>
      <c r="N352" s="132" t="str">
        <f>VLOOKUP(CONCATENATE(Historic_BCast_BASE[[#This Row],[Broadcast Market]],Historic_BCast_BASE[[#This Row],[Broadcaster]]),Table1[[CC]:[Pay TV vs. Free-to-Air]],3,FALSE)</f>
        <v>Digital</v>
      </c>
      <c r="O352" s="133" t="str">
        <f>VLOOKUP(CONCATENATE(Historic_BCast_BASE[[#This Row],[Broadcast Market]],Historic_BCast_BASE[[#This Row],[Broadcaster]]),Table1[[CC]:[Pay TV vs. Free-to-Air]],2,FALSE)</f>
        <v>-</v>
      </c>
      <c r="P352" s="235">
        <f>Historic_BCast_BASE[[#This Row],[Rolex EXP]]*86400</f>
        <v>13686.07588487021</v>
      </c>
      <c r="Q352" s="19" t="str">
        <f>IF(Historic_BCast_BASE[[#This Row],[Dashboard Rated?]]="No","N","Y")</f>
        <v>Y</v>
      </c>
      <c r="S352" s="22"/>
    </row>
    <row r="353" spans="1:19" x14ac:dyDescent="0.25">
      <c r="A353" s="72" t="s">
        <v>1869</v>
      </c>
      <c r="B353" t="s">
        <v>45</v>
      </c>
      <c r="C353" t="s">
        <v>45</v>
      </c>
      <c r="D353" t="s">
        <v>45</v>
      </c>
      <c r="E353" s="102">
        <v>4.3819444444444446</v>
      </c>
      <c r="F353" s="101">
        <v>57074.48184009378</v>
      </c>
      <c r="G353" s="102">
        <v>0.41524289813017462</v>
      </c>
      <c r="H353" s="101">
        <v>17099.53175585797</v>
      </c>
      <c r="I353" s="101">
        <v>4915.1949436655259</v>
      </c>
      <c r="J353" s="101"/>
      <c r="K353" t="str">
        <f>VLOOKUP(Historic_BCast_BASE[[#This Row],[Broadcast Market]],Continent_Look_Up[],2,FALSE)</f>
        <v>Digital</v>
      </c>
      <c r="L353" s="132" t="str">
        <f>IF(OR(Historic_BCast_BASE[[#This Row],[Broadcast Continent]]="Digital",Historic_BCast_BASE[[#This Row],[Programme Type]]="Digital"),"Y","N")</f>
        <v>Y</v>
      </c>
      <c r="M353" s="132" t="str">
        <f>IF(ISNUMBER(SEARCH("Pan ",Historic_BCast_BASE[[#This Row],[Broadcast Market]]))=TRUE,"Y","N")</f>
        <v>N</v>
      </c>
      <c r="N353" s="132" t="str">
        <f>VLOOKUP(CONCATENATE(Historic_BCast_BASE[[#This Row],[Broadcast Market]],Historic_BCast_BASE[[#This Row],[Broadcaster]]),Table1[[CC]:[Pay TV vs. Free-to-Air]],3,FALSE)</f>
        <v>Digital</v>
      </c>
      <c r="O353" s="133" t="str">
        <f>VLOOKUP(CONCATENATE(Historic_BCast_BASE[[#This Row],[Broadcast Market]],Historic_BCast_BASE[[#This Row],[Broadcaster]]),Table1[[CC]:[Pay TV vs. Free-to-Air]],2,FALSE)</f>
        <v>-</v>
      </c>
      <c r="P353" s="235">
        <f>Historic_BCast_BASE[[#This Row],[Rolex EXP]]*86400</f>
        <v>35876.986398447087</v>
      </c>
      <c r="Q353" s="19" t="str">
        <f>IF(Historic_BCast_BASE[[#This Row],[Dashboard Rated?]]="No","N","Y")</f>
        <v>Y</v>
      </c>
      <c r="S353" s="22"/>
    </row>
    <row r="354" spans="1:19" x14ac:dyDescent="0.25">
      <c r="A354" s="72" t="s">
        <v>1869</v>
      </c>
      <c r="B354" t="s">
        <v>45</v>
      </c>
      <c r="C354" t="s">
        <v>45</v>
      </c>
      <c r="D354" t="s">
        <v>45</v>
      </c>
      <c r="E354" s="102">
        <v>1.0666666666666667</v>
      </c>
      <c r="F354" s="101">
        <v>4772.0937998913296</v>
      </c>
      <c r="G354" s="102">
        <v>9.0923886748734375E-2</v>
      </c>
      <c r="H354" s="101">
        <v>908.96551365923631</v>
      </c>
      <c r="I354" s="101">
        <v>259.65475246167227</v>
      </c>
      <c r="J354" s="101"/>
      <c r="K354" t="str">
        <f>VLOOKUP(Historic_BCast_BASE[[#This Row],[Broadcast Market]],Continent_Look_Up[],2,FALSE)</f>
        <v>Digital</v>
      </c>
      <c r="L354" s="132" t="str">
        <f>IF(OR(Historic_BCast_BASE[[#This Row],[Broadcast Continent]]="Digital",Historic_BCast_BASE[[#This Row],[Programme Type]]="Digital"),"Y","N")</f>
        <v>Y</v>
      </c>
      <c r="M354" s="132" t="str">
        <f>IF(ISNUMBER(SEARCH("Pan ",Historic_BCast_BASE[[#This Row],[Broadcast Market]]))=TRUE,"Y","N")</f>
        <v>N</v>
      </c>
      <c r="N354" s="132" t="str">
        <f>VLOOKUP(CONCATENATE(Historic_BCast_BASE[[#This Row],[Broadcast Market]],Historic_BCast_BASE[[#This Row],[Broadcaster]]),Table1[[CC]:[Pay TV vs. Free-to-Air]],3,FALSE)</f>
        <v>Digital</v>
      </c>
      <c r="O354" s="133" t="str">
        <f>VLOOKUP(CONCATENATE(Historic_BCast_BASE[[#This Row],[Broadcast Market]],Historic_BCast_BASE[[#This Row],[Broadcaster]]),Table1[[CC]:[Pay TV vs. Free-to-Air]],2,FALSE)</f>
        <v>-</v>
      </c>
      <c r="P354" s="235">
        <f>Historic_BCast_BASE[[#This Row],[Rolex EXP]]*86400</f>
        <v>7855.82381509065</v>
      </c>
      <c r="Q354" s="19" t="str">
        <f>IF(Historic_BCast_BASE[[#This Row],[Dashboard Rated?]]="No","N","Y")</f>
        <v>Y</v>
      </c>
      <c r="S354" s="22"/>
    </row>
    <row r="355" spans="1:19" x14ac:dyDescent="0.25">
      <c r="A355" s="72" t="s">
        <v>1869</v>
      </c>
      <c r="B355" t="s">
        <v>45</v>
      </c>
      <c r="C355" t="s">
        <v>45</v>
      </c>
      <c r="D355" t="s">
        <v>45</v>
      </c>
      <c r="E355" s="102">
        <v>2.0504976851851855</v>
      </c>
      <c r="F355" s="101">
        <v>827181.69784007664</v>
      </c>
      <c r="G355" s="102">
        <v>0.19191589499637898</v>
      </c>
      <c r="H355" s="101">
        <v>61542.570208903941</v>
      </c>
      <c r="I355" s="101">
        <v>18013.319256162755</v>
      </c>
      <c r="J355" s="101"/>
      <c r="K355" t="str">
        <f>VLOOKUP(Historic_BCast_BASE[[#This Row],[Broadcast Market]],Continent_Look_Up[],2,FALSE)</f>
        <v>Digital</v>
      </c>
      <c r="L355" s="132" t="str">
        <f>IF(OR(Historic_BCast_BASE[[#This Row],[Broadcast Continent]]="Digital",Historic_BCast_BASE[[#This Row],[Programme Type]]="Digital"),"Y","N")</f>
        <v>Y</v>
      </c>
      <c r="M355" s="132" t="str">
        <f>IF(ISNUMBER(SEARCH("Pan ",Historic_BCast_BASE[[#This Row],[Broadcast Market]]))=TRUE,"Y","N")</f>
        <v>N</v>
      </c>
      <c r="N355" s="132" t="str">
        <f>VLOOKUP(CONCATENATE(Historic_BCast_BASE[[#This Row],[Broadcast Market]],Historic_BCast_BASE[[#This Row],[Broadcaster]]),Table1[[CC]:[Pay TV vs. Free-to-Air]],3,FALSE)</f>
        <v>Digital</v>
      </c>
      <c r="O355" s="133" t="str">
        <f>VLOOKUP(CONCATENATE(Historic_BCast_BASE[[#This Row],[Broadcast Market]],Historic_BCast_BASE[[#This Row],[Broadcaster]]),Table1[[CC]:[Pay TV vs. Free-to-Air]],2,FALSE)</f>
        <v>-</v>
      </c>
      <c r="P355" s="235">
        <f>Historic_BCast_BASE[[#This Row],[Rolex EXP]]*86400</f>
        <v>16581.533327687142</v>
      </c>
      <c r="Q355" s="19" t="str">
        <f>IF(Historic_BCast_BASE[[#This Row],[Dashboard Rated?]]="No","N","Y")</f>
        <v>Y</v>
      </c>
      <c r="S355" s="22"/>
    </row>
    <row r="356" spans="1:19" x14ac:dyDescent="0.25">
      <c r="A356" s="72" t="s">
        <v>1869</v>
      </c>
      <c r="B356" t="s">
        <v>45</v>
      </c>
      <c r="C356" t="s">
        <v>45</v>
      </c>
      <c r="D356" t="s">
        <v>45</v>
      </c>
      <c r="E356" s="102">
        <v>5.1735185185185184</v>
      </c>
      <c r="F356" s="101">
        <v>1636162.5060343333</v>
      </c>
      <c r="G356" s="102">
        <v>0.49315911155091924</v>
      </c>
      <c r="H356" s="101">
        <v>507924.38753395289</v>
      </c>
      <c r="I356" s="101">
        <v>154348.05543922132</v>
      </c>
      <c r="J356" s="160"/>
      <c r="K356" t="str">
        <f>VLOOKUP(Historic_BCast_BASE[[#This Row],[Broadcast Market]],Continent_Look_Up[],2,FALSE)</f>
        <v>Digital</v>
      </c>
      <c r="L356" s="132" t="str">
        <f>IF(OR(Historic_BCast_BASE[[#This Row],[Broadcast Continent]]="Digital",Historic_BCast_BASE[[#This Row],[Programme Type]]="Digital"),"Y","N")</f>
        <v>Y</v>
      </c>
      <c r="M356" s="132" t="str">
        <f>IF(ISNUMBER(SEARCH("Pan ",Historic_BCast_BASE[[#This Row],[Broadcast Market]]))=TRUE,"Y","N")</f>
        <v>N</v>
      </c>
      <c r="N356" s="132" t="str">
        <f>VLOOKUP(CONCATENATE(Historic_BCast_BASE[[#This Row],[Broadcast Market]],Historic_BCast_BASE[[#This Row],[Broadcaster]]),Table1[[CC]:[Pay TV vs. Free-to-Air]],3,FALSE)</f>
        <v>Digital</v>
      </c>
      <c r="O356" s="133" t="str">
        <f>VLOOKUP(CONCATENATE(Historic_BCast_BASE[[#This Row],[Broadcast Market]],Historic_BCast_BASE[[#This Row],[Broadcaster]]),Table1[[CC]:[Pay TV vs. Free-to-Air]],2,FALSE)</f>
        <v>-</v>
      </c>
      <c r="P356" s="235">
        <f>Historic_BCast_BASE[[#This Row],[Rolex EXP]]*86400</f>
        <v>42608.947237999419</v>
      </c>
      <c r="Q356" s="19" t="str">
        <f>IF(Historic_BCast_BASE[[#This Row],[Dashboard Rated?]]="No","N","Y")</f>
        <v>Y</v>
      </c>
      <c r="S356" s="22"/>
    </row>
    <row r="357" spans="1:19" x14ac:dyDescent="0.25">
      <c r="A357" s="72" t="s">
        <v>1869</v>
      </c>
      <c r="B357" t="s">
        <v>45</v>
      </c>
      <c r="C357" t="s">
        <v>45</v>
      </c>
      <c r="D357" t="s">
        <v>45</v>
      </c>
      <c r="E357" s="102">
        <v>1.0440856481481482</v>
      </c>
      <c r="F357" s="101">
        <v>72467.904603300281</v>
      </c>
      <c r="G357" s="102">
        <v>7.3281004260454363E-2</v>
      </c>
      <c r="H357" s="101">
        <v>12873.383541973166</v>
      </c>
      <c r="I357" s="101">
        <v>3867.7305597681275</v>
      </c>
      <c r="J357" s="160"/>
      <c r="K357" t="str">
        <f>VLOOKUP(Historic_BCast_BASE[[#This Row],[Broadcast Market]],Continent_Look_Up[],2,FALSE)</f>
        <v>Digital</v>
      </c>
      <c r="L357" s="132" t="str">
        <f>IF(OR(Historic_BCast_BASE[[#This Row],[Broadcast Continent]]="Digital",Historic_BCast_BASE[[#This Row],[Programme Type]]="Digital"),"Y","N")</f>
        <v>Y</v>
      </c>
      <c r="M357" s="132" t="str">
        <f>IF(ISNUMBER(SEARCH("Pan ",Historic_BCast_BASE[[#This Row],[Broadcast Market]]))=TRUE,"Y","N")</f>
        <v>N</v>
      </c>
      <c r="N357" s="132" t="str">
        <f>VLOOKUP(CONCATENATE(Historic_BCast_BASE[[#This Row],[Broadcast Market]],Historic_BCast_BASE[[#This Row],[Broadcaster]]),Table1[[CC]:[Pay TV vs. Free-to-Air]],3,FALSE)</f>
        <v>Digital</v>
      </c>
      <c r="O357" s="133" t="str">
        <f>VLOOKUP(CONCATENATE(Historic_BCast_BASE[[#This Row],[Broadcast Market]],Historic_BCast_BASE[[#This Row],[Broadcaster]]),Table1[[CC]:[Pay TV vs. Free-to-Air]],2,FALSE)</f>
        <v>-</v>
      </c>
      <c r="P357" s="235">
        <f>Historic_BCast_BASE[[#This Row],[Rolex EXP]]*86400</f>
        <v>6331.4787681032567</v>
      </c>
      <c r="Q357" s="19" t="str">
        <f>IF(Historic_BCast_BASE[[#This Row],[Dashboard Rated?]]="No","N","Y")</f>
        <v>Y</v>
      </c>
      <c r="S357" s="22"/>
    </row>
    <row r="358" spans="1:19" x14ac:dyDescent="0.25">
      <c r="A358" s="72" t="s">
        <v>1869</v>
      </c>
      <c r="B358" t="s">
        <v>45</v>
      </c>
      <c r="C358" t="s">
        <v>45</v>
      </c>
      <c r="D358" t="s">
        <v>45</v>
      </c>
      <c r="E358" s="102">
        <v>1.1555555555555557</v>
      </c>
      <c r="F358" s="101">
        <v>76367.320725811165</v>
      </c>
      <c r="G358" s="102">
        <v>0.11839960800836978</v>
      </c>
      <c r="H358" s="101">
        <v>8736.5864107008347</v>
      </c>
      <c r="I358" s="101">
        <v>2690.4592800049463</v>
      </c>
      <c r="J358" s="160"/>
      <c r="K358" t="str">
        <f>VLOOKUP(Historic_BCast_BASE[[#This Row],[Broadcast Market]],Continent_Look_Up[],2,FALSE)</f>
        <v>Digital</v>
      </c>
      <c r="L358" s="132" t="str">
        <f>IF(OR(Historic_BCast_BASE[[#This Row],[Broadcast Continent]]="Digital",Historic_BCast_BASE[[#This Row],[Programme Type]]="Digital"),"Y","N")</f>
        <v>Y</v>
      </c>
      <c r="M358" s="132" t="str">
        <f>IF(ISNUMBER(SEARCH("Pan ",Historic_BCast_BASE[[#This Row],[Broadcast Market]]))=TRUE,"Y","N")</f>
        <v>N</v>
      </c>
      <c r="N358" s="132" t="str">
        <f>VLOOKUP(CONCATENATE(Historic_BCast_BASE[[#This Row],[Broadcast Market]],Historic_BCast_BASE[[#This Row],[Broadcaster]]),Table1[[CC]:[Pay TV vs. Free-to-Air]],3,FALSE)</f>
        <v>Digital</v>
      </c>
      <c r="O358" s="133" t="str">
        <f>VLOOKUP(CONCATENATE(Historic_BCast_BASE[[#This Row],[Broadcast Market]],Historic_BCast_BASE[[#This Row],[Broadcaster]]),Table1[[CC]:[Pay TV vs. Free-to-Air]],2,FALSE)</f>
        <v>-</v>
      </c>
      <c r="P358" s="235">
        <f>Historic_BCast_BASE[[#This Row],[Rolex EXP]]*86400</f>
        <v>10229.726131923149</v>
      </c>
      <c r="Q358" s="19" t="str">
        <f>IF(Historic_BCast_BASE[[#This Row],[Dashboard Rated?]]="No","N","Y")</f>
        <v>Y</v>
      </c>
      <c r="S358" s="22"/>
    </row>
    <row r="359" spans="1:19" x14ac:dyDescent="0.25">
      <c r="A359" s="72" t="s">
        <v>1869</v>
      </c>
      <c r="B359" t="s">
        <v>45</v>
      </c>
      <c r="C359" t="s">
        <v>45</v>
      </c>
      <c r="D359" t="s">
        <v>45</v>
      </c>
      <c r="E359" s="102">
        <v>2.9608333333333334</v>
      </c>
      <c r="F359" s="101">
        <v>313475.02224717382</v>
      </c>
      <c r="G359" s="102">
        <v>0.34654565009975324</v>
      </c>
      <c r="H359" s="101">
        <v>91111.192535508992</v>
      </c>
      <c r="I359" s="101">
        <v>26372.125491435017</v>
      </c>
      <c r="J359" s="160"/>
      <c r="K359" t="str">
        <f>VLOOKUP(Historic_BCast_BASE[[#This Row],[Broadcast Market]],Continent_Look_Up[],2,FALSE)</f>
        <v>Digital</v>
      </c>
      <c r="L359" s="132" t="str">
        <f>IF(OR(Historic_BCast_BASE[[#This Row],[Broadcast Continent]]="Digital",Historic_BCast_BASE[[#This Row],[Programme Type]]="Digital"),"Y","N")</f>
        <v>Y</v>
      </c>
      <c r="M359" s="132" t="str">
        <f>IF(ISNUMBER(SEARCH("Pan ",Historic_BCast_BASE[[#This Row],[Broadcast Market]]))=TRUE,"Y","N")</f>
        <v>N</v>
      </c>
      <c r="N359" s="132" t="str">
        <f>VLOOKUP(CONCATENATE(Historic_BCast_BASE[[#This Row],[Broadcast Market]],Historic_BCast_BASE[[#This Row],[Broadcaster]]),Table1[[CC]:[Pay TV vs. Free-to-Air]],3,FALSE)</f>
        <v>Digital</v>
      </c>
      <c r="O359" s="133" t="str">
        <f>VLOOKUP(CONCATENATE(Historic_BCast_BASE[[#This Row],[Broadcast Market]],Historic_BCast_BASE[[#This Row],[Broadcaster]]),Table1[[CC]:[Pay TV vs. Free-to-Air]],2,FALSE)</f>
        <v>-</v>
      </c>
      <c r="P359" s="235">
        <f>Historic_BCast_BASE[[#This Row],[Rolex EXP]]*86400</f>
        <v>29941.544168618679</v>
      </c>
      <c r="Q359" s="19" t="str">
        <f>IF(Historic_BCast_BASE[[#This Row],[Dashboard Rated?]]="No","N","Y")</f>
        <v>Y</v>
      </c>
      <c r="S359" s="22"/>
    </row>
    <row r="360" spans="1:19" x14ac:dyDescent="0.25">
      <c r="A360" s="72" t="s">
        <v>1869</v>
      </c>
      <c r="B360" t="s">
        <v>45</v>
      </c>
      <c r="C360" t="s">
        <v>45</v>
      </c>
      <c r="D360" t="s">
        <v>45</v>
      </c>
      <c r="E360" s="102">
        <v>2.5350925925925925</v>
      </c>
      <c r="F360" s="101">
        <v>93630.758014264749</v>
      </c>
      <c r="G360" s="102">
        <v>0.23658934051131941</v>
      </c>
      <c r="H360" s="101">
        <v>19823.071382058086</v>
      </c>
      <c r="I360" s="101">
        <v>5849.1257796154632</v>
      </c>
      <c r="J360" s="160"/>
      <c r="K360" t="str">
        <f>VLOOKUP(Historic_BCast_BASE[[#This Row],[Broadcast Market]],Continent_Look_Up[],2,FALSE)</f>
        <v>Digital</v>
      </c>
      <c r="L360" s="132" t="str">
        <f>IF(OR(Historic_BCast_BASE[[#This Row],[Broadcast Continent]]="Digital",Historic_BCast_BASE[[#This Row],[Programme Type]]="Digital"),"Y","N")</f>
        <v>Y</v>
      </c>
      <c r="M360" s="132" t="str">
        <f>IF(ISNUMBER(SEARCH("Pan ",Historic_BCast_BASE[[#This Row],[Broadcast Market]]))=TRUE,"Y","N")</f>
        <v>N</v>
      </c>
      <c r="N360" s="132" t="str">
        <f>VLOOKUP(CONCATENATE(Historic_BCast_BASE[[#This Row],[Broadcast Market]],Historic_BCast_BASE[[#This Row],[Broadcaster]]),Table1[[CC]:[Pay TV vs. Free-to-Air]],3,FALSE)</f>
        <v>Digital</v>
      </c>
      <c r="O360" s="133" t="str">
        <f>VLOOKUP(CONCATENATE(Historic_BCast_BASE[[#This Row],[Broadcast Market]],Historic_BCast_BASE[[#This Row],[Broadcaster]]),Table1[[CC]:[Pay TV vs. Free-to-Air]],2,FALSE)</f>
        <v>-</v>
      </c>
      <c r="P360" s="235">
        <f>Historic_BCast_BASE[[#This Row],[Rolex EXP]]*86400</f>
        <v>20441.319020177998</v>
      </c>
      <c r="Q360" s="19" t="str">
        <f>IF(Historic_BCast_BASE[[#This Row],[Dashboard Rated?]]="No","N","Y")</f>
        <v>Y</v>
      </c>
      <c r="S360" s="22"/>
    </row>
    <row r="361" spans="1:19" x14ac:dyDescent="0.25">
      <c r="A361" s="72" t="s">
        <v>1869</v>
      </c>
      <c r="B361" t="s">
        <v>45</v>
      </c>
      <c r="C361" t="s">
        <v>45</v>
      </c>
      <c r="D361" t="s">
        <v>45</v>
      </c>
      <c r="E361" s="102">
        <v>2.8541666666666665</v>
      </c>
      <c r="F361" s="101">
        <v>28319.449479869087</v>
      </c>
      <c r="G361" s="102">
        <v>0.25753005398437262</v>
      </c>
      <c r="H361" s="101">
        <v>3367.1966289057109</v>
      </c>
      <c r="I361" s="101">
        <v>985.84246303297994</v>
      </c>
      <c r="J361" s="160"/>
      <c r="K361" t="str">
        <f>VLOOKUP(Historic_BCast_BASE[[#This Row],[Broadcast Market]],Continent_Look_Up[],2,FALSE)</f>
        <v>Digital</v>
      </c>
      <c r="L361" s="132" t="str">
        <f>IF(OR(Historic_BCast_BASE[[#This Row],[Broadcast Continent]]="Digital",Historic_BCast_BASE[[#This Row],[Programme Type]]="Digital"),"Y","N")</f>
        <v>Y</v>
      </c>
      <c r="M361" s="132" t="str">
        <f>IF(ISNUMBER(SEARCH("Pan ",Historic_BCast_BASE[[#This Row],[Broadcast Market]]))=TRUE,"Y","N")</f>
        <v>N</v>
      </c>
      <c r="N361" s="132" t="str">
        <f>VLOOKUP(CONCATENATE(Historic_BCast_BASE[[#This Row],[Broadcast Market]],Historic_BCast_BASE[[#This Row],[Broadcaster]]),Table1[[CC]:[Pay TV vs. Free-to-Air]],3,FALSE)</f>
        <v>Digital</v>
      </c>
      <c r="O361" s="133" t="str">
        <f>VLOOKUP(CONCATENATE(Historic_BCast_BASE[[#This Row],[Broadcast Market]],Historic_BCast_BASE[[#This Row],[Broadcaster]]),Table1[[CC]:[Pay TV vs. Free-to-Air]],2,FALSE)</f>
        <v>-</v>
      </c>
      <c r="P361" s="235">
        <f>Historic_BCast_BASE[[#This Row],[Rolex EXP]]*86400</f>
        <v>22250.596664249795</v>
      </c>
      <c r="Q361" s="19" t="str">
        <f>IF(Historic_BCast_BASE[[#This Row],[Dashboard Rated?]]="No","N","Y")</f>
        <v>Y</v>
      </c>
      <c r="S361" s="22"/>
    </row>
    <row r="362" spans="1:19" x14ac:dyDescent="0.25">
      <c r="A362" s="72" t="s">
        <v>1869</v>
      </c>
      <c r="B362" t="s">
        <v>45</v>
      </c>
      <c r="C362" t="s">
        <v>45</v>
      </c>
      <c r="D362" t="s">
        <v>45</v>
      </c>
      <c r="E362" s="102">
        <v>5.9097222222222223</v>
      </c>
      <c r="F362" s="101">
        <v>9944.926258319656</v>
      </c>
      <c r="G362" s="102">
        <v>0.56268503414214155</v>
      </c>
      <c r="H362" s="101">
        <v>15909.368421875302</v>
      </c>
      <c r="I362" s="101">
        <v>4576.6304472387992</v>
      </c>
      <c r="J362" s="160"/>
      <c r="K362" t="str">
        <f>VLOOKUP(Historic_BCast_BASE[[#This Row],[Broadcast Market]],Continent_Look_Up[],2,FALSE)</f>
        <v>Digital</v>
      </c>
      <c r="L362" s="132" t="str">
        <f>IF(OR(Historic_BCast_BASE[[#This Row],[Broadcast Continent]]="Digital",Historic_BCast_BASE[[#This Row],[Programme Type]]="Digital"),"Y","N")</f>
        <v>Y</v>
      </c>
      <c r="M362" s="132" t="str">
        <f>IF(ISNUMBER(SEARCH("Pan ",Historic_BCast_BASE[[#This Row],[Broadcast Market]]))=TRUE,"Y","N")</f>
        <v>N</v>
      </c>
      <c r="N362" s="132" t="str">
        <f>VLOOKUP(CONCATENATE(Historic_BCast_BASE[[#This Row],[Broadcast Market]],Historic_BCast_BASE[[#This Row],[Broadcaster]]),Table1[[CC]:[Pay TV vs. Free-to-Air]],3,FALSE)</f>
        <v>Digital</v>
      </c>
      <c r="O362" s="133" t="str">
        <f>VLOOKUP(CONCATENATE(Historic_BCast_BASE[[#This Row],[Broadcast Market]],Historic_BCast_BASE[[#This Row],[Broadcaster]]),Table1[[CC]:[Pay TV vs. Free-to-Air]],2,FALSE)</f>
        <v>-</v>
      </c>
      <c r="P362" s="235">
        <f>Historic_BCast_BASE[[#This Row],[Rolex EXP]]*86400</f>
        <v>48615.986949881029</v>
      </c>
      <c r="Q362" s="19" t="str">
        <f>IF(Historic_BCast_BASE[[#This Row],[Dashboard Rated?]]="No","N","Y")</f>
        <v>Y</v>
      </c>
      <c r="S362" s="22"/>
    </row>
    <row r="363" spans="1:19" x14ac:dyDescent="0.25">
      <c r="A363" s="72" t="s">
        <v>1869</v>
      </c>
      <c r="B363" t="s">
        <v>45</v>
      </c>
      <c r="C363" t="s">
        <v>45</v>
      </c>
      <c r="D363" t="s">
        <v>45</v>
      </c>
      <c r="E363" s="102">
        <v>0.20833333333333334</v>
      </c>
      <c r="F363" s="101">
        <v>4049.8175167649156</v>
      </c>
      <c r="G363" s="102">
        <v>1.58097502594658E-2</v>
      </c>
      <c r="H363" s="101">
        <v>402.120841920185</v>
      </c>
      <c r="I363" s="101">
        <v>115.03978909944344</v>
      </c>
      <c r="J363" s="160"/>
      <c r="K363" t="str">
        <f>VLOOKUP(Historic_BCast_BASE[[#This Row],[Broadcast Market]],Continent_Look_Up[],2,FALSE)</f>
        <v>Digital</v>
      </c>
      <c r="L363" s="132" t="str">
        <f>IF(OR(Historic_BCast_BASE[[#This Row],[Broadcast Continent]]="Digital",Historic_BCast_BASE[[#This Row],[Programme Type]]="Digital"),"Y","N")</f>
        <v>Y</v>
      </c>
      <c r="M363" s="132" t="str">
        <f>IF(ISNUMBER(SEARCH("Pan ",Historic_BCast_BASE[[#This Row],[Broadcast Market]]))=TRUE,"Y","N")</f>
        <v>N</v>
      </c>
      <c r="N363" s="132" t="str">
        <f>VLOOKUP(CONCATENATE(Historic_BCast_BASE[[#This Row],[Broadcast Market]],Historic_BCast_BASE[[#This Row],[Broadcaster]]),Table1[[CC]:[Pay TV vs. Free-to-Air]],3,FALSE)</f>
        <v>Digital</v>
      </c>
      <c r="O363" s="133" t="str">
        <f>VLOOKUP(CONCATENATE(Historic_BCast_BASE[[#This Row],[Broadcast Market]],Historic_BCast_BASE[[#This Row],[Broadcaster]]),Table1[[CC]:[Pay TV vs. Free-to-Air]],2,FALSE)</f>
        <v>-</v>
      </c>
      <c r="P363" s="235">
        <f>Historic_BCast_BASE[[#This Row],[Rolex EXP]]*86400</f>
        <v>1365.9624224178451</v>
      </c>
      <c r="Q363" s="19" t="str">
        <f>IF(Historic_BCast_BASE[[#This Row],[Dashboard Rated?]]="No","N","Y")</f>
        <v>Y</v>
      </c>
      <c r="S363" s="22"/>
    </row>
    <row r="364" spans="1:19" x14ac:dyDescent="0.25">
      <c r="A364" s="72" t="s">
        <v>1869</v>
      </c>
      <c r="B364" t="s">
        <v>45</v>
      </c>
      <c r="C364" t="s">
        <v>45</v>
      </c>
      <c r="D364" t="s">
        <v>45</v>
      </c>
      <c r="E364" s="102">
        <v>2.7291666666666665</v>
      </c>
      <c r="F364" s="101">
        <v>6923.2562694401468</v>
      </c>
      <c r="G364" s="102">
        <v>0.26074758482303712</v>
      </c>
      <c r="H364" s="101">
        <v>10264.710503935325</v>
      </c>
      <c r="I364" s="101">
        <v>2948.8588482056462</v>
      </c>
      <c r="J364" s="160"/>
      <c r="K364" t="str">
        <f>VLOOKUP(Historic_BCast_BASE[[#This Row],[Broadcast Market]],Continent_Look_Up[],2,FALSE)</f>
        <v>Digital</v>
      </c>
      <c r="L364" s="132" t="str">
        <f>IF(OR(Historic_BCast_BASE[[#This Row],[Broadcast Continent]]="Digital",Historic_BCast_BASE[[#This Row],[Programme Type]]="Digital"),"Y","N")</f>
        <v>Y</v>
      </c>
      <c r="M364" s="132" t="str">
        <f>IF(ISNUMBER(SEARCH("Pan ",Historic_BCast_BASE[[#This Row],[Broadcast Market]]))=TRUE,"Y","N")</f>
        <v>N</v>
      </c>
      <c r="N364" s="132" t="str">
        <f>VLOOKUP(CONCATENATE(Historic_BCast_BASE[[#This Row],[Broadcast Market]],Historic_BCast_BASE[[#This Row],[Broadcaster]]),Table1[[CC]:[Pay TV vs. Free-to-Air]],3,FALSE)</f>
        <v>Digital</v>
      </c>
      <c r="O364" s="133" t="str">
        <f>VLOOKUP(CONCATENATE(Historic_BCast_BASE[[#This Row],[Broadcast Market]],Historic_BCast_BASE[[#This Row],[Broadcaster]]),Table1[[CC]:[Pay TV vs. Free-to-Air]],2,FALSE)</f>
        <v>-</v>
      </c>
      <c r="P364" s="235">
        <f>Historic_BCast_BASE[[#This Row],[Rolex EXP]]*86400</f>
        <v>22528.591328710409</v>
      </c>
      <c r="Q364" s="19" t="str">
        <f>IF(Historic_BCast_BASE[[#This Row],[Dashboard Rated?]]="No","N","Y")</f>
        <v>Y</v>
      </c>
      <c r="S364" s="22"/>
    </row>
    <row r="365" spans="1:19" x14ac:dyDescent="0.25">
      <c r="A365" s="72" t="s">
        <v>1869</v>
      </c>
      <c r="B365" t="s">
        <v>45</v>
      </c>
      <c r="C365" t="s">
        <v>45</v>
      </c>
      <c r="D365" t="s">
        <v>45</v>
      </c>
      <c r="E365" s="102">
        <v>2.0833333333333332E-2</v>
      </c>
      <c r="F365" s="101">
        <v>968.87482113038902</v>
      </c>
      <c r="G365" s="102">
        <v>1.9904395788018095E-3</v>
      </c>
      <c r="H365" s="101">
        <v>76.759248094028578</v>
      </c>
      <c r="I365" s="101">
        <v>22.051492619972944</v>
      </c>
      <c r="J365" s="160"/>
      <c r="K365" t="str">
        <f>VLOOKUP(Historic_BCast_BASE[[#This Row],[Broadcast Market]],Continent_Look_Up[],2,FALSE)</f>
        <v>Digital</v>
      </c>
      <c r="L365" s="132" t="str">
        <f>IF(OR(Historic_BCast_BASE[[#This Row],[Broadcast Continent]]="Digital",Historic_BCast_BASE[[#This Row],[Programme Type]]="Digital"),"Y","N")</f>
        <v>Y</v>
      </c>
      <c r="M365" s="132" t="str">
        <f>IF(ISNUMBER(SEARCH("Pan ",Historic_BCast_BASE[[#This Row],[Broadcast Market]]))=TRUE,"Y","N")</f>
        <v>N</v>
      </c>
      <c r="N365" s="132" t="str">
        <f>VLOOKUP(CONCATENATE(Historic_BCast_BASE[[#This Row],[Broadcast Market]],Historic_BCast_BASE[[#This Row],[Broadcaster]]),Table1[[CC]:[Pay TV vs. Free-to-Air]],3,FALSE)</f>
        <v>Digital</v>
      </c>
      <c r="O365" s="133" t="str">
        <f>VLOOKUP(CONCATENATE(Historic_BCast_BASE[[#This Row],[Broadcast Market]],Historic_BCast_BASE[[#This Row],[Broadcaster]]),Table1[[CC]:[Pay TV vs. Free-to-Air]],2,FALSE)</f>
        <v>-</v>
      </c>
      <c r="P365" s="235">
        <f>Historic_BCast_BASE[[#This Row],[Rolex EXP]]*86400</f>
        <v>171.97397960847636</v>
      </c>
      <c r="Q365" s="19" t="str">
        <f>IF(Historic_BCast_BASE[[#This Row],[Dashboard Rated?]]="No","N","Y")</f>
        <v>Y</v>
      </c>
      <c r="S365" s="22"/>
    </row>
    <row r="366" spans="1:19" x14ac:dyDescent="0.25">
      <c r="A366" s="72" t="s">
        <v>1869</v>
      </c>
      <c r="B366" t="s">
        <v>45</v>
      </c>
      <c r="C366" t="s">
        <v>45</v>
      </c>
      <c r="D366" t="s">
        <v>45</v>
      </c>
      <c r="E366" s="102">
        <v>0.5</v>
      </c>
      <c r="F366" s="101">
        <v>989.03660992002096</v>
      </c>
      <c r="G366" s="102">
        <v>4.7770549891243429E-2</v>
      </c>
      <c r="H366" s="101">
        <v>1880.5576495759374</v>
      </c>
      <c r="I366" s="101">
        <v>540.24894928958406</v>
      </c>
      <c r="J366" s="160"/>
      <c r="K366" t="str">
        <f>VLOOKUP(Historic_BCast_BASE[[#This Row],[Broadcast Market]],Continent_Look_Up[],2,FALSE)</f>
        <v>Digital</v>
      </c>
      <c r="L366" s="132" t="str">
        <f>IF(OR(Historic_BCast_BASE[[#This Row],[Broadcast Continent]]="Digital",Historic_BCast_BASE[[#This Row],[Programme Type]]="Digital"),"Y","N")</f>
        <v>Y</v>
      </c>
      <c r="M366" s="132" t="str">
        <f>IF(ISNUMBER(SEARCH("Pan ",Historic_BCast_BASE[[#This Row],[Broadcast Market]]))=TRUE,"Y","N")</f>
        <v>N</v>
      </c>
      <c r="N366" s="132" t="str">
        <f>VLOOKUP(CONCATENATE(Historic_BCast_BASE[[#This Row],[Broadcast Market]],Historic_BCast_BASE[[#This Row],[Broadcaster]]),Table1[[CC]:[Pay TV vs. Free-to-Air]],3,FALSE)</f>
        <v>Digital</v>
      </c>
      <c r="O366" s="133" t="str">
        <f>VLOOKUP(CONCATENATE(Historic_BCast_BASE[[#This Row],[Broadcast Market]],Historic_BCast_BASE[[#This Row],[Broadcaster]]),Table1[[CC]:[Pay TV vs. Free-to-Air]],2,FALSE)</f>
        <v>-</v>
      </c>
      <c r="P366" s="235">
        <f>Historic_BCast_BASE[[#This Row],[Rolex EXP]]*86400</f>
        <v>4127.3755106034323</v>
      </c>
      <c r="Q366" s="19" t="str">
        <f>IF(Historic_BCast_BASE[[#This Row],[Dashboard Rated?]]="No","N","Y")</f>
        <v>Y</v>
      </c>
      <c r="S366" s="22"/>
    </row>
    <row r="367" spans="1:19" x14ac:dyDescent="0.25">
      <c r="A367" s="72" t="s">
        <v>1869</v>
      </c>
      <c r="B367" t="s">
        <v>45</v>
      </c>
      <c r="C367" t="s">
        <v>45</v>
      </c>
      <c r="D367" t="s">
        <v>45</v>
      </c>
      <c r="E367" s="102">
        <v>1.9950231481481484</v>
      </c>
      <c r="F367" s="101">
        <v>9988.9075003865437</v>
      </c>
      <c r="G367" s="102">
        <v>0.17986720666109213</v>
      </c>
      <c r="H367" s="101">
        <v>1442.8882593995183</v>
      </c>
      <c r="I367" s="101">
        <v>431.52011552198252</v>
      </c>
      <c r="J367" s="160"/>
      <c r="K367" t="str">
        <f>VLOOKUP(Historic_BCast_BASE[[#This Row],[Broadcast Market]],Continent_Look_Up[],2,FALSE)</f>
        <v>Digital</v>
      </c>
      <c r="L367" s="132" t="str">
        <f>IF(OR(Historic_BCast_BASE[[#This Row],[Broadcast Continent]]="Digital",Historic_BCast_BASE[[#This Row],[Programme Type]]="Digital"),"Y","N")</f>
        <v>Y</v>
      </c>
      <c r="M367" s="132" t="str">
        <f>IF(ISNUMBER(SEARCH("Pan ",Historic_BCast_BASE[[#This Row],[Broadcast Market]]))=TRUE,"Y","N")</f>
        <v>N</v>
      </c>
      <c r="N367" s="132" t="str">
        <f>VLOOKUP(CONCATENATE(Historic_BCast_BASE[[#This Row],[Broadcast Market]],Historic_BCast_BASE[[#This Row],[Broadcaster]]),Table1[[CC]:[Pay TV vs. Free-to-Air]],3,FALSE)</f>
        <v>Digital</v>
      </c>
      <c r="O367" s="133" t="str">
        <f>VLOOKUP(CONCATENATE(Historic_BCast_BASE[[#This Row],[Broadcast Market]],Historic_BCast_BASE[[#This Row],[Broadcaster]]),Table1[[CC]:[Pay TV vs. Free-to-Air]],2,FALSE)</f>
        <v>-</v>
      </c>
      <c r="P367" s="235">
        <f>Historic_BCast_BASE[[#This Row],[Rolex EXP]]*86400</f>
        <v>15540.526655518359</v>
      </c>
      <c r="Q367" s="19" t="str">
        <f>IF(Historic_BCast_BASE[[#This Row],[Dashboard Rated?]]="No","N","Y")</f>
        <v>Y</v>
      </c>
      <c r="S367" s="22"/>
    </row>
    <row r="368" spans="1:19" x14ac:dyDescent="0.25">
      <c r="A368" s="72" t="s">
        <v>1869</v>
      </c>
      <c r="B368" t="s">
        <v>45</v>
      </c>
      <c r="C368" t="s">
        <v>45</v>
      </c>
      <c r="D368" t="s">
        <v>45</v>
      </c>
      <c r="E368" s="102">
        <v>5.7605555555555563</v>
      </c>
      <c r="F368" s="101">
        <v>37592.325689708603</v>
      </c>
      <c r="G368" s="102">
        <v>0.53442102742028152</v>
      </c>
      <c r="H368" s="101">
        <v>15405.771757112685</v>
      </c>
      <c r="I368" s="101">
        <v>4612.0650432231778</v>
      </c>
      <c r="J368" s="160"/>
      <c r="K368" t="str">
        <f>VLOOKUP(Historic_BCast_BASE[[#This Row],[Broadcast Market]],Continent_Look_Up[],2,FALSE)</f>
        <v>Digital</v>
      </c>
      <c r="L368" s="132" t="str">
        <f>IF(OR(Historic_BCast_BASE[[#This Row],[Broadcast Continent]]="Digital",Historic_BCast_BASE[[#This Row],[Programme Type]]="Digital"),"Y","N")</f>
        <v>Y</v>
      </c>
      <c r="M368" s="132" t="str">
        <f>IF(ISNUMBER(SEARCH("Pan ",Historic_BCast_BASE[[#This Row],[Broadcast Market]]))=TRUE,"Y","N")</f>
        <v>N</v>
      </c>
      <c r="N368" s="132" t="str">
        <f>VLOOKUP(CONCATENATE(Historic_BCast_BASE[[#This Row],[Broadcast Market]],Historic_BCast_BASE[[#This Row],[Broadcaster]]),Table1[[CC]:[Pay TV vs. Free-to-Air]],3,FALSE)</f>
        <v>Digital</v>
      </c>
      <c r="O368" s="133" t="str">
        <f>VLOOKUP(CONCATENATE(Historic_BCast_BASE[[#This Row],[Broadcast Market]],Historic_BCast_BASE[[#This Row],[Broadcaster]]),Table1[[CC]:[Pay TV vs. Free-to-Air]],2,FALSE)</f>
        <v>-</v>
      </c>
      <c r="P368" s="235">
        <f>Historic_BCast_BASE[[#This Row],[Rolex EXP]]*86400</f>
        <v>46173.976769112327</v>
      </c>
      <c r="Q368" s="19" t="str">
        <f>IF(Historic_BCast_BASE[[#This Row],[Dashboard Rated?]]="No","N","Y")</f>
        <v>Y</v>
      </c>
      <c r="S368" s="22"/>
    </row>
    <row r="369" spans="1:19" x14ac:dyDescent="0.25">
      <c r="A369" s="72" t="s">
        <v>1869</v>
      </c>
      <c r="B369" t="s">
        <v>45</v>
      </c>
      <c r="C369" t="s">
        <v>45</v>
      </c>
      <c r="D369" t="s">
        <v>45</v>
      </c>
      <c r="E369" s="102">
        <v>0.50678240740740743</v>
      </c>
      <c r="F369" s="101">
        <v>749.67459942049084</v>
      </c>
      <c r="G369" s="102">
        <v>3.7156473761276905E-2</v>
      </c>
      <c r="H369" s="101">
        <v>143.35108826153768</v>
      </c>
      <c r="I369" s="101">
        <v>42.908193042795268</v>
      </c>
      <c r="J369" s="160"/>
      <c r="K369" t="str">
        <f>VLOOKUP(Historic_BCast_BASE[[#This Row],[Broadcast Market]],Continent_Look_Up[],2,FALSE)</f>
        <v>Digital</v>
      </c>
      <c r="L369" s="132" t="str">
        <f>IF(OR(Historic_BCast_BASE[[#This Row],[Broadcast Continent]]="Digital",Historic_BCast_BASE[[#This Row],[Programme Type]]="Digital"),"Y","N")</f>
        <v>Y</v>
      </c>
      <c r="M369" s="132" t="str">
        <f>IF(ISNUMBER(SEARCH("Pan ",Historic_BCast_BASE[[#This Row],[Broadcast Market]]))=TRUE,"Y","N")</f>
        <v>N</v>
      </c>
      <c r="N369" s="132" t="str">
        <f>VLOOKUP(CONCATENATE(Historic_BCast_BASE[[#This Row],[Broadcast Market]],Historic_BCast_BASE[[#This Row],[Broadcaster]]),Table1[[CC]:[Pay TV vs. Free-to-Air]],3,FALSE)</f>
        <v>Digital</v>
      </c>
      <c r="O369" s="133" t="str">
        <f>VLOOKUP(CONCATENATE(Historic_BCast_BASE[[#This Row],[Broadcast Market]],Historic_BCast_BASE[[#This Row],[Broadcaster]]),Table1[[CC]:[Pay TV vs. Free-to-Air]],2,FALSE)</f>
        <v>-</v>
      </c>
      <c r="P369" s="235">
        <f>Historic_BCast_BASE[[#This Row],[Rolex EXP]]*86400</f>
        <v>3210.3193329743244</v>
      </c>
      <c r="Q369" s="19" t="str">
        <f>IF(Historic_BCast_BASE[[#This Row],[Dashboard Rated?]]="No","N","Y")</f>
        <v>Y</v>
      </c>
      <c r="S369" s="22"/>
    </row>
    <row r="370" spans="1:19" x14ac:dyDescent="0.25">
      <c r="A370" s="72" t="s">
        <v>1869</v>
      </c>
      <c r="B370" t="s">
        <v>45</v>
      </c>
      <c r="C370" t="s">
        <v>45</v>
      </c>
      <c r="D370" t="s">
        <v>45</v>
      </c>
      <c r="E370" s="102">
        <v>1.1555555555555557</v>
      </c>
      <c r="F370" s="101">
        <v>12158.810236195683</v>
      </c>
      <c r="G370" s="102">
        <v>0.11839960800836978</v>
      </c>
      <c r="H370" s="101">
        <v>1391.0130626644052</v>
      </c>
      <c r="I370" s="101">
        <v>428.36719054223477</v>
      </c>
      <c r="J370" s="160"/>
      <c r="K370" t="str">
        <f>VLOOKUP(Historic_BCast_BASE[[#This Row],[Broadcast Market]],Continent_Look_Up[],2,FALSE)</f>
        <v>Digital</v>
      </c>
      <c r="L370" s="132" t="str">
        <f>IF(OR(Historic_BCast_BASE[[#This Row],[Broadcast Continent]]="Digital",Historic_BCast_BASE[[#This Row],[Programme Type]]="Digital"),"Y","N")</f>
        <v>Y</v>
      </c>
      <c r="M370" s="132" t="str">
        <f>IF(ISNUMBER(SEARCH("Pan ",Historic_BCast_BASE[[#This Row],[Broadcast Market]]))=TRUE,"Y","N")</f>
        <v>N</v>
      </c>
      <c r="N370" s="132" t="str">
        <f>VLOOKUP(CONCATENATE(Historic_BCast_BASE[[#This Row],[Broadcast Market]],Historic_BCast_BASE[[#This Row],[Broadcaster]]),Table1[[CC]:[Pay TV vs. Free-to-Air]],3,FALSE)</f>
        <v>Digital</v>
      </c>
      <c r="O370" s="133" t="str">
        <f>VLOOKUP(CONCATENATE(Historic_BCast_BASE[[#This Row],[Broadcast Market]],Historic_BCast_BASE[[#This Row],[Broadcaster]]),Table1[[CC]:[Pay TV vs. Free-to-Air]],2,FALSE)</f>
        <v>-</v>
      </c>
      <c r="P370" s="235">
        <f>Historic_BCast_BASE[[#This Row],[Rolex EXP]]*86400</f>
        <v>10229.726131923149</v>
      </c>
      <c r="Q370" s="19" t="str">
        <f>IF(Historic_BCast_BASE[[#This Row],[Dashboard Rated?]]="No","N","Y")</f>
        <v>Y</v>
      </c>
      <c r="S370" s="22"/>
    </row>
    <row r="371" spans="1:19" x14ac:dyDescent="0.25">
      <c r="A371" s="72" t="s">
        <v>1869</v>
      </c>
      <c r="B371" t="s">
        <v>45</v>
      </c>
      <c r="C371" t="s">
        <v>45</v>
      </c>
      <c r="D371" t="s">
        <v>45</v>
      </c>
      <c r="E371" s="102">
        <v>2.9608333333333334</v>
      </c>
      <c r="F371" s="101">
        <v>73302.836329164827</v>
      </c>
      <c r="G371" s="102">
        <v>0.34654565009975324</v>
      </c>
      <c r="H371" s="101">
        <v>21305.395108101624</v>
      </c>
      <c r="I371" s="101">
        <v>6166.8448497931113</v>
      </c>
      <c r="J371" s="160"/>
      <c r="K371" t="str">
        <f>VLOOKUP(Historic_BCast_BASE[[#This Row],[Broadcast Market]],Continent_Look_Up[],2,FALSE)</f>
        <v>Digital</v>
      </c>
      <c r="L371" s="132" t="str">
        <f>IF(OR(Historic_BCast_BASE[[#This Row],[Broadcast Continent]]="Digital",Historic_BCast_BASE[[#This Row],[Programme Type]]="Digital"),"Y","N")</f>
        <v>Y</v>
      </c>
      <c r="M371" s="132" t="str">
        <f>IF(ISNUMBER(SEARCH("Pan ",Historic_BCast_BASE[[#This Row],[Broadcast Market]]))=TRUE,"Y","N")</f>
        <v>N</v>
      </c>
      <c r="N371" s="132" t="str">
        <f>VLOOKUP(CONCATENATE(Historic_BCast_BASE[[#This Row],[Broadcast Market]],Historic_BCast_BASE[[#This Row],[Broadcaster]]),Table1[[CC]:[Pay TV vs. Free-to-Air]],3,FALSE)</f>
        <v>Digital</v>
      </c>
      <c r="O371" s="133" t="str">
        <f>VLOOKUP(CONCATENATE(Historic_BCast_BASE[[#This Row],[Broadcast Market]],Historic_BCast_BASE[[#This Row],[Broadcaster]]),Table1[[CC]:[Pay TV vs. Free-to-Air]],2,FALSE)</f>
        <v>-</v>
      </c>
      <c r="P371" s="235">
        <f>Historic_BCast_BASE[[#This Row],[Rolex EXP]]*86400</f>
        <v>29941.544168618679</v>
      </c>
      <c r="Q371" s="19" t="str">
        <f>IF(Historic_BCast_BASE[[#This Row],[Dashboard Rated?]]="No","N","Y")</f>
        <v>Y</v>
      </c>
      <c r="S371" s="22"/>
    </row>
    <row r="372" spans="1:19" x14ac:dyDescent="0.25">
      <c r="A372" s="72" t="s">
        <v>1869</v>
      </c>
      <c r="B372" t="s">
        <v>45</v>
      </c>
      <c r="C372" t="s">
        <v>45</v>
      </c>
      <c r="D372" t="s">
        <v>45</v>
      </c>
      <c r="E372" s="102">
        <v>2.5350925925925925</v>
      </c>
      <c r="F372" s="101">
        <v>14905.962413558582</v>
      </c>
      <c r="G372" s="102">
        <v>0.23658934051131941</v>
      </c>
      <c r="H372" s="101">
        <v>3155.8117765982824</v>
      </c>
      <c r="I372" s="101">
        <v>931.17471190953245</v>
      </c>
      <c r="J372" s="160"/>
      <c r="K372" t="str">
        <f>VLOOKUP(Historic_BCast_BASE[[#This Row],[Broadcast Market]],Continent_Look_Up[],2,FALSE)</f>
        <v>Digital</v>
      </c>
      <c r="L372" s="132" t="str">
        <f>IF(OR(Historic_BCast_BASE[[#This Row],[Broadcast Continent]]="Digital",Historic_BCast_BASE[[#This Row],[Programme Type]]="Digital"),"Y","N")</f>
        <v>Y</v>
      </c>
      <c r="M372" s="132" t="str">
        <f>IF(ISNUMBER(SEARCH("Pan ",Historic_BCast_BASE[[#This Row],[Broadcast Market]]))=TRUE,"Y","N")</f>
        <v>N</v>
      </c>
      <c r="N372" s="132" t="str">
        <f>VLOOKUP(CONCATENATE(Historic_BCast_BASE[[#This Row],[Broadcast Market]],Historic_BCast_BASE[[#This Row],[Broadcaster]]),Table1[[CC]:[Pay TV vs. Free-to-Air]],3,FALSE)</f>
        <v>Digital</v>
      </c>
      <c r="O372" s="133" t="str">
        <f>VLOOKUP(CONCATENATE(Historic_BCast_BASE[[#This Row],[Broadcast Market]],Historic_BCast_BASE[[#This Row],[Broadcaster]]),Table1[[CC]:[Pay TV vs. Free-to-Air]],2,FALSE)</f>
        <v>-</v>
      </c>
      <c r="P372" s="235">
        <f>Historic_BCast_BASE[[#This Row],[Rolex EXP]]*86400</f>
        <v>20441.319020177998</v>
      </c>
      <c r="Q372" s="19" t="str">
        <f>IF(Historic_BCast_BASE[[#This Row],[Dashboard Rated?]]="No","N","Y")</f>
        <v>Y</v>
      </c>
      <c r="S372" s="22"/>
    </row>
    <row r="373" spans="1:19" x14ac:dyDescent="0.25">
      <c r="A373" s="72" t="s">
        <v>1869</v>
      </c>
      <c r="B373" t="s">
        <v>45</v>
      </c>
      <c r="C373" t="s">
        <v>45</v>
      </c>
      <c r="D373" t="s">
        <v>45</v>
      </c>
      <c r="E373" s="102">
        <v>0.96915509259259247</v>
      </c>
      <c r="F373" s="101">
        <v>13480.203806593212</v>
      </c>
      <c r="G373" s="102">
        <v>9.2594143406094176E-2</v>
      </c>
      <c r="H373" s="101">
        <v>766.53893793214922</v>
      </c>
      <c r="I373" s="101">
        <v>220.21226304909135</v>
      </c>
      <c r="J373" s="160"/>
      <c r="K373" t="str">
        <f>VLOOKUP(Historic_BCast_BASE[[#This Row],[Broadcast Market]],Continent_Look_Up[],2,FALSE)</f>
        <v>Digital</v>
      </c>
      <c r="L373" s="132" t="str">
        <f>IF(OR(Historic_BCast_BASE[[#This Row],[Broadcast Continent]]="Digital",Historic_BCast_BASE[[#This Row],[Programme Type]]="Digital"),"Y","N")</f>
        <v>Y</v>
      </c>
      <c r="M373" s="132" t="str">
        <f>IF(ISNUMBER(SEARCH("Pan ",Historic_BCast_BASE[[#This Row],[Broadcast Market]]))=TRUE,"Y","N")</f>
        <v>N</v>
      </c>
      <c r="N373" s="132" t="str">
        <f>VLOOKUP(CONCATENATE(Historic_BCast_BASE[[#This Row],[Broadcast Market]],Historic_BCast_BASE[[#This Row],[Broadcaster]]),Table1[[CC]:[Pay TV vs. Free-to-Air]],3,FALSE)</f>
        <v>Digital</v>
      </c>
      <c r="O373" s="133" t="str">
        <f>VLOOKUP(CONCATENATE(Historic_BCast_BASE[[#This Row],[Broadcast Market]],Historic_BCast_BASE[[#This Row],[Broadcaster]]),Table1[[CC]:[Pay TV vs. Free-to-Air]],2,FALSE)</f>
        <v>-</v>
      </c>
      <c r="P373" s="235">
        <f>Historic_BCast_BASE[[#This Row],[Rolex EXP]]*86400</f>
        <v>8000.1339902865366</v>
      </c>
      <c r="Q373" s="19" t="str">
        <f>IF(Historic_BCast_BASE[[#This Row],[Dashboard Rated?]]="No","N","Y")</f>
        <v>Y</v>
      </c>
      <c r="S373" s="22"/>
    </row>
    <row r="374" spans="1:19" x14ac:dyDescent="0.25">
      <c r="A374" s="72" t="s">
        <v>1869</v>
      </c>
      <c r="B374" t="s">
        <v>45</v>
      </c>
      <c r="C374" t="s">
        <v>45</v>
      </c>
      <c r="D374" t="s">
        <v>45</v>
      </c>
      <c r="E374" s="102">
        <v>5.0412731481481483</v>
      </c>
      <c r="F374" s="101">
        <v>20014.175227894906</v>
      </c>
      <c r="G374" s="102">
        <v>0.47818327860707882</v>
      </c>
      <c r="H374" s="101">
        <v>15728.415361997588</v>
      </c>
      <c r="I374" s="101">
        <v>4635.9684010872597</v>
      </c>
      <c r="J374" s="160"/>
      <c r="K374" t="str">
        <f>VLOOKUP(Historic_BCast_BASE[[#This Row],[Broadcast Market]],Continent_Look_Up[],2,FALSE)</f>
        <v>Digital</v>
      </c>
      <c r="L374" s="132" t="str">
        <f>IF(OR(Historic_BCast_BASE[[#This Row],[Broadcast Continent]]="Digital",Historic_BCast_BASE[[#This Row],[Programme Type]]="Digital"),"Y","N")</f>
        <v>Y</v>
      </c>
      <c r="M374" s="132" t="str">
        <f>IF(ISNUMBER(SEARCH("Pan ",Historic_BCast_BASE[[#This Row],[Broadcast Market]]))=TRUE,"Y","N")</f>
        <v>N</v>
      </c>
      <c r="N374" s="132" t="str">
        <f>VLOOKUP(CONCATENATE(Historic_BCast_BASE[[#This Row],[Broadcast Market]],Historic_BCast_BASE[[#This Row],[Broadcaster]]),Table1[[CC]:[Pay TV vs. Free-to-Air]],3,FALSE)</f>
        <v>Digital</v>
      </c>
      <c r="O374" s="133" t="str">
        <f>VLOOKUP(CONCATENATE(Historic_BCast_BASE[[#This Row],[Broadcast Market]],Historic_BCast_BASE[[#This Row],[Broadcaster]]),Table1[[CC]:[Pay TV vs. Free-to-Air]],2,FALSE)</f>
        <v>-</v>
      </c>
      <c r="P374" s="235">
        <f>Historic_BCast_BASE[[#This Row],[Rolex EXP]]*86400</f>
        <v>41315.035271651614</v>
      </c>
      <c r="Q374" s="19" t="str">
        <f>IF(Historic_BCast_BASE[[#This Row],[Dashboard Rated?]]="No","N","Y")</f>
        <v>Y</v>
      </c>
      <c r="S374" s="22"/>
    </row>
    <row r="375" spans="1:19" x14ac:dyDescent="0.25">
      <c r="A375" s="72" t="s">
        <v>1869</v>
      </c>
      <c r="B375" t="s">
        <v>45</v>
      </c>
      <c r="C375" t="s">
        <v>45</v>
      </c>
      <c r="D375" t="s">
        <v>45</v>
      </c>
      <c r="E375" s="102">
        <v>0.97233796296296304</v>
      </c>
      <c r="F375" s="101">
        <v>34978.325465864931</v>
      </c>
      <c r="G375" s="102">
        <v>9.2898238341744446E-2</v>
      </c>
      <c r="H375" s="101">
        <v>2262.0213871852334</v>
      </c>
      <c r="I375" s="101">
        <v>649.83632805564946</v>
      </c>
      <c r="J375" s="160"/>
      <c r="K375" t="str">
        <f>VLOOKUP(Historic_BCast_BASE[[#This Row],[Broadcast Market]],Continent_Look_Up[],2,FALSE)</f>
        <v>Digital</v>
      </c>
      <c r="L375" s="132" t="str">
        <f>IF(OR(Historic_BCast_BASE[[#This Row],[Broadcast Continent]]="Digital",Historic_BCast_BASE[[#This Row],[Programme Type]]="Digital"),"Y","N")</f>
        <v>Y</v>
      </c>
      <c r="M375" s="132" t="str">
        <f>IF(ISNUMBER(SEARCH("Pan ",Historic_BCast_BASE[[#This Row],[Broadcast Market]]))=TRUE,"Y","N")</f>
        <v>N</v>
      </c>
      <c r="N375" s="132" t="str">
        <f>VLOOKUP(CONCATENATE(Historic_BCast_BASE[[#This Row],[Broadcast Market]],Historic_BCast_BASE[[#This Row],[Broadcaster]]),Table1[[CC]:[Pay TV vs. Free-to-Air]],3,FALSE)</f>
        <v>Digital</v>
      </c>
      <c r="O375" s="133" t="str">
        <f>VLOOKUP(CONCATENATE(Historic_BCast_BASE[[#This Row],[Broadcast Market]],Historic_BCast_BASE[[#This Row],[Broadcaster]]),Table1[[CC]:[Pay TV vs. Free-to-Air]],2,FALSE)</f>
        <v>-</v>
      </c>
      <c r="P375" s="235">
        <f>Historic_BCast_BASE[[#This Row],[Rolex EXP]]*86400</f>
        <v>8026.4077927267199</v>
      </c>
      <c r="Q375" s="19" t="str">
        <f>IF(Historic_BCast_BASE[[#This Row],[Dashboard Rated?]]="No","N","Y")</f>
        <v>Y</v>
      </c>
      <c r="S375" s="22"/>
    </row>
    <row r="376" spans="1:19" x14ac:dyDescent="0.25">
      <c r="A376" s="72" t="s">
        <v>1869</v>
      </c>
      <c r="B376" t="s">
        <v>45</v>
      </c>
      <c r="C376" t="s">
        <v>45</v>
      </c>
      <c r="D376" t="s">
        <v>45</v>
      </c>
      <c r="E376" s="102">
        <v>5.0405671296296299</v>
      </c>
      <c r="F376" s="101">
        <v>24310.441568191713</v>
      </c>
      <c r="G376" s="102">
        <v>0.4780377570187424</v>
      </c>
      <c r="H376" s="101">
        <v>15622.18350577504</v>
      </c>
      <c r="I376" s="101">
        <v>4604.6009418904659</v>
      </c>
      <c r="J376" s="160"/>
      <c r="K376" t="str">
        <f>VLOOKUP(Historic_BCast_BASE[[#This Row],[Broadcast Market]],Continent_Look_Up[],2,FALSE)</f>
        <v>Digital</v>
      </c>
      <c r="L376" s="132" t="str">
        <f>IF(OR(Historic_BCast_BASE[[#This Row],[Broadcast Continent]]="Digital",Historic_BCast_BASE[[#This Row],[Programme Type]]="Digital"),"Y","N")</f>
        <v>Y</v>
      </c>
      <c r="M376" s="132" t="str">
        <f>IF(ISNUMBER(SEARCH("Pan ",Historic_BCast_BASE[[#This Row],[Broadcast Market]]))=TRUE,"Y","N")</f>
        <v>N</v>
      </c>
      <c r="N376" s="132" t="str">
        <f>VLOOKUP(CONCATENATE(Historic_BCast_BASE[[#This Row],[Broadcast Market]],Historic_BCast_BASE[[#This Row],[Broadcaster]]),Table1[[CC]:[Pay TV vs. Free-to-Air]],3,FALSE)</f>
        <v>Digital</v>
      </c>
      <c r="O376" s="133" t="str">
        <f>VLOOKUP(CONCATENATE(Historic_BCast_BASE[[#This Row],[Broadcast Market]],Historic_BCast_BASE[[#This Row],[Broadcaster]]),Table1[[CC]:[Pay TV vs. Free-to-Air]],2,FALSE)</f>
        <v>-</v>
      </c>
      <c r="P376" s="235">
        <f>Historic_BCast_BASE[[#This Row],[Rolex EXP]]*86400</f>
        <v>41302.462206419346</v>
      </c>
      <c r="Q376" s="19" t="str">
        <f>IF(Historic_BCast_BASE[[#This Row],[Dashboard Rated?]]="No","N","Y")</f>
        <v>Y</v>
      </c>
      <c r="S376" s="22"/>
    </row>
    <row r="377" spans="1:19" x14ac:dyDescent="0.25">
      <c r="A377" s="72" t="s">
        <v>1869</v>
      </c>
      <c r="B377" t="s">
        <v>45</v>
      </c>
      <c r="C377" t="s">
        <v>45</v>
      </c>
      <c r="D377" t="s">
        <v>45</v>
      </c>
      <c r="E377" s="102">
        <v>2.6621180555555557</v>
      </c>
      <c r="F377" s="101">
        <v>25197.355153504774</v>
      </c>
      <c r="G377" s="102">
        <v>0.25434168677859315</v>
      </c>
      <c r="H377" s="101">
        <v>1846.3064743929419</v>
      </c>
      <c r="I377" s="101">
        <v>530.40922892327694</v>
      </c>
      <c r="J377" s="160"/>
      <c r="K377" t="str">
        <f>VLOOKUP(Historic_BCast_BASE[[#This Row],[Broadcast Market]],Continent_Look_Up[],2,FALSE)</f>
        <v>Digital</v>
      </c>
      <c r="L377" s="132" t="str">
        <f>IF(OR(Historic_BCast_BASE[[#This Row],[Broadcast Continent]]="Digital",Historic_BCast_BASE[[#This Row],[Programme Type]]="Digital"),"Y","N")</f>
        <v>Y</v>
      </c>
      <c r="M377" s="132" t="str">
        <f>IF(ISNUMBER(SEARCH("Pan ",Historic_BCast_BASE[[#This Row],[Broadcast Market]]))=TRUE,"Y","N")</f>
        <v>N</v>
      </c>
      <c r="N377" s="132" t="str">
        <f>VLOOKUP(CONCATENATE(Historic_BCast_BASE[[#This Row],[Broadcast Market]],Historic_BCast_BASE[[#This Row],[Broadcaster]]),Table1[[CC]:[Pay TV vs. Free-to-Air]],3,FALSE)</f>
        <v>Digital</v>
      </c>
      <c r="O377" s="133" t="str">
        <f>VLOOKUP(CONCATENATE(Historic_BCast_BASE[[#This Row],[Broadcast Market]],Historic_BCast_BASE[[#This Row],[Broadcaster]]),Table1[[CC]:[Pay TV vs. Free-to-Air]],2,FALSE)</f>
        <v>-</v>
      </c>
      <c r="P377" s="235">
        <f>Historic_BCast_BASE[[#This Row],[Rolex EXP]]*86400</f>
        <v>21975.121737670448</v>
      </c>
      <c r="Q377" s="19" t="str">
        <f>IF(Historic_BCast_BASE[[#This Row],[Dashboard Rated?]]="No","N","Y")</f>
        <v>Y</v>
      </c>
      <c r="S377" s="22"/>
    </row>
    <row r="378" spans="1:19" x14ac:dyDescent="0.25">
      <c r="A378" s="72" t="s">
        <v>1869</v>
      </c>
      <c r="B378" t="s">
        <v>45</v>
      </c>
      <c r="C378" t="s">
        <v>45</v>
      </c>
      <c r="D378" t="s">
        <v>45</v>
      </c>
      <c r="E378" s="102">
        <v>5.1912499999999993</v>
      </c>
      <c r="F378" s="101">
        <v>27722.433367236164</v>
      </c>
      <c r="G378" s="102">
        <v>0.47988729266903629</v>
      </c>
      <c r="H378" s="101">
        <v>16567.75023068623</v>
      </c>
      <c r="I378" s="101">
        <v>4760.1205945348274</v>
      </c>
      <c r="J378" s="160"/>
      <c r="K378" t="str">
        <f>VLOOKUP(Historic_BCast_BASE[[#This Row],[Broadcast Market]],Continent_Look_Up[],2,FALSE)</f>
        <v>Digital</v>
      </c>
      <c r="L378" s="132" t="str">
        <f>IF(OR(Historic_BCast_BASE[[#This Row],[Broadcast Continent]]="Digital",Historic_BCast_BASE[[#This Row],[Programme Type]]="Digital"),"Y","N")</f>
        <v>Y</v>
      </c>
      <c r="M378" s="132" t="str">
        <f>IF(ISNUMBER(SEARCH("Pan ",Historic_BCast_BASE[[#This Row],[Broadcast Market]]))=TRUE,"Y","N")</f>
        <v>N</v>
      </c>
      <c r="N378" s="132" t="str">
        <f>VLOOKUP(CONCATENATE(Historic_BCast_BASE[[#This Row],[Broadcast Market]],Historic_BCast_BASE[[#This Row],[Broadcaster]]),Table1[[CC]:[Pay TV vs. Free-to-Air]],3,FALSE)</f>
        <v>Digital</v>
      </c>
      <c r="O378" s="133" t="str">
        <f>VLOOKUP(CONCATENATE(Historic_BCast_BASE[[#This Row],[Broadcast Market]],Historic_BCast_BASE[[#This Row],[Broadcaster]]),Table1[[CC]:[Pay TV vs. Free-to-Air]],2,FALSE)</f>
        <v>-</v>
      </c>
      <c r="P378" s="235">
        <f>Historic_BCast_BASE[[#This Row],[Rolex EXP]]*86400</f>
        <v>41462.262086604736</v>
      </c>
      <c r="Q378" s="19" t="str">
        <f>IF(Historic_BCast_BASE[[#This Row],[Dashboard Rated?]]="No","N","Y")</f>
        <v>Y</v>
      </c>
      <c r="S378" s="22"/>
    </row>
    <row r="379" spans="1:19" x14ac:dyDescent="0.25">
      <c r="A379" s="72" t="s">
        <v>1869</v>
      </c>
      <c r="B379" t="s">
        <v>45</v>
      </c>
      <c r="C379" t="s">
        <v>45</v>
      </c>
      <c r="D379" t="s">
        <v>45</v>
      </c>
      <c r="E379" s="102">
        <v>2.6579976851851854</v>
      </c>
      <c r="F379" s="101">
        <v>77359.882926843726</v>
      </c>
      <c r="G379" s="102">
        <v>0.25394802206189682</v>
      </c>
      <c r="H379" s="101">
        <v>4824.8447770018338</v>
      </c>
      <c r="I379" s="101">
        <v>1386.0874309534543</v>
      </c>
      <c r="J379" s="160"/>
      <c r="K379" t="str">
        <f>VLOOKUP(Historic_BCast_BASE[[#This Row],[Broadcast Market]],Continent_Look_Up[],2,FALSE)</f>
        <v>Digital</v>
      </c>
      <c r="L379" s="132" t="str">
        <f>IF(OR(Historic_BCast_BASE[[#This Row],[Broadcast Continent]]="Digital",Historic_BCast_BASE[[#This Row],[Programme Type]]="Digital"),"Y","N")</f>
        <v>Y</v>
      </c>
      <c r="M379" s="132" t="str">
        <f>IF(ISNUMBER(SEARCH("Pan ",Historic_BCast_BASE[[#This Row],[Broadcast Market]]))=TRUE,"Y","N")</f>
        <v>N</v>
      </c>
      <c r="N379" s="132" t="str">
        <f>VLOOKUP(CONCATENATE(Historic_BCast_BASE[[#This Row],[Broadcast Market]],Historic_BCast_BASE[[#This Row],[Broadcaster]]),Table1[[CC]:[Pay TV vs. Free-to-Air]],3,FALSE)</f>
        <v>Digital</v>
      </c>
      <c r="O379" s="133" t="str">
        <f>VLOOKUP(CONCATENATE(Historic_BCast_BASE[[#This Row],[Broadcast Market]],Historic_BCast_BASE[[#This Row],[Broadcaster]]),Table1[[CC]:[Pay TV vs. Free-to-Air]],2,FALSE)</f>
        <v>-</v>
      </c>
      <c r="P379" s="235">
        <f>Historic_BCast_BASE[[#This Row],[Rolex EXP]]*86400</f>
        <v>21941.109106147884</v>
      </c>
      <c r="Q379" s="19" t="str">
        <f>IF(Historic_BCast_BASE[[#This Row],[Dashboard Rated?]]="No","N","Y")</f>
        <v>Y</v>
      </c>
      <c r="S379" s="22"/>
    </row>
    <row r="380" spans="1:19" x14ac:dyDescent="0.25">
      <c r="A380" s="72" t="s">
        <v>1869</v>
      </c>
      <c r="B380" t="s">
        <v>45</v>
      </c>
      <c r="C380" t="s">
        <v>45</v>
      </c>
      <c r="D380" t="s">
        <v>45</v>
      </c>
      <c r="E380" s="102">
        <v>5.1934953703703703</v>
      </c>
      <c r="F380" s="101">
        <v>41026.358057010322</v>
      </c>
      <c r="G380" s="102">
        <v>0.48017694816975237</v>
      </c>
      <c r="H380" s="101">
        <v>16117.324929670078</v>
      </c>
      <c r="I380" s="101">
        <v>4786.6144836745834</v>
      </c>
      <c r="J380" s="160"/>
      <c r="K380" t="str">
        <f>VLOOKUP(Historic_BCast_BASE[[#This Row],[Broadcast Market]],Continent_Look_Up[],2,FALSE)</f>
        <v>Digital</v>
      </c>
      <c r="L380" s="132" t="str">
        <f>IF(OR(Historic_BCast_BASE[[#This Row],[Broadcast Continent]]="Digital",Historic_BCast_BASE[[#This Row],[Programme Type]]="Digital"),"Y","N")</f>
        <v>Y</v>
      </c>
      <c r="M380" s="132" t="str">
        <f>IF(ISNUMBER(SEARCH("Pan ",Historic_BCast_BASE[[#This Row],[Broadcast Market]]))=TRUE,"Y","N")</f>
        <v>N</v>
      </c>
      <c r="N380" s="132" t="str">
        <f>VLOOKUP(CONCATENATE(Historic_BCast_BASE[[#This Row],[Broadcast Market]],Historic_BCast_BASE[[#This Row],[Broadcaster]]),Table1[[CC]:[Pay TV vs. Free-to-Air]],3,FALSE)</f>
        <v>Digital</v>
      </c>
      <c r="O380" s="133" t="str">
        <f>VLOOKUP(CONCATENATE(Historic_BCast_BASE[[#This Row],[Broadcast Market]],Historic_BCast_BASE[[#This Row],[Broadcaster]]),Table1[[CC]:[Pay TV vs. Free-to-Air]],2,FALSE)</f>
        <v>-</v>
      </c>
      <c r="P380" s="235">
        <f>Historic_BCast_BASE[[#This Row],[Rolex EXP]]*86400</f>
        <v>41487.288321866603</v>
      </c>
      <c r="Q380" s="19" t="str">
        <f>IF(Historic_BCast_BASE[[#This Row],[Dashboard Rated?]]="No","N","Y")</f>
        <v>Y</v>
      </c>
      <c r="S380" s="22"/>
    </row>
    <row r="381" spans="1:19" x14ac:dyDescent="0.25">
      <c r="A381" s="72" t="s">
        <v>1869</v>
      </c>
      <c r="B381" t="s">
        <v>45</v>
      </c>
      <c r="C381" t="s">
        <v>45</v>
      </c>
      <c r="D381" t="s">
        <v>45</v>
      </c>
      <c r="E381" s="102">
        <v>2.8333333333333335</v>
      </c>
      <c r="F381" s="101">
        <v>77402.26601998604</v>
      </c>
      <c r="G381" s="102">
        <v>0.25565890246443329</v>
      </c>
      <c r="H381" s="101">
        <v>8758.4762577806396</v>
      </c>
      <c r="I381" s="101">
        <v>2557.7848505014499</v>
      </c>
      <c r="J381" s="160"/>
      <c r="K381" t="str">
        <f>VLOOKUP(Historic_BCast_BASE[[#This Row],[Broadcast Market]],Continent_Look_Up[],2,FALSE)</f>
        <v>Digital</v>
      </c>
      <c r="L381" s="132" t="str">
        <f>IF(OR(Historic_BCast_BASE[[#This Row],[Broadcast Continent]]="Digital",Historic_BCast_BASE[[#This Row],[Programme Type]]="Digital"),"Y","N")</f>
        <v>Y</v>
      </c>
      <c r="M381" s="132" t="str">
        <f>IF(ISNUMBER(SEARCH("Pan ",Historic_BCast_BASE[[#This Row],[Broadcast Market]]))=TRUE,"Y","N")</f>
        <v>N</v>
      </c>
      <c r="N381" s="132" t="str">
        <f>VLOOKUP(CONCATENATE(Historic_BCast_BASE[[#This Row],[Broadcast Market]],Historic_BCast_BASE[[#This Row],[Broadcaster]]),Table1[[CC]:[Pay TV vs. Free-to-Air]],3,FALSE)</f>
        <v>Digital</v>
      </c>
      <c r="O381" s="133" t="str">
        <f>VLOOKUP(CONCATENATE(Historic_BCast_BASE[[#This Row],[Broadcast Market]],Historic_BCast_BASE[[#This Row],[Broadcaster]]),Table1[[CC]:[Pay TV vs. Free-to-Air]],2,FALSE)</f>
        <v>-</v>
      </c>
      <c r="P381" s="235">
        <f>Historic_BCast_BASE[[#This Row],[Rolex EXP]]*86400</f>
        <v>22088.929172927037</v>
      </c>
      <c r="Q381" s="19" t="str">
        <f>IF(Historic_BCast_BASE[[#This Row],[Dashboard Rated?]]="No","N","Y")</f>
        <v>Y</v>
      </c>
      <c r="S381" s="22"/>
    </row>
    <row r="382" spans="1:19" x14ac:dyDescent="0.25">
      <c r="A382" s="72" t="s">
        <v>1869</v>
      </c>
      <c r="B382" t="s">
        <v>45</v>
      </c>
      <c r="C382" t="s">
        <v>45</v>
      </c>
      <c r="D382" t="s">
        <v>45</v>
      </c>
      <c r="E382" s="102">
        <v>6.0763888888888893</v>
      </c>
      <c r="F382" s="101">
        <v>56564.570794087311</v>
      </c>
      <c r="G382" s="102">
        <v>0.57860855077255602</v>
      </c>
      <c r="H382" s="101">
        <v>93049.780120786134</v>
      </c>
      <c r="I382" s="101">
        <v>26766.534830983564</v>
      </c>
      <c r="J382" s="160"/>
      <c r="K382" t="str">
        <f>VLOOKUP(Historic_BCast_BASE[[#This Row],[Broadcast Market]],Continent_Look_Up[],2,FALSE)</f>
        <v>Digital</v>
      </c>
      <c r="L382" s="132" t="str">
        <f>IF(OR(Historic_BCast_BASE[[#This Row],[Broadcast Continent]]="Digital",Historic_BCast_BASE[[#This Row],[Programme Type]]="Digital"),"Y","N")</f>
        <v>Y</v>
      </c>
      <c r="M382" s="132" t="str">
        <f>IF(ISNUMBER(SEARCH("Pan ",Historic_BCast_BASE[[#This Row],[Broadcast Market]]))=TRUE,"Y","N")</f>
        <v>N</v>
      </c>
      <c r="N382" s="132" t="str">
        <f>VLOOKUP(CONCATENATE(Historic_BCast_BASE[[#This Row],[Broadcast Market]],Historic_BCast_BASE[[#This Row],[Broadcaster]]),Table1[[CC]:[Pay TV vs. Free-to-Air]],3,FALSE)</f>
        <v>Digital</v>
      </c>
      <c r="O382" s="133" t="str">
        <f>VLOOKUP(CONCATENATE(Historic_BCast_BASE[[#This Row],[Broadcast Market]],Historic_BCast_BASE[[#This Row],[Broadcaster]]),Table1[[CC]:[Pay TV vs. Free-to-Air]],2,FALSE)</f>
        <v>-</v>
      </c>
      <c r="P382" s="235">
        <f>Historic_BCast_BASE[[#This Row],[Rolex EXP]]*86400</f>
        <v>49991.778786748837</v>
      </c>
      <c r="Q382" s="19" t="str">
        <f>IF(Historic_BCast_BASE[[#This Row],[Dashboard Rated?]]="No","N","Y")</f>
        <v>Y</v>
      </c>
      <c r="S382" s="22"/>
    </row>
    <row r="383" spans="1:19" x14ac:dyDescent="0.25">
      <c r="A383" s="72" t="s">
        <v>1869</v>
      </c>
      <c r="B383" t="s">
        <v>45</v>
      </c>
      <c r="C383" t="s">
        <v>45</v>
      </c>
      <c r="D383" t="s">
        <v>45</v>
      </c>
      <c r="E383" s="102">
        <v>0.20833333333333334</v>
      </c>
      <c r="F383" s="101">
        <v>6189.8590590138001</v>
      </c>
      <c r="G383" s="102">
        <v>1.58097502594658E-2</v>
      </c>
      <c r="H383" s="101">
        <v>632.30865500919685</v>
      </c>
      <c r="I383" s="101">
        <v>180.80879271159523</v>
      </c>
      <c r="J383" s="160"/>
      <c r="K383" t="str">
        <f>VLOOKUP(Historic_BCast_BASE[[#This Row],[Broadcast Market]],Continent_Look_Up[],2,FALSE)</f>
        <v>Digital</v>
      </c>
      <c r="L383" s="132" t="str">
        <f>IF(OR(Historic_BCast_BASE[[#This Row],[Broadcast Continent]]="Digital",Historic_BCast_BASE[[#This Row],[Programme Type]]="Digital"),"Y","N")</f>
        <v>Y</v>
      </c>
      <c r="M383" s="132" t="str">
        <f>IF(ISNUMBER(SEARCH("Pan ",Historic_BCast_BASE[[#This Row],[Broadcast Market]]))=TRUE,"Y","N")</f>
        <v>N</v>
      </c>
      <c r="N383" s="132" t="str">
        <f>VLOOKUP(CONCATENATE(Historic_BCast_BASE[[#This Row],[Broadcast Market]],Historic_BCast_BASE[[#This Row],[Broadcaster]]),Table1[[CC]:[Pay TV vs. Free-to-Air]],3,FALSE)</f>
        <v>Digital</v>
      </c>
      <c r="O383" s="133" t="str">
        <f>VLOOKUP(CONCATENATE(Historic_BCast_BASE[[#This Row],[Broadcast Market]],Historic_BCast_BASE[[#This Row],[Broadcaster]]),Table1[[CC]:[Pay TV vs. Free-to-Air]],2,FALSE)</f>
        <v>-</v>
      </c>
      <c r="P383" s="235">
        <f>Historic_BCast_BASE[[#This Row],[Rolex EXP]]*86400</f>
        <v>1365.9624224178451</v>
      </c>
      <c r="Q383" s="19" t="str">
        <f>IF(Historic_BCast_BASE[[#This Row],[Dashboard Rated?]]="No","N","Y")</f>
        <v>Y</v>
      </c>
      <c r="S383" s="22"/>
    </row>
    <row r="384" spans="1:19" x14ac:dyDescent="0.25">
      <c r="A384" s="72" t="s">
        <v>1869</v>
      </c>
      <c r="B384" t="s">
        <v>45</v>
      </c>
      <c r="C384" t="s">
        <v>45</v>
      </c>
      <c r="D384" t="s">
        <v>45</v>
      </c>
      <c r="E384" s="102">
        <v>3.0625</v>
      </c>
      <c r="F384" s="101">
        <v>28282.285397043648</v>
      </c>
      <c r="G384" s="102">
        <v>0.29259461808386605</v>
      </c>
      <c r="H384" s="101">
        <v>47054.031332370148</v>
      </c>
      <c r="I384" s="101">
        <v>13517.740864197653</v>
      </c>
      <c r="J384" s="160"/>
      <c r="K384" t="str">
        <f>VLOOKUP(Historic_BCast_BASE[[#This Row],[Broadcast Market]],Continent_Look_Up[],2,FALSE)</f>
        <v>Digital</v>
      </c>
      <c r="L384" s="132" t="str">
        <f>IF(OR(Historic_BCast_BASE[[#This Row],[Broadcast Continent]]="Digital",Historic_BCast_BASE[[#This Row],[Programme Type]]="Digital"),"Y","N")</f>
        <v>Y</v>
      </c>
      <c r="M384" s="132" t="str">
        <f>IF(ISNUMBER(SEARCH("Pan ",Historic_BCast_BASE[[#This Row],[Broadcast Market]]))=TRUE,"Y","N")</f>
        <v>N</v>
      </c>
      <c r="N384" s="132" t="str">
        <f>VLOOKUP(CONCATENATE(Historic_BCast_BASE[[#This Row],[Broadcast Market]],Historic_BCast_BASE[[#This Row],[Broadcaster]]),Table1[[CC]:[Pay TV vs. Free-to-Air]],3,FALSE)</f>
        <v>Digital</v>
      </c>
      <c r="O384" s="133" t="str">
        <f>VLOOKUP(CONCATENATE(Historic_BCast_BASE[[#This Row],[Broadcast Market]],Historic_BCast_BASE[[#This Row],[Broadcaster]]),Table1[[CC]:[Pay TV vs. Free-to-Air]],2,FALSE)</f>
        <v>-</v>
      </c>
      <c r="P384" s="235">
        <f>Historic_BCast_BASE[[#This Row],[Rolex EXP]]*86400</f>
        <v>25280.175002446027</v>
      </c>
      <c r="Q384" s="19" t="str">
        <f>IF(Historic_BCast_BASE[[#This Row],[Dashboard Rated?]]="No","N","Y")</f>
        <v>Y</v>
      </c>
      <c r="S384" s="22"/>
    </row>
    <row r="385" spans="1:19" x14ac:dyDescent="0.25">
      <c r="A385" s="72" t="s">
        <v>1869</v>
      </c>
      <c r="B385" t="s">
        <v>45</v>
      </c>
      <c r="C385" t="s">
        <v>45</v>
      </c>
      <c r="D385" t="s">
        <v>45</v>
      </c>
      <c r="E385" s="102">
        <v>0.50694444444444442</v>
      </c>
      <c r="F385" s="101">
        <v>4040.3264852919501</v>
      </c>
      <c r="G385" s="102">
        <v>4.8434029750844036E-2</v>
      </c>
      <c r="H385" s="101">
        <v>7788.9893135215889</v>
      </c>
      <c r="I385" s="101">
        <v>2237.6305738921283</v>
      </c>
      <c r="J385" s="160"/>
      <c r="K385" t="str">
        <f>VLOOKUP(Historic_BCast_BASE[[#This Row],[Broadcast Market]],Continent_Look_Up[],2,FALSE)</f>
        <v>Digital</v>
      </c>
      <c r="L385" s="132" t="str">
        <f>IF(OR(Historic_BCast_BASE[[#This Row],[Broadcast Continent]]="Digital",Historic_BCast_BASE[[#This Row],[Programme Type]]="Digital"),"Y","N")</f>
        <v>Y</v>
      </c>
      <c r="M385" s="132" t="str">
        <f>IF(ISNUMBER(SEARCH("Pan ",Historic_BCast_BASE[[#This Row],[Broadcast Market]]))=TRUE,"Y","N")</f>
        <v>N</v>
      </c>
      <c r="N385" s="132" t="str">
        <f>VLOOKUP(CONCATENATE(Historic_BCast_BASE[[#This Row],[Broadcast Market]],Historic_BCast_BASE[[#This Row],[Broadcaster]]),Table1[[CC]:[Pay TV vs. Free-to-Air]],3,FALSE)</f>
        <v>Digital</v>
      </c>
      <c r="O385" s="133" t="str">
        <f>VLOOKUP(CONCATENATE(Historic_BCast_BASE[[#This Row],[Broadcast Market]],Historic_BCast_BASE[[#This Row],[Broadcaster]]),Table1[[CC]:[Pay TV vs. Free-to-Air]],2,FALSE)</f>
        <v>-</v>
      </c>
      <c r="P385" s="235">
        <f>Historic_BCast_BASE[[#This Row],[Rolex EXP]]*86400</f>
        <v>4184.7001704729246</v>
      </c>
      <c r="Q385" s="19" t="str">
        <f>IF(Historic_BCast_BASE[[#This Row],[Dashboard Rated?]]="No","N","Y")</f>
        <v>Y</v>
      </c>
      <c r="S385" s="22"/>
    </row>
    <row r="386" spans="1:19" x14ac:dyDescent="0.25">
      <c r="A386" s="72" t="s">
        <v>1869</v>
      </c>
      <c r="B386" t="s">
        <v>45</v>
      </c>
      <c r="C386" t="s">
        <v>45</v>
      </c>
      <c r="D386" t="s">
        <v>45</v>
      </c>
      <c r="E386" s="102">
        <v>6.0465277777777784</v>
      </c>
      <c r="F386" s="101">
        <v>45830</v>
      </c>
      <c r="G386" s="102">
        <v>0.56095749042645304</v>
      </c>
      <c r="H386" s="101">
        <v>38826.724191570276</v>
      </c>
      <c r="I386" s="101">
        <v>11430.994303904097</v>
      </c>
      <c r="J386" s="160"/>
      <c r="K386" t="str">
        <f>VLOOKUP(Historic_BCast_BASE[[#This Row],[Broadcast Market]],Continent_Look_Up[],2,FALSE)</f>
        <v>Digital</v>
      </c>
      <c r="L386" s="132" t="str">
        <f>IF(OR(Historic_BCast_BASE[[#This Row],[Broadcast Continent]]="Digital",Historic_BCast_BASE[[#This Row],[Programme Type]]="Digital"),"Y","N")</f>
        <v>Y</v>
      </c>
      <c r="M386" s="132" t="str">
        <f>IF(ISNUMBER(SEARCH("Pan ",Historic_BCast_BASE[[#This Row],[Broadcast Market]]))=TRUE,"Y","N")</f>
        <v>N</v>
      </c>
      <c r="N386" s="132" t="str">
        <f>VLOOKUP(CONCATENATE(Historic_BCast_BASE[[#This Row],[Broadcast Market]],Historic_BCast_BASE[[#This Row],[Broadcaster]]),Table1[[CC]:[Pay TV vs. Free-to-Air]],3,FALSE)</f>
        <v>Digital</v>
      </c>
      <c r="O386" s="133" t="str">
        <f>VLOOKUP(CONCATENATE(Historic_BCast_BASE[[#This Row],[Broadcast Market]],Historic_BCast_BASE[[#This Row],[Broadcaster]]),Table1[[CC]:[Pay TV vs. Free-to-Air]],2,FALSE)</f>
        <v>-</v>
      </c>
      <c r="P386" s="235">
        <f>Historic_BCast_BASE[[#This Row],[Rolex EXP]]*86400</f>
        <v>48466.727172845545</v>
      </c>
      <c r="Q386" s="19" t="str">
        <f>IF(Historic_BCast_BASE[[#This Row],[Dashboard Rated?]]="No","N","Y")</f>
        <v>Y</v>
      </c>
      <c r="S386" s="22"/>
    </row>
    <row r="387" spans="1:19" x14ac:dyDescent="0.25">
      <c r="A387" s="72" t="s">
        <v>1869</v>
      </c>
      <c r="B387" t="s">
        <v>45</v>
      </c>
      <c r="C387" t="s">
        <v>45</v>
      </c>
      <c r="D387" t="s">
        <v>45</v>
      </c>
      <c r="E387" s="102">
        <v>0.46527777777777773</v>
      </c>
      <c r="F387" s="101">
        <v>5721.5939269171422</v>
      </c>
      <c r="G387" s="102">
        <v>4.4453150593240419E-2</v>
      </c>
      <c r="H387" s="101">
        <v>917.41066993260017</v>
      </c>
      <c r="I387" s="101">
        <v>263.5548825689574</v>
      </c>
      <c r="J387" s="160"/>
      <c r="K387" t="str">
        <f>VLOOKUP(Historic_BCast_BASE[[#This Row],[Broadcast Market]],Continent_Look_Up[],2,FALSE)</f>
        <v>Digital</v>
      </c>
      <c r="L387" s="132" t="str">
        <f>IF(OR(Historic_BCast_BASE[[#This Row],[Broadcast Continent]]="Digital",Historic_BCast_BASE[[#This Row],[Programme Type]]="Digital"),"Y","N")</f>
        <v>Y</v>
      </c>
      <c r="M387" s="132" t="str">
        <f>IF(ISNUMBER(SEARCH("Pan ",Historic_BCast_BASE[[#This Row],[Broadcast Market]]))=TRUE,"Y","N")</f>
        <v>N</v>
      </c>
      <c r="N387" s="132" t="str">
        <f>VLOOKUP(CONCATENATE(Historic_BCast_BASE[[#This Row],[Broadcast Market]],Historic_BCast_BASE[[#This Row],[Broadcaster]]),Table1[[CC]:[Pay TV vs. Free-to-Air]],3,FALSE)</f>
        <v>Digital</v>
      </c>
      <c r="O387" s="133" t="str">
        <f>VLOOKUP(CONCATENATE(Historic_BCast_BASE[[#This Row],[Broadcast Market]],Historic_BCast_BASE[[#This Row],[Broadcaster]]),Table1[[CC]:[Pay TV vs. Free-to-Air]],2,FALSE)</f>
        <v>-</v>
      </c>
      <c r="P387" s="235">
        <f>Historic_BCast_BASE[[#This Row],[Rolex EXP]]*86400</f>
        <v>3840.7522112559723</v>
      </c>
      <c r="Q387" s="19" t="str">
        <f>IF(Historic_BCast_BASE[[#This Row],[Dashboard Rated?]]="No","N","Y")</f>
        <v>Y</v>
      </c>
      <c r="S387" s="22"/>
    </row>
    <row r="388" spans="1:19" x14ac:dyDescent="0.25">
      <c r="A388" s="72" t="s">
        <v>1869</v>
      </c>
      <c r="B388" t="s">
        <v>45</v>
      </c>
      <c r="C388" t="s">
        <v>45</v>
      </c>
      <c r="D388" t="s">
        <v>45</v>
      </c>
      <c r="E388" s="102">
        <v>5.4305555555555562</v>
      </c>
      <c r="F388" s="101">
        <v>206013.21027269925</v>
      </c>
      <c r="G388" s="102">
        <v>0.50355236239976198</v>
      </c>
      <c r="H388" s="101">
        <v>63725.926263294125</v>
      </c>
      <c r="I388" s="101">
        <v>18457.343435344144</v>
      </c>
      <c r="J388" s="160"/>
      <c r="K388" t="str">
        <f>VLOOKUP(Historic_BCast_BASE[[#This Row],[Broadcast Market]],Continent_Look_Up[],2,FALSE)</f>
        <v>Digital</v>
      </c>
      <c r="L388" s="132" t="str">
        <f>IF(OR(Historic_BCast_BASE[[#This Row],[Broadcast Continent]]="Digital",Historic_BCast_BASE[[#This Row],[Programme Type]]="Digital"),"Y","N")</f>
        <v>Y</v>
      </c>
      <c r="M388" s="132" t="str">
        <f>IF(ISNUMBER(SEARCH("Pan ",Historic_BCast_BASE[[#This Row],[Broadcast Market]]))=TRUE,"Y","N")</f>
        <v>N</v>
      </c>
      <c r="N388" s="132" t="str">
        <f>VLOOKUP(CONCATENATE(Historic_BCast_BASE[[#This Row],[Broadcast Market]],Historic_BCast_BASE[[#This Row],[Broadcaster]]),Table1[[CC]:[Pay TV vs. Free-to-Air]],3,FALSE)</f>
        <v>Digital</v>
      </c>
      <c r="O388" s="133" t="str">
        <f>VLOOKUP(CONCATENATE(Historic_BCast_BASE[[#This Row],[Broadcast Market]],Historic_BCast_BASE[[#This Row],[Broadcaster]]),Table1[[CC]:[Pay TV vs. Free-to-Air]],2,FALSE)</f>
        <v>-</v>
      </c>
      <c r="P388" s="235">
        <f>Historic_BCast_BASE[[#This Row],[Rolex EXP]]*86400</f>
        <v>43506.924111339438</v>
      </c>
      <c r="Q388" s="19" t="str">
        <f>IF(Historic_BCast_BASE[[#This Row],[Dashboard Rated?]]="No","N","Y")</f>
        <v>Y</v>
      </c>
      <c r="S388" s="22"/>
    </row>
    <row r="389" spans="1:19" x14ac:dyDescent="0.25">
      <c r="A389" s="72" t="s">
        <v>1869</v>
      </c>
      <c r="B389" t="s">
        <v>45</v>
      </c>
      <c r="C389" t="s">
        <v>45</v>
      </c>
      <c r="D389" t="s">
        <v>45</v>
      </c>
      <c r="E389" s="102">
        <v>3.3680555555555554</v>
      </c>
      <c r="F389" s="101">
        <v>41419.450800987965</v>
      </c>
      <c r="G389" s="102">
        <v>0.294678101051701</v>
      </c>
      <c r="H389" s="101">
        <v>7161.5187562449319</v>
      </c>
      <c r="I389" s="101">
        <v>2091.7379562203919</v>
      </c>
      <c r="J389" s="160"/>
      <c r="K389" t="str">
        <f>VLOOKUP(Historic_BCast_BASE[[#This Row],[Broadcast Market]],Continent_Look_Up[],2,FALSE)</f>
        <v>Digital</v>
      </c>
      <c r="L389" s="132" t="str">
        <f>IF(OR(Historic_BCast_BASE[[#This Row],[Broadcast Continent]]="Digital",Historic_BCast_BASE[[#This Row],[Programme Type]]="Digital"),"Y","N")</f>
        <v>Y</v>
      </c>
      <c r="M389" s="132" t="str">
        <f>IF(ISNUMBER(SEARCH("Pan ",Historic_BCast_BASE[[#This Row],[Broadcast Market]]))=TRUE,"Y","N")</f>
        <v>N</v>
      </c>
      <c r="N389" s="132" t="str">
        <f>VLOOKUP(CONCATENATE(Historic_BCast_BASE[[#This Row],[Broadcast Market]],Historic_BCast_BASE[[#This Row],[Broadcaster]]),Table1[[CC]:[Pay TV vs. Free-to-Air]],3,FALSE)</f>
        <v>Digital</v>
      </c>
      <c r="O389" s="133" t="str">
        <f>VLOOKUP(CONCATENATE(Historic_BCast_BASE[[#This Row],[Broadcast Market]],Historic_BCast_BASE[[#This Row],[Broadcaster]]),Table1[[CC]:[Pay TV vs. Free-to-Air]],2,FALSE)</f>
        <v>-</v>
      </c>
      <c r="P389" s="235">
        <f>Historic_BCast_BASE[[#This Row],[Rolex EXP]]*86400</f>
        <v>25460.187930866967</v>
      </c>
      <c r="Q389" s="19" t="str">
        <f>IF(Historic_BCast_BASE[[#This Row],[Dashboard Rated?]]="No","N","Y")</f>
        <v>Y</v>
      </c>
      <c r="S389" s="22"/>
    </row>
    <row r="390" spans="1:19" x14ac:dyDescent="0.25">
      <c r="A390" s="72" t="s">
        <v>1869</v>
      </c>
      <c r="B390" t="s">
        <v>45</v>
      </c>
      <c r="C390" t="s">
        <v>45</v>
      </c>
      <c r="D390" t="s">
        <v>45</v>
      </c>
      <c r="E390" s="102">
        <v>0.125</v>
      </c>
      <c r="F390" s="101">
        <v>2909.6388727902877</v>
      </c>
      <c r="G390" s="102">
        <v>1.1942637472810857E-2</v>
      </c>
      <c r="H390" s="101">
        <v>461.03312260704132</v>
      </c>
      <c r="I390" s="101">
        <v>132.44617102395958</v>
      </c>
      <c r="J390" s="160"/>
      <c r="K390" t="str">
        <f>VLOOKUP(Historic_BCast_BASE[[#This Row],[Broadcast Market]],Continent_Look_Up[],2,FALSE)</f>
        <v>Digital</v>
      </c>
      <c r="L390" s="132" t="str">
        <f>IF(OR(Historic_BCast_BASE[[#This Row],[Broadcast Continent]]="Digital",Historic_BCast_BASE[[#This Row],[Programme Type]]="Digital"),"Y","N")</f>
        <v>Y</v>
      </c>
      <c r="M390" s="132" t="str">
        <f>IF(ISNUMBER(SEARCH("Pan ",Historic_BCast_BASE[[#This Row],[Broadcast Market]]))=TRUE,"Y","N")</f>
        <v>N</v>
      </c>
      <c r="N390" s="132" t="str">
        <f>VLOOKUP(CONCATENATE(Historic_BCast_BASE[[#This Row],[Broadcast Market]],Historic_BCast_BASE[[#This Row],[Broadcaster]]),Table1[[CC]:[Pay TV vs. Free-to-Air]],3,FALSE)</f>
        <v>Digital</v>
      </c>
      <c r="O390" s="133" t="str">
        <f>VLOOKUP(CONCATENATE(Historic_BCast_BASE[[#This Row],[Broadcast Market]],Historic_BCast_BASE[[#This Row],[Broadcaster]]),Table1[[CC]:[Pay TV vs. Free-to-Air]],2,FALSE)</f>
        <v>-</v>
      </c>
      <c r="P390" s="235">
        <f>Historic_BCast_BASE[[#This Row],[Rolex EXP]]*86400</f>
        <v>1031.8438776508581</v>
      </c>
      <c r="Q390" s="19" t="str">
        <f>IF(Historic_BCast_BASE[[#This Row],[Dashboard Rated?]]="No","N","Y")</f>
        <v>Y</v>
      </c>
      <c r="S390" s="22"/>
    </row>
    <row r="391" spans="1:19" x14ac:dyDescent="0.25">
      <c r="A391" s="72" t="s">
        <v>1869</v>
      </c>
      <c r="B391" t="s">
        <v>45</v>
      </c>
      <c r="C391" t="s">
        <v>45</v>
      </c>
      <c r="D391" t="s">
        <v>45</v>
      </c>
      <c r="E391" s="102">
        <v>3.1666666666666665</v>
      </c>
      <c r="F391" s="101">
        <v>176902.96885380149</v>
      </c>
      <c r="G391" s="102">
        <v>0.30254681597787481</v>
      </c>
      <c r="H391" s="101">
        <v>56060.653362739278</v>
      </c>
      <c r="I391" s="101">
        <v>16105.174485098642</v>
      </c>
      <c r="J391" s="160"/>
      <c r="K391" t="str">
        <f>VLOOKUP(Historic_BCast_BASE[[#This Row],[Broadcast Market]],Continent_Look_Up[],2,FALSE)</f>
        <v>Digital</v>
      </c>
      <c r="L391" s="132" t="str">
        <f>IF(OR(Historic_BCast_BASE[[#This Row],[Broadcast Continent]]="Digital",Historic_BCast_BASE[[#This Row],[Programme Type]]="Digital"),"Y","N")</f>
        <v>Y</v>
      </c>
      <c r="M391" s="132" t="str">
        <f>IF(ISNUMBER(SEARCH("Pan ",Historic_BCast_BASE[[#This Row],[Broadcast Market]]))=TRUE,"Y","N")</f>
        <v>N</v>
      </c>
      <c r="N391" s="132" t="str">
        <f>VLOOKUP(CONCATENATE(Historic_BCast_BASE[[#This Row],[Broadcast Market]],Historic_BCast_BASE[[#This Row],[Broadcaster]]),Table1[[CC]:[Pay TV vs. Free-to-Air]],3,FALSE)</f>
        <v>Digital</v>
      </c>
      <c r="O391" s="133" t="str">
        <f>VLOOKUP(CONCATENATE(Historic_BCast_BASE[[#This Row],[Broadcast Market]],Historic_BCast_BASE[[#This Row],[Broadcaster]]),Table1[[CC]:[Pay TV vs. Free-to-Air]],2,FALSE)</f>
        <v>-</v>
      </c>
      <c r="P391" s="235">
        <f>Historic_BCast_BASE[[#This Row],[Rolex EXP]]*86400</f>
        <v>26140.044900488385</v>
      </c>
      <c r="Q391" s="19" t="str">
        <f>IF(Historic_BCast_BASE[[#This Row],[Dashboard Rated?]]="No","N","Y")</f>
        <v>Y</v>
      </c>
      <c r="S391" s="22"/>
    </row>
    <row r="392" spans="1:19" x14ac:dyDescent="0.25">
      <c r="A392" s="72" t="s">
        <v>1869</v>
      </c>
      <c r="B392" t="s">
        <v>45</v>
      </c>
      <c r="C392" t="s">
        <v>45</v>
      </c>
      <c r="D392" t="s">
        <v>45</v>
      </c>
      <c r="E392" s="102">
        <v>4.8611111111111116</v>
      </c>
      <c r="F392" s="101">
        <v>72150.837740609961</v>
      </c>
      <c r="G392" s="102">
        <v>0.45230472405375033</v>
      </c>
      <c r="H392" s="101">
        <v>14474.543987960029</v>
      </c>
      <c r="I392" s="101">
        <v>4199.0813769925708</v>
      </c>
      <c r="J392" s="160"/>
      <c r="K392" t="str">
        <f>VLOOKUP(Historic_BCast_BASE[[#This Row],[Broadcast Market]],Continent_Look_Up[],2,FALSE)</f>
        <v>Digital</v>
      </c>
      <c r="L392" s="132" t="str">
        <f>IF(OR(Historic_BCast_BASE[[#This Row],[Broadcast Continent]]="Digital",Historic_BCast_BASE[[#This Row],[Programme Type]]="Digital"),"Y","N")</f>
        <v>Y</v>
      </c>
      <c r="M392" s="132" t="str">
        <f>IF(ISNUMBER(SEARCH("Pan ",Historic_BCast_BASE[[#This Row],[Broadcast Market]]))=TRUE,"Y","N")</f>
        <v>N</v>
      </c>
      <c r="N392" s="132" t="str">
        <f>VLOOKUP(CONCATENATE(Historic_BCast_BASE[[#This Row],[Broadcast Market]],Historic_BCast_BASE[[#This Row],[Broadcaster]]),Table1[[CC]:[Pay TV vs. Free-to-Air]],3,FALSE)</f>
        <v>Digital</v>
      </c>
      <c r="O392" s="133" t="str">
        <f>VLOOKUP(CONCATENATE(Historic_BCast_BASE[[#This Row],[Broadcast Market]],Historic_BCast_BASE[[#This Row],[Broadcaster]]),Table1[[CC]:[Pay TV vs. Free-to-Air]],2,FALSE)</f>
        <v>-</v>
      </c>
      <c r="P392" s="235">
        <f>Historic_BCast_BASE[[#This Row],[Rolex EXP]]*86400</f>
        <v>39079.128158244028</v>
      </c>
      <c r="Q392" s="19" t="str">
        <f>IF(Historic_BCast_BASE[[#This Row],[Dashboard Rated?]]="No","N","Y")</f>
        <v>Y</v>
      </c>
      <c r="S392" s="22"/>
    </row>
    <row r="393" spans="1:19" x14ac:dyDescent="0.25">
      <c r="A393" s="72" t="s">
        <v>1869</v>
      </c>
      <c r="B393" t="s">
        <v>45</v>
      </c>
      <c r="C393" t="s">
        <v>45</v>
      </c>
      <c r="D393" t="s">
        <v>45</v>
      </c>
      <c r="E393" s="102">
        <v>8.3333333333333329E-2</v>
      </c>
      <c r="F393" s="101">
        <v>1194.3814889404459</v>
      </c>
      <c r="G393" s="102">
        <v>8.7022510940409203E-3</v>
      </c>
      <c r="H393" s="101">
        <v>206.85152250657373</v>
      </c>
      <c r="I393" s="101">
        <v>61.509463194668328</v>
      </c>
      <c r="J393" s="160"/>
      <c r="K393" t="str">
        <f>VLOOKUP(Historic_BCast_BASE[[#This Row],[Broadcast Market]],Continent_Look_Up[],2,FALSE)</f>
        <v>Digital</v>
      </c>
      <c r="L393" s="132" t="str">
        <f>IF(OR(Historic_BCast_BASE[[#This Row],[Broadcast Continent]]="Digital",Historic_BCast_BASE[[#This Row],[Programme Type]]="Digital"),"Y","N")</f>
        <v>Y</v>
      </c>
      <c r="M393" s="132" t="str">
        <f>IF(ISNUMBER(SEARCH("Pan ",Historic_BCast_BASE[[#This Row],[Broadcast Market]]))=TRUE,"Y","N")</f>
        <v>N</v>
      </c>
      <c r="N393" s="132" t="str">
        <f>VLOOKUP(CONCATENATE(Historic_BCast_BASE[[#This Row],[Broadcast Market]],Historic_BCast_BASE[[#This Row],[Broadcaster]]),Table1[[CC]:[Pay TV vs. Free-to-Air]],3,FALSE)</f>
        <v>Digital</v>
      </c>
      <c r="O393" s="133" t="str">
        <f>VLOOKUP(CONCATENATE(Historic_BCast_BASE[[#This Row],[Broadcast Market]],Historic_BCast_BASE[[#This Row],[Broadcaster]]),Table1[[CC]:[Pay TV vs. Free-to-Air]],2,FALSE)</f>
        <v>-</v>
      </c>
      <c r="P393" s="235">
        <f>Historic_BCast_BASE[[#This Row],[Rolex EXP]]*86400</f>
        <v>751.87449452513556</v>
      </c>
      <c r="Q393" s="19" t="str">
        <f>IF(Historic_BCast_BASE[[#This Row],[Dashboard Rated?]]="No","N","Y")</f>
        <v>Y</v>
      </c>
      <c r="S393" s="22"/>
    </row>
    <row r="394" spans="1:19" x14ac:dyDescent="0.25">
      <c r="A394" s="72" t="s">
        <v>1869</v>
      </c>
      <c r="B394" t="s">
        <v>45</v>
      </c>
      <c r="C394" t="s">
        <v>45</v>
      </c>
      <c r="D394" t="s">
        <v>45</v>
      </c>
      <c r="E394" s="102">
        <v>7.9020833333333336</v>
      </c>
      <c r="F394" s="101">
        <v>39291.637084795424</v>
      </c>
      <c r="G394" s="102">
        <v>0.75151600656457651</v>
      </c>
      <c r="H394" s="101">
        <v>45204.227769445162</v>
      </c>
      <c r="I394" s="101">
        <v>13009.756057034203</v>
      </c>
      <c r="J394" s="160"/>
      <c r="K394" t="str">
        <f>VLOOKUP(Historic_BCast_BASE[[#This Row],[Broadcast Market]],Continent_Look_Up[],2,FALSE)</f>
        <v>Digital</v>
      </c>
      <c r="L394" s="132" t="str">
        <f>IF(OR(Historic_BCast_BASE[[#This Row],[Broadcast Continent]]="Digital",Historic_BCast_BASE[[#This Row],[Programme Type]]="Digital"),"Y","N")</f>
        <v>Y</v>
      </c>
      <c r="M394" s="132" t="str">
        <f>IF(ISNUMBER(SEARCH("Pan ",Historic_BCast_BASE[[#This Row],[Broadcast Market]]))=TRUE,"Y","N")</f>
        <v>N</v>
      </c>
      <c r="N394" s="132" t="str">
        <f>VLOOKUP(CONCATENATE(Historic_BCast_BASE[[#This Row],[Broadcast Market]],Historic_BCast_BASE[[#This Row],[Broadcaster]]),Table1[[CC]:[Pay TV vs. Free-to-Air]],3,FALSE)</f>
        <v>Digital</v>
      </c>
      <c r="O394" s="133" t="str">
        <f>VLOOKUP(CONCATENATE(Historic_BCast_BASE[[#This Row],[Broadcast Market]],Historic_BCast_BASE[[#This Row],[Broadcaster]]),Table1[[CC]:[Pay TV vs. Free-to-Air]],2,FALSE)</f>
        <v>-</v>
      </c>
      <c r="P394" s="235">
        <f>Historic_BCast_BASE[[#This Row],[Rolex EXP]]*86400</f>
        <v>64930.982967179414</v>
      </c>
      <c r="Q394" s="19" t="str">
        <f>IF(Historic_BCast_BASE[[#This Row],[Dashboard Rated?]]="No","N","Y")</f>
        <v>Y</v>
      </c>
      <c r="S394" s="22"/>
    </row>
    <row r="395" spans="1:19" x14ac:dyDescent="0.25">
      <c r="A395" s="72" t="s">
        <v>1869</v>
      </c>
      <c r="B395" t="s">
        <v>45</v>
      </c>
      <c r="C395" t="s">
        <v>45</v>
      </c>
      <c r="D395" t="s">
        <v>45</v>
      </c>
      <c r="E395" s="102">
        <v>0.63194444444444442</v>
      </c>
      <c r="F395" s="101">
        <v>3022.4336219073402</v>
      </c>
      <c r="G395" s="102">
        <v>6.0376667223654888E-2</v>
      </c>
      <c r="H395" s="101">
        <v>3631.6999149685662</v>
      </c>
      <c r="I395" s="101">
        <v>1043.3192854466718</v>
      </c>
      <c r="J395" s="160"/>
      <c r="K395" t="str">
        <f>VLOOKUP(Historic_BCast_BASE[[#This Row],[Broadcast Market]],Continent_Look_Up[],2,FALSE)</f>
        <v>Digital</v>
      </c>
      <c r="L395" s="132" t="str">
        <f>IF(OR(Historic_BCast_BASE[[#This Row],[Broadcast Continent]]="Digital",Historic_BCast_BASE[[#This Row],[Programme Type]]="Digital"),"Y","N")</f>
        <v>Y</v>
      </c>
      <c r="M395" s="132" t="str">
        <f>IF(ISNUMBER(SEARCH("Pan ",Historic_BCast_BASE[[#This Row],[Broadcast Market]]))=TRUE,"Y","N")</f>
        <v>N</v>
      </c>
      <c r="N395" s="132" t="str">
        <f>VLOOKUP(CONCATENATE(Historic_BCast_BASE[[#This Row],[Broadcast Market]],Historic_BCast_BASE[[#This Row],[Broadcaster]]),Table1[[CC]:[Pay TV vs. Free-to-Air]],3,FALSE)</f>
        <v>Digital</v>
      </c>
      <c r="O395" s="133" t="str">
        <f>VLOOKUP(CONCATENATE(Historic_BCast_BASE[[#This Row],[Broadcast Market]],Historic_BCast_BASE[[#This Row],[Broadcaster]]),Table1[[CC]:[Pay TV vs. Free-to-Air]],2,FALSE)</f>
        <v>-</v>
      </c>
      <c r="P395" s="235">
        <f>Historic_BCast_BASE[[#This Row],[Rolex EXP]]*86400</f>
        <v>5216.544048123782</v>
      </c>
      <c r="Q395" s="19" t="str">
        <f>IF(Historic_BCast_BASE[[#This Row],[Dashboard Rated?]]="No","N","Y")</f>
        <v>Y</v>
      </c>
      <c r="S395" s="22"/>
    </row>
    <row r="396" spans="1:19" x14ac:dyDescent="0.25">
      <c r="A396" s="72" t="s">
        <v>1869</v>
      </c>
      <c r="B396" t="s">
        <v>45</v>
      </c>
      <c r="C396" t="s">
        <v>45</v>
      </c>
      <c r="D396" t="s">
        <v>45</v>
      </c>
      <c r="E396" s="102">
        <v>0.96180555555555547</v>
      </c>
      <c r="F396" s="101">
        <v>424.71339549837597</v>
      </c>
      <c r="G396" s="102">
        <v>9.1891960554683558E-2</v>
      </c>
      <c r="H396" s="101">
        <v>388.35377262149319</v>
      </c>
      <c r="I396" s="101">
        <v>111.56675662600351</v>
      </c>
      <c r="J396" s="160"/>
      <c r="K396" t="str">
        <f>VLOOKUP(Historic_BCast_BASE[[#This Row],[Broadcast Market]],Continent_Look_Up[],2,FALSE)</f>
        <v>Digital</v>
      </c>
      <c r="L396" s="132" t="str">
        <f>IF(OR(Historic_BCast_BASE[[#This Row],[Broadcast Continent]]="Digital",Historic_BCast_BASE[[#This Row],[Programme Type]]="Digital"),"Y","N")</f>
        <v>Y</v>
      </c>
      <c r="M396" s="132" t="str">
        <f>IF(ISNUMBER(SEARCH("Pan ",Historic_BCast_BASE[[#This Row],[Broadcast Market]]))=TRUE,"Y","N")</f>
        <v>N</v>
      </c>
      <c r="N396" s="132" t="str">
        <f>VLOOKUP(CONCATENATE(Historic_BCast_BASE[[#This Row],[Broadcast Market]],Historic_BCast_BASE[[#This Row],[Broadcaster]]),Table1[[CC]:[Pay TV vs. Free-to-Air]],3,FALSE)</f>
        <v>Digital</v>
      </c>
      <c r="O396" s="133" t="str">
        <f>VLOOKUP(CONCATENATE(Historic_BCast_BASE[[#This Row],[Broadcast Market]],Historic_BCast_BASE[[#This Row],[Broadcaster]]),Table1[[CC]:[Pay TV vs. Free-to-Air]],2,FALSE)</f>
        <v>-</v>
      </c>
      <c r="P396" s="235">
        <f>Historic_BCast_BASE[[#This Row],[Rolex EXP]]*86400</f>
        <v>7939.4653919246593</v>
      </c>
      <c r="Q396" s="19" t="str">
        <f>IF(Historic_BCast_BASE[[#This Row],[Dashboard Rated?]]="No","N","Y")</f>
        <v>Y</v>
      </c>
      <c r="S396" s="22"/>
    </row>
    <row r="397" spans="1:19" x14ac:dyDescent="0.25">
      <c r="A397" s="72" t="s">
        <v>1869</v>
      </c>
      <c r="B397" t="s">
        <v>45</v>
      </c>
      <c r="C397" t="s">
        <v>45</v>
      </c>
      <c r="D397" t="s">
        <v>45</v>
      </c>
      <c r="E397" s="102">
        <v>0.96527777777777779</v>
      </c>
      <c r="F397" s="101">
        <v>739.53189436576531</v>
      </c>
      <c r="G397" s="102">
        <v>9.222370048448382E-2</v>
      </c>
      <c r="H397" s="101">
        <v>388.10326779391198</v>
      </c>
      <c r="I397" s="101">
        <v>111.49479128640156</v>
      </c>
      <c r="J397" s="160"/>
      <c r="K397" t="str">
        <f>VLOOKUP(Historic_BCast_BASE[[#This Row],[Broadcast Market]],Continent_Look_Up[],2,FALSE)</f>
        <v>Digital</v>
      </c>
      <c r="L397" s="132" t="str">
        <f>IF(OR(Historic_BCast_BASE[[#This Row],[Broadcast Continent]]="Digital",Historic_BCast_BASE[[#This Row],[Programme Type]]="Digital"),"Y","N")</f>
        <v>Y</v>
      </c>
      <c r="M397" s="132" t="str">
        <f>IF(ISNUMBER(SEARCH("Pan ",Historic_BCast_BASE[[#This Row],[Broadcast Market]]))=TRUE,"Y","N")</f>
        <v>N</v>
      </c>
      <c r="N397" s="132" t="str">
        <f>VLOOKUP(CONCATENATE(Historic_BCast_BASE[[#This Row],[Broadcast Market]],Historic_BCast_BASE[[#This Row],[Broadcaster]]),Table1[[CC]:[Pay TV vs. Free-to-Air]],3,FALSE)</f>
        <v>Digital</v>
      </c>
      <c r="O397" s="133" t="str">
        <f>VLOOKUP(CONCATENATE(Historic_BCast_BASE[[#This Row],[Broadcast Market]],Historic_BCast_BASE[[#This Row],[Broadcaster]]),Table1[[CC]:[Pay TV vs. Free-to-Air]],2,FALSE)</f>
        <v>-</v>
      </c>
      <c r="P397" s="235">
        <f>Historic_BCast_BASE[[#This Row],[Rolex EXP]]*86400</f>
        <v>7968.1277218594023</v>
      </c>
      <c r="Q397" s="19" t="str">
        <f>IF(Historic_BCast_BASE[[#This Row],[Dashboard Rated?]]="No","N","Y")</f>
        <v>Y</v>
      </c>
      <c r="S397" s="22"/>
    </row>
    <row r="398" spans="1:19" x14ac:dyDescent="0.25">
      <c r="A398" s="72" t="s">
        <v>1869</v>
      </c>
      <c r="B398" t="s">
        <v>45</v>
      </c>
      <c r="C398" t="s">
        <v>45</v>
      </c>
      <c r="D398" t="s">
        <v>45</v>
      </c>
      <c r="E398" s="102">
        <v>3.0678009259259258</v>
      </c>
      <c r="F398" s="101">
        <v>5864.3404192810904</v>
      </c>
      <c r="G398" s="102">
        <v>0.2799164314269294</v>
      </c>
      <c r="H398" s="101">
        <v>1029.907516657875</v>
      </c>
      <c r="I398" s="101">
        <v>294.08853619389356</v>
      </c>
      <c r="J398" s="160"/>
      <c r="K398" t="str">
        <f>VLOOKUP(Historic_BCast_BASE[[#This Row],[Broadcast Market]],Continent_Look_Up[],2,FALSE)</f>
        <v>Digital</v>
      </c>
      <c r="L398" s="132" t="str">
        <f>IF(OR(Historic_BCast_BASE[[#This Row],[Broadcast Continent]]="Digital",Historic_BCast_BASE[[#This Row],[Programme Type]]="Digital"),"Y","N")</f>
        <v>Y</v>
      </c>
      <c r="M398" s="132" t="str">
        <f>IF(ISNUMBER(SEARCH("Pan ",Historic_BCast_BASE[[#This Row],[Broadcast Market]]))=TRUE,"Y","N")</f>
        <v>N</v>
      </c>
      <c r="N398" s="132" t="str">
        <f>VLOOKUP(CONCATENATE(Historic_BCast_BASE[[#This Row],[Broadcast Market]],Historic_BCast_BASE[[#This Row],[Broadcaster]]),Table1[[CC]:[Pay TV vs. Free-to-Air]],3,FALSE)</f>
        <v>Digital</v>
      </c>
      <c r="O398" s="133" t="str">
        <f>VLOOKUP(CONCATENATE(Historic_BCast_BASE[[#This Row],[Broadcast Market]],Historic_BCast_BASE[[#This Row],[Broadcaster]]),Table1[[CC]:[Pay TV vs. Free-to-Air]],2,FALSE)</f>
        <v>-</v>
      </c>
      <c r="P398" s="235">
        <f>Historic_BCast_BASE[[#This Row],[Rolex EXP]]*86400</f>
        <v>24184.7796752867</v>
      </c>
      <c r="Q398" s="19" t="str">
        <f>IF(Historic_BCast_BASE[[#This Row],[Dashboard Rated?]]="No","N","Y")</f>
        <v>Y</v>
      </c>
      <c r="S398" s="22"/>
    </row>
    <row r="399" spans="1:19" x14ac:dyDescent="0.25">
      <c r="A399" s="72" t="s">
        <v>1869</v>
      </c>
      <c r="B399" t="s">
        <v>45</v>
      </c>
      <c r="C399" t="s">
        <v>45</v>
      </c>
      <c r="D399" t="s">
        <v>45</v>
      </c>
      <c r="E399" s="102">
        <v>6.1754050925925936</v>
      </c>
      <c r="F399" s="101">
        <v>0</v>
      </c>
      <c r="G399" s="102">
        <v>0.58235875742639709</v>
      </c>
      <c r="H399" s="101">
        <v>0</v>
      </c>
      <c r="I399" s="101">
        <v>0</v>
      </c>
      <c r="J399" s="160"/>
      <c r="K399" t="str">
        <f>VLOOKUP(Historic_BCast_BASE[[#This Row],[Broadcast Market]],Continent_Look_Up[],2,FALSE)</f>
        <v>Digital</v>
      </c>
      <c r="L399" s="132" t="str">
        <f>IF(OR(Historic_BCast_BASE[[#This Row],[Broadcast Continent]]="Digital",Historic_BCast_BASE[[#This Row],[Programme Type]]="Digital"),"Y","N")</f>
        <v>Y</v>
      </c>
      <c r="M399" s="132" t="str">
        <f>IF(ISNUMBER(SEARCH("Pan ",Historic_BCast_BASE[[#This Row],[Broadcast Market]]))=TRUE,"Y","N")</f>
        <v>N</v>
      </c>
      <c r="N399" s="132" t="str">
        <f>VLOOKUP(CONCATENATE(Historic_BCast_BASE[[#This Row],[Broadcast Market]],Historic_BCast_BASE[[#This Row],[Broadcaster]]),Table1[[CC]:[Pay TV vs. Free-to-Air]],3,FALSE)</f>
        <v>Digital</v>
      </c>
      <c r="O399" s="133" t="str">
        <f>VLOOKUP(CONCATENATE(Historic_BCast_BASE[[#This Row],[Broadcast Market]],Historic_BCast_BASE[[#This Row],[Broadcaster]]),Table1[[CC]:[Pay TV vs. Free-to-Air]],2,FALSE)</f>
        <v>-</v>
      </c>
      <c r="P399" s="235">
        <f>Historic_BCast_BASE[[#This Row],[Rolex EXP]]*86400</f>
        <v>50315.796641640707</v>
      </c>
      <c r="Q399" s="19" t="str">
        <f>IF(Historic_BCast_BASE[[#This Row],[Dashboard Rated?]]="No","N","Y")</f>
        <v>Y</v>
      </c>
      <c r="S399" s="22"/>
    </row>
    <row r="400" spans="1:19" x14ac:dyDescent="0.25">
      <c r="A400" s="72" t="s">
        <v>1869</v>
      </c>
      <c r="B400" t="s">
        <v>45</v>
      </c>
      <c r="C400" t="s">
        <v>45</v>
      </c>
      <c r="D400" t="s">
        <v>45</v>
      </c>
      <c r="E400" s="102">
        <v>0.47209490740740745</v>
      </c>
      <c r="F400" s="101">
        <v>0</v>
      </c>
      <c r="G400" s="102">
        <v>4.1951547729316134E-2</v>
      </c>
      <c r="H400" s="101">
        <v>0</v>
      </c>
      <c r="I400" s="101">
        <v>0</v>
      </c>
      <c r="J400" s="160"/>
      <c r="K400" t="str">
        <f>VLOOKUP(Historic_BCast_BASE[[#This Row],[Broadcast Market]],Continent_Look_Up[],2,FALSE)</f>
        <v>Digital</v>
      </c>
      <c r="L400" s="132" t="str">
        <f>IF(OR(Historic_BCast_BASE[[#This Row],[Broadcast Continent]]="Digital",Historic_BCast_BASE[[#This Row],[Programme Type]]="Digital"),"Y","N")</f>
        <v>Y</v>
      </c>
      <c r="M400" s="132" t="str">
        <f>IF(ISNUMBER(SEARCH("Pan ",Historic_BCast_BASE[[#This Row],[Broadcast Market]]))=TRUE,"Y","N")</f>
        <v>N</v>
      </c>
      <c r="N400" s="132" t="str">
        <f>VLOOKUP(CONCATENATE(Historic_BCast_BASE[[#This Row],[Broadcast Market]],Historic_BCast_BASE[[#This Row],[Broadcaster]]),Table1[[CC]:[Pay TV vs. Free-to-Air]],3,FALSE)</f>
        <v>Digital</v>
      </c>
      <c r="O400" s="133" t="str">
        <f>VLOOKUP(CONCATENATE(Historic_BCast_BASE[[#This Row],[Broadcast Market]],Historic_BCast_BASE[[#This Row],[Broadcaster]]),Table1[[CC]:[Pay TV vs. Free-to-Air]],2,FALSE)</f>
        <v>-</v>
      </c>
      <c r="P400" s="235">
        <f>Historic_BCast_BASE[[#This Row],[Rolex EXP]]*86400</f>
        <v>3624.613723812914</v>
      </c>
      <c r="Q400" s="19" t="str">
        <f>IF(Historic_BCast_BASE[[#This Row],[Dashboard Rated?]]="No","N","Y")</f>
        <v>Y</v>
      </c>
      <c r="S400" s="22"/>
    </row>
    <row r="401" spans="1:19" x14ac:dyDescent="0.25">
      <c r="A401" s="72" t="s">
        <v>1869</v>
      </c>
      <c r="B401" t="s">
        <v>45</v>
      </c>
      <c r="C401" t="s">
        <v>45</v>
      </c>
      <c r="D401" t="s">
        <v>45</v>
      </c>
      <c r="E401" s="102">
        <v>3.6505324074074075</v>
      </c>
      <c r="F401" s="101">
        <v>0</v>
      </c>
      <c r="G401" s="102">
        <v>0.34877588099531304</v>
      </c>
      <c r="H401" s="101">
        <v>0</v>
      </c>
      <c r="I401" s="101">
        <v>0</v>
      </c>
      <c r="J401" s="160"/>
      <c r="K401" t="str">
        <f>VLOOKUP(Historic_BCast_BASE[[#This Row],[Broadcast Market]],Continent_Look_Up[],2,FALSE)</f>
        <v>Digital</v>
      </c>
      <c r="L401" s="132" t="str">
        <f>IF(OR(Historic_BCast_BASE[[#This Row],[Broadcast Continent]]="Digital",Historic_BCast_BASE[[#This Row],[Programme Type]]="Digital"),"Y","N")</f>
        <v>Y</v>
      </c>
      <c r="M401" s="132" t="str">
        <f>IF(ISNUMBER(SEARCH("Pan ",Historic_BCast_BASE[[#This Row],[Broadcast Market]]))=TRUE,"Y","N")</f>
        <v>N</v>
      </c>
      <c r="N401" s="132" t="str">
        <f>VLOOKUP(CONCATENATE(Historic_BCast_BASE[[#This Row],[Broadcast Market]],Historic_BCast_BASE[[#This Row],[Broadcaster]]),Table1[[CC]:[Pay TV vs. Free-to-Air]],3,FALSE)</f>
        <v>Digital</v>
      </c>
      <c r="O401" s="133" t="str">
        <f>VLOOKUP(CONCATENATE(Historic_BCast_BASE[[#This Row],[Broadcast Market]],Historic_BCast_BASE[[#This Row],[Broadcaster]]),Table1[[CC]:[Pay TV vs. Free-to-Air]],2,FALSE)</f>
        <v>-</v>
      </c>
      <c r="P401" s="235">
        <f>Historic_BCast_BASE[[#This Row],[Rolex EXP]]*86400</f>
        <v>30134.236117995046</v>
      </c>
      <c r="Q401" s="19" t="str">
        <f>IF(Historic_BCast_BASE[[#This Row],[Dashboard Rated?]]="No","N","Y")</f>
        <v>Y</v>
      </c>
      <c r="S401" s="22"/>
    </row>
    <row r="402" spans="1:19" x14ac:dyDescent="0.25">
      <c r="A402" s="72" t="s">
        <v>1869</v>
      </c>
      <c r="B402" t="s">
        <v>45</v>
      </c>
      <c r="C402" t="s">
        <v>45</v>
      </c>
      <c r="D402" t="s">
        <v>45</v>
      </c>
      <c r="E402" s="102">
        <v>0.47209490740740745</v>
      </c>
      <c r="F402" s="101">
        <v>286.06538630639398</v>
      </c>
      <c r="G402" s="102">
        <v>4.1951547729316134E-2</v>
      </c>
      <c r="H402" s="101">
        <v>24.539611781262899</v>
      </c>
      <c r="I402" s="101">
        <v>7.0497703081801957</v>
      </c>
      <c r="J402" s="160"/>
      <c r="K402" t="str">
        <f>VLOOKUP(Historic_BCast_BASE[[#This Row],[Broadcast Market]],Continent_Look_Up[],2,FALSE)</f>
        <v>Digital</v>
      </c>
      <c r="L402" s="132" t="str">
        <f>IF(OR(Historic_BCast_BASE[[#This Row],[Broadcast Continent]]="Digital",Historic_BCast_BASE[[#This Row],[Programme Type]]="Digital"),"Y","N")</f>
        <v>Y</v>
      </c>
      <c r="M402" s="132" t="str">
        <f>IF(ISNUMBER(SEARCH("Pan ",Historic_BCast_BASE[[#This Row],[Broadcast Market]]))=TRUE,"Y","N")</f>
        <v>N</v>
      </c>
      <c r="N402" s="132" t="str">
        <f>VLOOKUP(CONCATENATE(Historic_BCast_BASE[[#This Row],[Broadcast Market]],Historic_BCast_BASE[[#This Row],[Broadcaster]]),Table1[[CC]:[Pay TV vs. Free-to-Air]],3,FALSE)</f>
        <v>Digital</v>
      </c>
      <c r="O402" s="133" t="str">
        <f>VLOOKUP(CONCATENATE(Historic_BCast_BASE[[#This Row],[Broadcast Market]],Historic_BCast_BASE[[#This Row],[Broadcaster]]),Table1[[CC]:[Pay TV vs. Free-to-Air]],2,FALSE)</f>
        <v>-</v>
      </c>
      <c r="P402" s="235">
        <f>Historic_BCast_BASE[[#This Row],[Rolex EXP]]*86400</f>
        <v>3624.613723812914</v>
      </c>
      <c r="Q402" s="19" t="str">
        <f>IF(Historic_BCast_BASE[[#This Row],[Dashboard Rated?]]="No","N","Y")</f>
        <v>Y</v>
      </c>
      <c r="S402" s="22"/>
    </row>
    <row r="403" spans="1:19" x14ac:dyDescent="0.25">
      <c r="A403" s="72" t="s">
        <v>1869</v>
      </c>
      <c r="B403" t="s">
        <v>45</v>
      </c>
      <c r="C403" t="s">
        <v>45</v>
      </c>
      <c r="D403" t="s">
        <v>45</v>
      </c>
      <c r="E403" s="102">
        <v>3.6505324074074075</v>
      </c>
      <c r="F403" s="101">
        <v>6614.2285851189481</v>
      </c>
      <c r="G403" s="102">
        <v>0.34877588099531304</v>
      </c>
      <c r="H403" s="101">
        <v>3813.8264247159523</v>
      </c>
      <c r="I403" s="101">
        <v>1095.6408165366611</v>
      </c>
      <c r="J403" s="160"/>
      <c r="K403" t="str">
        <f>VLOOKUP(Historic_BCast_BASE[[#This Row],[Broadcast Market]],Continent_Look_Up[],2,FALSE)</f>
        <v>Digital</v>
      </c>
      <c r="L403" s="132" t="str">
        <f>IF(OR(Historic_BCast_BASE[[#This Row],[Broadcast Continent]]="Digital",Historic_BCast_BASE[[#This Row],[Programme Type]]="Digital"),"Y","N")</f>
        <v>Y</v>
      </c>
      <c r="M403" s="132" t="str">
        <f>IF(ISNUMBER(SEARCH("Pan ",Historic_BCast_BASE[[#This Row],[Broadcast Market]]))=TRUE,"Y","N")</f>
        <v>N</v>
      </c>
      <c r="N403" s="132" t="str">
        <f>VLOOKUP(CONCATENATE(Historic_BCast_BASE[[#This Row],[Broadcast Market]],Historic_BCast_BASE[[#This Row],[Broadcaster]]),Table1[[CC]:[Pay TV vs. Free-to-Air]],3,FALSE)</f>
        <v>Digital</v>
      </c>
      <c r="O403" s="133" t="str">
        <f>VLOOKUP(CONCATENATE(Historic_BCast_BASE[[#This Row],[Broadcast Market]],Historic_BCast_BASE[[#This Row],[Broadcaster]]),Table1[[CC]:[Pay TV vs. Free-to-Air]],2,FALSE)</f>
        <v>-</v>
      </c>
      <c r="P403" s="235">
        <f>Historic_BCast_BASE[[#This Row],[Rolex EXP]]*86400</f>
        <v>30134.236117995046</v>
      </c>
      <c r="Q403" s="19" t="str">
        <f>IF(Historic_BCast_BASE[[#This Row],[Dashboard Rated?]]="No","N","Y")</f>
        <v>Y</v>
      </c>
      <c r="S403" s="22"/>
    </row>
    <row r="404" spans="1:19" x14ac:dyDescent="0.25">
      <c r="A404" s="72" t="s">
        <v>1869</v>
      </c>
      <c r="B404" t="s">
        <v>45</v>
      </c>
      <c r="C404" t="s">
        <v>45</v>
      </c>
      <c r="D404" t="s">
        <v>45</v>
      </c>
      <c r="E404" s="102">
        <v>0.50831018518518523</v>
      </c>
      <c r="F404" s="101">
        <v>0</v>
      </c>
      <c r="G404" s="102">
        <v>4.856451412323215E-2</v>
      </c>
      <c r="H404" s="101">
        <v>0</v>
      </c>
      <c r="I404" s="101">
        <v>0</v>
      </c>
      <c r="J404" s="160"/>
      <c r="K404" t="str">
        <f>VLOOKUP(Historic_BCast_BASE[[#This Row],[Broadcast Market]],Continent_Look_Up[],2,FALSE)</f>
        <v>Digital</v>
      </c>
      <c r="L404" s="132" t="str">
        <f>IF(OR(Historic_BCast_BASE[[#This Row],[Broadcast Continent]]="Digital",Historic_BCast_BASE[[#This Row],[Programme Type]]="Digital"),"Y","N")</f>
        <v>Y</v>
      </c>
      <c r="M404" s="132" t="str">
        <f>IF(ISNUMBER(SEARCH("Pan ",Historic_BCast_BASE[[#This Row],[Broadcast Market]]))=TRUE,"Y","N")</f>
        <v>N</v>
      </c>
      <c r="N404" s="132" t="str">
        <f>VLOOKUP(CONCATENATE(Historic_BCast_BASE[[#This Row],[Broadcast Market]],Historic_BCast_BASE[[#This Row],[Broadcaster]]),Table1[[CC]:[Pay TV vs. Free-to-Air]],3,FALSE)</f>
        <v>Digital</v>
      </c>
      <c r="O404" s="133" t="str">
        <f>VLOOKUP(CONCATENATE(Historic_BCast_BASE[[#This Row],[Broadcast Market]],Historic_BCast_BASE[[#This Row],[Broadcaster]]),Table1[[CC]:[Pay TV vs. Free-to-Air]],2,FALSE)</f>
        <v>-</v>
      </c>
      <c r="P404" s="235">
        <f>Historic_BCast_BASE[[#This Row],[Rolex EXP]]*86400</f>
        <v>4195.9740202472576</v>
      </c>
      <c r="Q404" s="19" t="str">
        <f>IF(Historic_BCast_BASE[[#This Row],[Dashboard Rated?]]="No","N","Y")</f>
        <v>Y</v>
      </c>
      <c r="S404" s="22"/>
    </row>
    <row r="405" spans="1:19" x14ac:dyDescent="0.25">
      <c r="A405" s="72" t="s">
        <v>1869</v>
      </c>
      <c r="B405" t="s">
        <v>45</v>
      </c>
      <c r="C405" t="s">
        <v>45</v>
      </c>
      <c r="D405" t="s">
        <v>45</v>
      </c>
      <c r="E405" s="102">
        <v>0.50831018518518523</v>
      </c>
      <c r="F405" s="101">
        <v>2910.2605774523399</v>
      </c>
      <c r="G405" s="102">
        <v>4.856451412323215E-2</v>
      </c>
      <c r="H405" s="101">
        <v>1460.122075534583</v>
      </c>
      <c r="I405" s="101">
        <v>419.46569270022906</v>
      </c>
      <c r="J405" s="160"/>
      <c r="K405" t="str">
        <f>VLOOKUP(Historic_BCast_BASE[[#This Row],[Broadcast Market]],Continent_Look_Up[],2,FALSE)</f>
        <v>Digital</v>
      </c>
      <c r="L405" s="132" t="str">
        <f>IF(OR(Historic_BCast_BASE[[#This Row],[Broadcast Continent]]="Digital",Historic_BCast_BASE[[#This Row],[Programme Type]]="Digital"),"Y","N")</f>
        <v>Y</v>
      </c>
      <c r="M405" s="132" t="str">
        <f>IF(ISNUMBER(SEARCH("Pan ",Historic_BCast_BASE[[#This Row],[Broadcast Market]]))=TRUE,"Y","N")</f>
        <v>N</v>
      </c>
      <c r="N405" s="132" t="str">
        <f>VLOOKUP(CONCATENATE(Historic_BCast_BASE[[#This Row],[Broadcast Market]],Historic_BCast_BASE[[#This Row],[Broadcaster]]),Table1[[CC]:[Pay TV vs. Free-to-Air]],3,FALSE)</f>
        <v>Digital</v>
      </c>
      <c r="O405" s="133" t="str">
        <f>VLOOKUP(CONCATENATE(Historic_BCast_BASE[[#This Row],[Broadcast Market]],Historic_BCast_BASE[[#This Row],[Broadcaster]]),Table1[[CC]:[Pay TV vs. Free-to-Air]],2,FALSE)</f>
        <v>-</v>
      </c>
      <c r="P405" s="235">
        <f>Historic_BCast_BASE[[#This Row],[Rolex EXP]]*86400</f>
        <v>4195.9740202472576</v>
      </c>
      <c r="Q405" s="19" t="str">
        <f>IF(Historic_BCast_BASE[[#This Row],[Dashboard Rated?]]="No","N","Y")</f>
        <v>Y</v>
      </c>
      <c r="S405" s="22"/>
    </row>
    <row r="406" spans="1:19" x14ac:dyDescent="0.25">
      <c r="A406" s="72" t="s">
        <v>1869</v>
      </c>
      <c r="B406" t="s">
        <v>45</v>
      </c>
      <c r="C406" t="s">
        <v>45</v>
      </c>
      <c r="D406" t="s">
        <v>45</v>
      </c>
      <c r="E406" s="102">
        <v>3.0678009259259258</v>
      </c>
      <c r="F406" s="101">
        <v>10441.386600183399</v>
      </c>
      <c r="G406" s="102">
        <v>0.2799164314269294</v>
      </c>
      <c r="H406" s="101">
        <v>1370.1938404652897</v>
      </c>
      <c r="I406" s="101">
        <v>405.81152794064775</v>
      </c>
      <c r="J406" s="160"/>
      <c r="K406" t="str">
        <f>VLOOKUP(Historic_BCast_BASE[[#This Row],[Broadcast Market]],Continent_Look_Up[],2,FALSE)</f>
        <v>Digital</v>
      </c>
      <c r="L406" s="132" t="str">
        <f>IF(OR(Historic_BCast_BASE[[#This Row],[Broadcast Continent]]="Digital",Historic_BCast_BASE[[#This Row],[Programme Type]]="Digital"),"Y","N")</f>
        <v>Y</v>
      </c>
      <c r="M406" s="132" t="str">
        <f>IF(ISNUMBER(SEARCH("Pan ",Historic_BCast_BASE[[#This Row],[Broadcast Market]]))=TRUE,"Y","N")</f>
        <v>N</v>
      </c>
      <c r="N406" s="132" t="str">
        <f>VLOOKUP(CONCATENATE(Historic_BCast_BASE[[#This Row],[Broadcast Market]],Historic_BCast_BASE[[#This Row],[Broadcaster]]),Table1[[CC]:[Pay TV vs. Free-to-Air]],3,FALSE)</f>
        <v>Digital</v>
      </c>
      <c r="O406" s="133" t="str">
        <f>VLOOKUP(CONCATENATE(Historic_BCast_BASE[[#This Row],[Broadcast Market]],Historic_BCast_BASE[[#This Row],[Broadcaster]]),Table1[[CC]:[Pay TV vs. Free-to-Air]],2,FALSE)</f>
        <v>-</v>
      </c>
      <c r="P406" s="235">
        <f>Historic_BCast_BASE[[#This Row],[Rolex EXP]]*86400</f>
        <v>24184.7796752867</v>
      </c>
      <c r="Q406" s="19" t="str">
        <f>IF(Historic_BCast_BASE[[#This Row],[Dashboard Rated?]]="No","N","Y")</f>
        <v>Y</v>
      </c>
      <c r="S406" s="22"/>
    </row>
    <row r="407" spans="1:19" x14ac:dyDescent="0.25">
      <c r="A407" s="72" t="s">
        <v>1869</v>
      </c>
      <c r="B407" t="s">
        <v>45</v>
      </c>
      <c r="C407" t="s">
        <v>45</v>
      </c>
      <c r="D407" t="s">
        <v>45</v>
      </c>
      <c r="E407" s="102">
        <v>6.1754050925925936</v>
      </c>
      <c r="F407" s="101">
        <v>10053.6274493808</v>
      </c>
      <c r="G407" s="102">
        <v>0.58235875742639709</v>
      </c>
      <c r="H407" s="101">
        <v>8040.8530099539166</v>
      </c>
      <c r="I407" s="101">
        <v>2307.5777127029692</v>
      </c>
      <c r="J407" s="160"/>
      <c r="K407" t="str">
        <f>VLOOKUP(Historic_BCast_BASE[[#This Row],[Broadcast Market]],Continent_Look_Up[],2,FALSE)</f>
        <v>Digital</v>
      </c>
      <c r="L407" s="132" t="str">
        <f>IF(OR(Historic_BCast_BASE[[#This Row],[Broadcast Continent]]="Digital",Historic_BCast_BASE[[#This Row],[Programme Type]]="Digital"),"Y","N")</f>
        <v>Y</v>
      </c>
      <c r="M407" s="132" t="str">
        <f>IF(ISNUMBER(SEARCH("Pan ",Historic_BCast_BASE[[#This Row],[Broadcast Market]]))=TRUE,"Y","N")</f>
        <v>N</v>
      </c>
      <c r="N407" s="132" t="str">
        <f>VLOOKUP(CONCATENATE(Historic_BCast_BASE[[#This Row],[Broadcast Market]],Historic_BCast_BASE[[#This Row],[Broadcaster]]),Table1[[CC]:[Pay TV vs. Free-to-Air]],3,FALSE)</f>
        <v>Digital</v>
      </c>
      <c r="O407" s="133" t="str">
        <f>VLOOKUP(CONCATENATE(Historic_BCast_BASE[[#This Row],[Broadcast Market]],Historic_BCast_BASE[[#This Row],[Broadcaster]]),Table1[[CC]:[Pay TV vs. Free-to-Air]],2,FALSE)</f>
        <v>-</v>
      </c>
      <c r="P407" s="235">
        <f>Historic_BCast_BASE[[#This Row],[Rolex EXP]]*86400</f>
        <v>50315.796641640707</v>
      </c>
      <c r="Q407" s="19" t="str">
        <f>IF(Historic_BCast_BASE[[#This Row],[Dashboard Rated?]]="No","N","Y")</f>
        <v>Y</v>
      </c>
      <c r="S407" s="22"/>
    </row>
    <row r="408" spans="1:19" x14ac:dyDescent="0.25">
      <c r="A408" s="72" t="s">
        <v>1869</v>
      </c>
      <c r="B408" t="s">
        <v>45</v>
      </c>
      <c r="C408" t="s">
        <v>45</v>
      </c>
      <c r="D408" t="s">
        <v>45</v>
      </c>
      <c r="E408" s="102">
        <v>0.54166666666666663</v>
      </c>
      <c r="F408" s="101">
        <v>28675.49069610424</v>
      </c>
      <c r="G408" s="102">
        <v>5.0244117680982296E-2</v>
      </c>
      <c r="H408" s="101">
        <v>14336.730928242772</v>
      </c>
      <c r="I408" s="101">
        <v>4157.8280541840995</v>
      </c>
      <c r="J408" s="160"/>
      <c r="K408" t="str">
        <f>VLOOKUP(Historic_BCast_BASE[[#This Row],[Broadcast Market]],Continent_Look_Up[],2,FALSE)</f>
        <v>Digital</v>
      </c>
      <c r="L408" s="132" t="str">
        <f>IF(OR(Historic_BCast_BASE[[#This Row],[Broadcast Continent]]="Digital",Historic_BCast_BASE[[#This Row],[Programme Type]]="Digital"),"Y","N")</f>
        <v>Y</v>
      </c>
      <c r="M408" s="132" t="str">
        <f>IF(ISNUMBER(SEARCH("Pan ",Historic_BCast_BASE[[#This Row],[Broadcast Market]]))=TRUE,"Y","N")</f>
        <v>N</v>
      </c>
      <c r="N408" s="132" t="str">
        <f>VLOOKUP(CONCATENATE(Historic_BCast_BASE[[#This Row],[Broadcast Market]],Historic_BCast_BASE[[#This Row],[Broadcaster]]),Table1[[CC]:[Pay TV vs. Free-to-Air]],3,FALSE)</f>
        <v>Digital</v>
      </c>
      <c r="O408" s="133" t="str">
        <f>VLOOKUP(CONCATENATE(Historic_BCast_BASE[[#This Row],[Broadcast Market]],Historic_BCast_BASE[[#This Row],[Broadcaster]]),Table1[[CC]:[Pay TV vs. Free-to-Air]],2,FALSE)</f>
        <v>-</v>
      </c>
      <c r="P408" s="235">
        <f>Historic_BCast_BASE[[#This Row],[Rolex EXP]]*86400</f>
        <v>4341.0917676368708</v>
      </c>
      <c r="Q408" s="19" t="str">
        <f>IF(Historic_BCast_BASE[[#This Row],[Dashboard Rated?]]="No","N","Y")</f>
        <v>Y</v>
      </c>
      <c r="S408" s="22"/>
    </row>
    <row r="409" spans="1:19" x14ac:dyDescent="0.25">
      <c r="A409" s="72" t="s">
        <v>1869</v>
      </c>
      <c r="B409" t="s">
        <v>45</v>
      </c>
      <c r="C409" t="s">
        <v>45</v>
      </c>
      <c r="D409" t="s">
        <v>45</v>
      </c>
      <c r="E409" s="102">
        <v>8.3333333333333329E-2</v>
      </c>
      <c r="F409" s="101">
        <v>989.80705012253304</v>
      </c>
      <c r="G409" s="102">
        <v>6.4544469473424839E-3</v>
      </c>
      <c r="H409" s="101">
        <v>254.28668587052698</v>
      </c>
      <c r="I409" s="101">
        <v>78.457806825658508</v>
      </c>
      <c r="J409" s="160"/>
      <c r="K409" t="str">
        <f>VLOOKUP(Historic_BCast_BASE[[#This Row],[Broadcast Market]],Continent_Look_Up[],2,FALSE)</f>
        <v>Digital</v>
      </c>
      <c r="L409" s="132" t="str">
        <f>IF(OR(Historic_BCast_BASE[[#This Row],[Broadcast Continent]]="Digital",Historic_BCast_BASE[[#This Row],[Programme Type]]="Digital"),"Y","N")</f>
        <v>Y</v>
      </c>
      <c r="M409" s="132" t="str">
        <f>IF(ISNUMBER(SEARCH("Pan ",Historic_BCast_BASE[[#This Row],[Broadcast Market]]))=TRUE,"Y","N")</f>
        <v>N</v>
      </c>
      <c r="N409" s="132" t="str">
        <f>VLOOKUP(CONCATENATE(Historic_BCast_BASE[[#This Row],[Broadcast Market]],Historic_BCast_BASE[[#This Row],[Broadcaster]]),Table1[[CC]:[Pay TV vs. Free-to-Air]],3,FALSE)</f>
        <v>Digital</v>
      </c>
      <c r="O409" s="133" t="str">
        <f>VLOOKUP(CONCATENATE(Historic_BCast_BASE[[#This Row],[Broadcast Market]],Historic_BCast_BASE[[#This Row],[Broadcaster]]),Table1[[CC]:[Pay TV vs. Free-to-Air]],2,FALSE)</f>
        <v>-</v>
      </c>
      <c r="P409" s="235">
        <f>Historic_BCast_BASE[[#This Row],[Rolex EXP]]*86400</f>
        <v>557.66421625039061</v>
      </c>
      <c r="Q409" s="19" t="str">
        <f>IF(Historic_BCast_BASE[[#This Row],[Dashboard Rated?]]="No","N","Y")</f>
        <v>Y</v>
      </c>
      <c r="S409" s="22"/>
    </row>
    <row r="410" spans="1:19" x14ac:dyDescent="0.25">
      <c r="A410" s="72" t="s">
        <v>1869</v>
      </c>
      <c r="B410" t="s">
        <v>45</v>
      </c>
      <c r="C410" t="s">
        <v>45</v>
      </c>
      <c r="D410" t="s">
        <v>45</v>
      </c>
      <c r="E410" s="102">
        <v>0.76388888888888884</v>
      </c>
      <c r="F410" s="101">
        <v>28675.49069610424</v>
      </c>
      <c r="G410" s="102">
        <v>7.2982784556066341E-2</v>
      </c>
      <c r="H410" s="101">
        <v>20825.015800213358</v>
      </c>
      <c r="I410" s="101">
        <v>5982.6365373809549</v>
      </c>
      <c r="J410" s="160"/>
      <c r="K410" t="str">
        <f>VLOOKUP(Historic_BCast_BASE[[#This Row],[Broadcast Market]],Continent_Look_Up[],2,FALSE)</f>
        <v>Digital</v>
      </c>
      <c r="L410" s="132" t="str">
        <f>IF(OR(Historic_BCast_BASE[[#This Row],[Broadcast Continent]]="Digital",Historic_BCast_BASE[[#This Row],[Programme Type]]="Digital"),"Y","N")</f>
        <v>Y</v>
      </c>
      <c r="M410" s="132" t="str">
        <f>IF(ISNUMBER(SEARCH("Pan ",Historic_BCast_BASE[[#This Row],[Broadcast Market]]))=TRUE,"Y","N")</f>
        <v>N</v>
      </c>
      <c r="N410" s="132" t="str">
        <f>VLOOKUP(CONCATENATE(Historic_BCast_BASE[[#This Row],[Broadcast Market]],Historic_BCast_BASE[[#This Row],[Broadcaster]]),Table1[[CC]:[Pay TV vs. Free-to-Air]],3,FALSE)</f>
        <v>Digital</v>
      </c>
      <c r="O410" s="133" t="str">
        <f>VLOOKUP(CONCATENATE(Historic_BCast_BASE[[#This Row],[Broadcast Market]],Historic_BCast_BASE[[#This Row],[Broadcaster]]),Table1[[CC]:[Pay TV vs. Free-to-Air]],2,FALSE)</f>
        <v>-</v>
      </c>
      <c r="P410" s="235">
        <f>Historic_BCast_BASE[[#This Row],[Rolex EXP]]*86400</f>
        <v>6305.7125856441317</v>
      </c>
      <c r="Q410" s="19" t="str">
        <f>IF(Historic_BCast_BASE[[#This Row],[Dashboard Rated?]]="No","N","Y")</f>
        <v>Y</v>
      </c>
      <c r="S410" s="22"/>
    </row>
    <row r="411" spans="1:19" x14ac:dyDescent="0.25">
      <c r="A411" s="72" t="s">
        <v>1869</v>
      </c>
      <c r="B411" t="s">
        <v>45</v>
      </c>
      <c r="C411" t="s">
        <v>45</v>
      </c>
      <c r="D411" t="s">
        <v>45</v>
      </c>
      <c r="E411" s="102">
        <v>0.21180555555555555</v>
      </c>
      <c r="F411" s="101">
        <v>1979.6141002450661</v>
      </c>
      <c r="G411" s="102">
        <v>1.5463746859917133E-2</v>
      </c>
      <c r="H411" s="101">
        <v>609.22724630467792</v>
      </c>
      <c r="I411" s="101">
        <v>176.32905581726783</v>
      </c>
      <c r="J411" s="160"/>
      <c r="K411" t="str">
        <f>VLOOKUP(Historic_BCast_BASE[[#This Row],[Broadcast Market]],Continent_Look_Up[],2,FALSE)</f>
        <v>Digital</v>
      </c>
      <c r="L411" s="132" t="str">
        <f>IF(OR(Historic_BCast_BASE[[#This Row],[Broadcast Continent]]="Digital",Historic_BCast_BASE[[#This Row],[Programme Type]]="Digital"),"Y","N")</f>
        <v>Y</v>
      </c>
      <c r="M411" s="132" t="str">
        <f>IF(ISNUMBER(SEARCH("Pan ",Historic_BCast_BASE[[#This Row],[Broadcast Market]]))=TRUE,"Y","N")</f>
        <v>N</v>
      </c>
      <c r="N411" s="132" t="str">
        <f>VLOOKUP(CONCATENATE(Historic_BCast_BASE[[#This Row],[Broadcast Market]],Historic_BCast_BASE[[#This Row],[Broadcaster]]),Table1[[CC]:[Pay TV vs. Free-to-Air]],3,FALSE)</f>
        <v>Digital</v>
      </c>
      <c r="O411" s="133" t="str">
        <f>VLOOKUP(CONCATENATE(Historic_BCast_BASE[[#This Row],[Broadcast Market]],Historic_BCast_BASE[[#This Row],[Broadcaster]]),Table1[[CC]:[Pay TV vs. Free-to-Air]],2,FALSE)</f>
        <v>-</v>
      </c>
      <c r="P411" s="235">
        <f>Historic_BCast_BASE[[#This Row],[Rolex EXP]]*86400</f>
        <v>1336.0677286968403</v>
      </c>
      <c r="Q411" s="19" t="str">
        <f>IF(Historic_BCast_BASE[[#This Row],[Dashboard Rated?]]="No","N","Y")</f>
        <v>Y</v>
      </c>
      <c r="S411" s="22"/>
    </row>
    <row r="412" spans="1:19" x14ac:dyDescent="0.25">
      <c r="A412" s="72" t="s">
        <v>1869</v>
      </c>
      <c r="B412" t="s">
        <v>45</v>
      </c>
      <c r="C412" t="s">
        <v>45</v>
      </c>
      <c r="D412" t="s">
        <v>45</v>
      </c>
      <c r="E412" s="102">
        <v>1.7256944444444444</v>
      </c>
      <c r="F412" s="101">
        <v>75644.911387335043</v>
      </c>
      <c r="G412" s="102">
        <v>0.15974786685540374</v>
      </c>
      <c r="H412" s="101">
        <v>47282.811182100369</v>
      </c>
      <c r="I412" s="101">
        <v>13511.502691471716</v>
      </c>
      <c r="J412" s="160"/>
      <c r="K412" t="str">
        <f>VLOOKUP(Historic_BCast_BASE[[#This Row],[Broadcast Market]],Continent_Look_Up[],2,FALSE)</f>
        <v>Digital</v>
      </c>
      <c r="L412" s="132" t="str">
        <f>IF(OR(Historic_BCast_BASE[[#This Row],[Broadcast Continent]]="Digital",Historic_BCast_BASE[[#This Row],[Programme Type]]="Digital"),"Y","N")</f>
        <v>Y</v>
      </c>
      <c r="M412" s="132" t="str">
        <f>IF(ISNUMBER(SEARCH("Pan ",Historic_BCast_BASE[[#This Row],[Broadcast Market]]))=TRUE,"Y","N")</f>
        <v>N</v>
      </c>
      <c r="N412" s="132" t="str">
        <f>VLOOKUP(CONCATENATE(Historic_BCast_BASE[[#This Row],[Broadcast Market]],Historic_BCast_BASE[[#This Row],[Broadcaster]]),Table1[[CC]:[Pay TV vs. Free-to-Air]],3,FALSE)</f>
        <v>Digital</v>
      </c>
      <c r="O412" s="133" t="str">
        <f>VLOOKUP(CONCATENATE(Historic_BCast_BASE[[#This Row],[Broadcast Market]],Historic_BCast_BASE[[#This Row],[Broadcaster]]),Table1[[CC]:[Pay TV vs. Free-to-Air]],2,FALSE)</f>
        <v>-</v>
      </c>
      <c r="P412" s="235">
        <f>Historic_BCast_BASE[[#This Row],[Rolex EXP]]*86400</f>
        <v>13802.215696306883</v>
      </c>
      <c r="Q412" s="19" t="str">
        <f>IF(Historic_BCast_BASE[[#This Row],[Dashboard Rated?]]="No","N","Y")</f>
        <v>Y</v>
      </c>
      <c r="S412" s="22"/>
    </row>
    <row r="413" spans="1:19" x14ac:dyDescent="0.25">
      <c r="A413" s="72" t="s">
        <v>1869</v>
      </c>
      <c r="B413" t="s">
        <v>45</v>
      </c>
      <c r="C413" t="s">
        <v>45</v>
      </c>
      <c r="D413" t="s">
        <v>45</v>
      </c>
      <c r="E413" s="102">
        <v>2.0833333333333332E-2</v>
      </c>
      <c r="F413" s="101">
        <v>803.42006191556209</v>
      </c>
      <c r="G413" s="102">
        <v>1.7138215248058335E-3</v>
      </c>
      <c r="H413" s="101">
        <v>54.805268349496224</v>
      </c>
      <c r="I413" s="101">
        <v>16.740988338504796</v>
      </c>
      <c r="J413" s="160"/>
      <c r="K413" t="str">
        <f>VLOOKUP(Historic_BCast_BASE[[#This Row],[Broadcast Market]],Continent_Look_Up[],2,FALSE)</f>
        <v>Digital</v>
      </c>
      <c r="L413" s="132" t="str">
        <f>IF(OR(Historic_BCast_BASE[[#This Row],[Broadcast Continent]]="Digital",Historic_BCast_BASE[[#This Row],[Programme Type]]="Digital"),"Y","N")</f>
        <v>Y</v>
      </c>
      <c r="M413" s="132" t="str">
        <f>IF(ISNUMBER(SEARCH("Pan ",Historic_BCast_BASE[[#This Row],[Broadcast Market]]))=TRUE,"Y","N")</f>
        <v>N</v>
      </c>
      <c r="N413" s="132" t="str">
        <f>VLOOKUP(CONCATENATE(Historic_BCast_BASE[[#This Row],[Broadcast Market]],Historic_BCast_BASE[[#This Row],[Broadcaster]]),Table1[[CC]:[Pay TV vs. Free-to-Air]],3,FALSE)</f>
        <v>Digital</v>
      </c>
      <c r="O413" s="133" t="str">
        <f>VLOOKUP(CONCATENATE(Historic_BCast_BASE[[#This Row],[Broadcast Market]],Historic_BCast_BASE[[#This Row],[Broadcaster]]),Table1[[CC]:[Pay TV vs. Free-to-Air]],2,FALSE)</f>
        <v>-</v>
      </c>
      <c r="P413" s="235">
        <f>Historic_BCast_BASE[[#This Row],[Rolex EXP]]*86400</f>
        <v>148.07417974322402</v>
      </c>
      <c r="Q413" s="19" t="str">
        <f>IF(Historic_BCast_BASE[[#This Row],[Dashboard Rated?]]="No","N","Y")</f>
        <v>Y</v>
      </c>
      <c r="S413" s="22"/>
    </row>
    <row r="414" spans="1:19" x14ac:dyDescent="0.25">
      <c r="A414" s="72" t="s">
        <v>1869</v>
      </c>
      <c r="B414" t="s">
        <v>45</v>
      </c>
      <c r="C414" t="s">
        <v>45</v>
      </c>
      <c r="D414" t="s">
        <v>45</v>
      </c>
      <c r="E414" s="102">
        <v>4.989583333333333</v>
      </c>
      <c r="F414" s="101">
        <v>197277.04529931769</v>
      </c>
      <c r="G414" s="102">
        <v>0.47174619335866547</v>
      </c>
      <c r="H414" s="101">
        <v>159962.89759404495</v>
      </c>
      <c r="I414" s="101">
        <v>46607.28468848671</v>
      </c>
      <c r="J414" s="160"/>
      <c r="K414" t="str">
        <f>VLOOKUP(Historic_BCast_BASE[[#This Row],[Broadcast Market]],Continent_Look_Up[],2,FALSE)</f>
        <v>Digital</v>
      </c>
      <c r="L414" s="132" t="str">
        <f>IF(OR(Historic_BCast_BASE[[#This Row],[Broadcast Continent]]="Digital",Historic_BCast_BASE[[#This Row],[Programme Type]]="Digital"),"Y","N")</f>
        <v>Y</v>
      </c>
      <c r="M414" s="132" t="str">
        <f>IF(ISNUMBER(SEARCH("Pan ",Historic_BCast_BASE[[#This Row],[Broadcast Market]]))=TRUE,"Y","N")</f>
        <v>N</v>
      </c>
      <c r="N414" s="132" t="str">
        <f>VLOOKUP(CONCATENATE(Historic_BCast_BASE[[#This Row],[Broadcast Market]],Historic_BCast_BASE[[#This Row],[Broadcaster]]),Table1[[CC]:[Pay TV vs. Free-to-Air]],3,FALSE)</f>
        <v>Digital</v>
      </c>
      <c r="O414" s="133" t="str">
        <f>VLOOKUP(CONCATENATE(Historic_BCast_BASE[[#This Row],[Broadcast Market]],Historic_BCast_BASE[[#This Row],[Broadcaster]]),Table1[[CC]:[Pay TV vs. Free-to-Air]],2,FALSE)</f>
        <v>-</v>
      </c>
      <c r="P414" s="235">
        <f>Historic_BCast_BASE[[#This Row],[Rolex EXP]]*86400</f>
        <v>40758.871106188693</v>
      </c>
      <c r="Q414" s="19" t="str">
        <f>IF(Historic_BCast_BASE[[#This Row],[Dashboard Rated?]]="No","N","Y")</f>
        <v>Y</v>
      </c>
      <c r="S414" s="22"/>
    </row>
    <row r="415" spans="1:19" x14ac:dyDescent="0.25">
      <c r="A415" s="72" t="s">
        <v>1869</v>
      </c>
      <c r="B415" t="s">
        <v>45</v>
      </c>
      <c r="C415" t="s">
        <v>45</v>
      </c>
      <c r="D415" t="s">
        <v>45</v>
      </c>
      <c r="E415" s="102">
        <v>0.21875</v>
      </c>
      <c r="F415" s="101">
        <v>989.80705012253304</v>
      </c>
      <c r="G415" s="102">
        <v>1.6942923236774019E-2</v>
      </c>
      <c r="H415" s="101">
        <v>667.50255041013338</v>
      </c>
      <c r="I415" s="101">
        <v>205.95174291735358</v>
      </c>
      <c r="J415" s="160"/>
      <c r="K415" t="str">
        <f>VLOOKUP(Historic_BCast_BASE[[#This Row],[Broadcast Market]],Continent_Look_Up[],2,FALSE)</f>
        <v>Digital</v>
      </c>
      <c r="L415" s="132" t="str">
        <f>IF(OR(Historic_BCast_BASE[[#This Row],[Broadcast Continent]]="Digital",Historic_BCast_BASE[[#This Row],[Programme Type]]="Digital"),"Y","N")</f>
        <v>Y</v>
      </c>
      <c r="M415" s="132" t="str">
        <f>IF(ISNUMBER(SEARCH("Pan ",Historic_BCast_BASE[[#This Row],[Broadcast Market]]))=TRUE,"Y","N")</f>
        <v>N</v>
      </c>
      <c r="N415" s="132" t="str">
        <f>VLOOKUP(CONCATENATE(Historic_BCast_BASE[[#This Row],[Broadcast Market]],Historic_BCast_BASE[[#This Row],[Broadcaster]]),Table1[[CC]:[Pay TV vs. Free-to-Air]],3,FALSE)</f>
        <v>Digital</v>
      </c>
      <c r="O415" s="133" t="str">
        <f>VLOOKUP(CONCATENATE(Historic_BCast_BASE[[#This Row],[Broadcast Market]],Historic_BCast_BASE[[#This Row],[Broadcaster]]),Table1[[CC]:[Pay TV vs. Free-to-Air]],2,FALSE)</f>
        <v>-</v>
      </c>
      <c r="P415" s="235">
        <f>Historic_BCast_BASE[[#This Row],[Rolex EXP]]*86400</f>
        <v>1463.8685676572752</v>
      </c>
      <c r="Q415" s="19" t="str">
        <f>IF(Historic_BCast_BASE[[#This Row],[Dashboard Rated?]]="No","N","Y")</f>
        <v>Y</v>
      </c>
      <c r="S415" s="22"/>
    </row>
    <row r="416" spans="1:19" x14ac:dyDescent="0.25">
      <c r="A416" s="72" t="s">
        <v>1869</v>
      </c>
      <c r="B416" t="s">
        <v>45</v>
      </c>
      <c r="C416" t="s">
        <v>45</v>
      </c>
      <c r="D416" t="s">
        <v>45</v>
      </c>
      <c r="E416" s="102">
        <v>1.6175925925925927</v>
      </c>
      <c r="F416" s="101">
        <v>128394.5436451538</v>
      </c>
      <c r="G416" s="102">
        <v>0.15207578266900537</v>
      </c>
      <c r="H416" s="101">
        <v>5626.216874228915</v>
      </c>
      <c r="I416" s="101">
        <v>1677.698501182027</v>
      </c>
      <c r="J416" s="160"/>
      <c r="K416" t="str">
        <f>VLOOKUP(Historic_BCast_BASE[[#This Row],[Broadcast Market]],Continent_Look_Up[],2,FALSE)</f>
        <v>Digital</v>
      </c>
      <c r="L416" s="132" t="str">
        <f>IF(OR(Historic_BCast_BASE[[#This Row],[Broadcast Continent]]="Digital",Historic_BCast_BASE[[#This Row],[Programme Type]]="Digital"),"Y","N")</f>
        <v>Y</v>
      </c>
      <c r="M416" s="132" t="str">
        <f>IF(ISNUMBER(SEARCH("Pan ",Historic_BCast_BASE[[#This Row],[Broadcast Market]]))=TRUE,"Y","N")</f>
        <v>N</v>
      </c>
      <c r="N416" s="132" t="str">
        <f>VLOOKUP(CONCATENATE(Historic_BCast_BASE[[#This Row],[Broadcast Market]],Historic_BCast_BASE[[#This Row],[Broadcaster]]),Table1[[CC]:[Pay TV vs. Free-to-Air]],3,FALSE)</f>
        <v>Digital</v>
      </c>
      <c r="O416" s="133" t="str">
        <f>VLOOKUP(CONCATENATE(Historic_BCast_BASE[[#This Row],[Broadcast Market]],Historic_BCast_BASE[[#This Row],[Broadcaster]]),Table1[[CC]:[Pay TV vs. Free-to-Air]],2,FALSE)</f>
        <v>-</v>
      </c>
      <c r="P416" s="235">
        <f>Historic_BCast_BASE[[#This Row],[Rolex EXP]]*86400</f>
        <v>13139.347622602065</v>
      </c>
      <c r="Q416" s="19" t="str">
        <f>IF(Historic_BCast_BASE[[#This Row],[Dashboard Rated?]]="No","N","Y")</f>
        <v>Y</v>
      </c>
      <c r="S416" s="22"/>
    </row>
    <row r="417" spans="1:19" x14ac:dyDescent="0.25">
      <c r="A417" s="72" t="s">
        <v>1869</v>
      </c>
      <c r="B417" t="s">
        <v>45</v>
      </c>
      <c r="C417" t="s">
        <v>45</v>
      </c>
      <c r="D417" t="s">
        <v>45</v>
      </c>
      <c r="E417" s="102">
        <v>5.4201273148148141</v>
      </c>
      <c r="F417" s="101">
        <v>187078.09203105498</v>
      </c>
      <c r="G417" s="102">
        <v>0.50195271964750743</v>
      </c>
      <c r="H417" s="101">
        <v>64470.801068789129</v>
      </c>
      <c r="I417" s="101">
        <v>19304.791070877905</v>
      </c>
      <c r="J417" s="160"/>
      <c r="K417" t="str">
        <f>VLOOKUP(Historic_BCast_BASE[[#This Row],[Broadcast Market]],Continent_Look_Up[],2,FALSE)</f>
        <v>Digital</v>
      </c>
      <c r="L417" s="132" t="str">
        <f>IF(OR(Historic_BCast_BASE[[#This Row],[Broadcast Continent]]="Digital",Historic_BCast_BASE[[#This Row],[Programme Type]]="Digital"),"Y","N")</f>
        <v>Y</v>
      </c>
      <c r="M417" s="132" t="str">
        <f>IF(ISNUMBER(SEARCH("Pan ",Historic_BCast_BASE[[#This Row],[Broadcast Market]]))=TRUE,"Y","N")</f>
        <v>N</v>
      </c>
      <c r="N417" s="132" t="str">
        <f>VLOOKUP(CONCATENATE(Historic_BCast_BASE[[#This Row],[Broadcast Market]],Historic_BCast_BASE[[#This Row],[Broadcaster]]),Table1[[CC]:[Pay TV vs. Free-to-Air]],3,FALSE)</f>
        <v>Digital</v>
      </c>
      <c r="O417" s="133" t="str">
        <f>VLOOKUP(CONCATENATE(Historic_BCast_BASE[[#This Row],[Broadcast Market]],Historic_BCast_BASE[[#This Row],[Broadcaster]]),Table1[[CC]:[Pay TV vs. Free-to-Air]],2,FALSE)</f>
        <v>-</v>
      </c>
      <c r="P417" s="235">
        <f>Historic_BCast_BASE[[#This Row],[Rolex EXP]]*86400</f>
        <v>43368.714977544645</v>
      </c>
      <c r="Q417" s="19" t="str">
        <f>IF(Historic_BCast_BASE[[#This Row],[Dashboard Rated?]]="No","N","Y")</f>
        <v>Y</v>
      </c>
      <c r="S417" s="22"/>
    </row>
    <row r="418" spans="1:19" x14ac:dyDescent="0.25">
      <c r="A418" s="72" t="s">
        <v>1869</v>
      </c>
      <c r="B418" t="s">
        <v>45</v>
      </c>
      <c r="C418" t="s">
        <v>45</v>
      </c>
      <c r="D418" t="s">
        <v>45</v>
      </c>
      <c r="E418" s="102">
        <v>1.3449189814814815</v>
      </c>
      <c r="F418" s="101">
        <v>12471.354145498561</v>
      </c>
      <c r="G418" s="102">
        <v>9.6531442729115222E-2</v>
      </c>
      <c r="H418" s="101">
        <v>2765.6209976476807</v>
      </c>
      <c r="I418" s="101">
        <v>829.41484138028818</v>
      </c>
      <c r="J418" s="160"/>
      <c r="K418" t="str">
        <f>VLOOKUP(Historic_BCast_BASE[[#This Row],[Broadcast Market]],Continent_Look_Up[],2,FALSE)</f>
        <v>Digital</v>
      </c>
      <c r="L418" s="132" t="str">
        <f>IF(OR(Historic_BCast_BASE[[#This Row],[Broadcast Continent]]="Digital",Historic_BCast_BASE[[#This Row],[Programme Type]]="Digital"),"Y","N")</f>
        <v>Y</v>
      </c>
      <c r="M418" s="132" t="str">
        <f>IF(ISNUMBER(SEARCH("Pan ",Historic_BCast_BASE[[#This Row],[Broadcast Market]]))=TRUE,"Y","N")</f>
        <v>N</v>
      </c>
      <c r="N418" s="132" t="str">
        <f>VLOOKUP(CONCATENATE(Historic_BCast_BASE[[#This Row],[Broadcast Market]],Historic_BCast_BASE[[#This Row],[Broadcaster]]),Table1[[CC]:[Pay TV vs. Free-to-Air]],3,FALSE)</f>
        <v>Digital</v>
      </c>
      <c r="O418" s="133" t="str">
        <f>VLOOKUP(CONCATENATE(Historic_BCast_BASE[[#This Row],[Broadcast Market]],Historic_BCast_BASE[[#This Row],[Broadcaster]]),Table1[[CC]:[Pay TV vs. Free-to-Air]],2,FALSE)</f>
        <v>-</v>
      </c>
      <c r="P418" s="235">
        <f>Historic_BCast_BASE[[#This Row],[Rolex EXP]]*86400</f>
        <v>8340.316651795556</v>
      </c>
      <c r="Q418" s="19" t="str">
        <f>IF(Historic_BCast_BASE[[#This Row],[Dashboard Rated?]]="No","N","Y")</f>
        <v>Y</v>
      </c>
      <c r="S418" s="22"/>
    </row>
    <row r="419" spans="1:19" x14ac:dyDescent="0.25">
      <c r="A419" s="72" t="s">
        <v>1869</v>
      </c>
      <c r="B419" t="s">
        <v>45</v>
      </c>
      <c r="C419" t="s">
        <v>45</v>
      </c>
      <c r="D419" t="s">
        <v>45</v>
      </c>
      <c r="E419" s="102">
        <v>1.1555555555555557</v>
      </c>
      <c r="F419" s="101">
        <v>23201.752381750724</v>
      </c>
      <c r="G419" s="102">
        <v>0.11839960800836978</v>
      </c>
      <c r="H419" s="101">
        <v>2654.3661645900702</v>
      </c>
      <c r="I419" s="101">
        <v>817.42030859421607</v>
      </c>
      <c r="J419" s="160"/>
      <c r="K419" t="str">
        <f>VLOOKUP(Historic_BCast_BASE[[#This Row],[Broadcast Market]],Continent_Look_Up[],2,FALSE)</f>
        <v>Digital</v>
      </c>
      <c r="L419" s="132" t="str">
        <f>IF(OR(Historic_BCast_BASE[[#This Row],[Broadcast Continent]]="Digital",Historic_BCast_BASE[[#This Row],[Programme Type]]="Digital"),"Y","N")</f>
        <v>Y</v>
      </c>
      <c r="M419" s="132" t="str">
        <f>IF(ISNUMBER(SEARCH("Pan ",Historic_BCast_BASE[[#This Row],[Broadcast Market]]))=TRUE,"Y","N")</f>
        <v>N</v>
      </c>
      <c r="N419" s="132" t="str">
        <f>VLOOKUP(CONCATENATE(Historic_BCast_BASE[[#This Row],[Broadcast Market]],Historic_BCast_BASE[[#This Row],[Broadcaster]]),Table1[[CC]:[Pay TV vs. Free-to-Air]],3,FALSE)</f>
        <v>Digital</v>
      </c>
      <c r="O419" s="133" t="str">
        <f>VLOOKUP(CONCATENATE(Historic_BCast_BASE[[#This Row],[Broadcast Market]],Historic_BCast_BASE[[#This Row],[Broadcaster]]),Table1[[CC]:[Pay TV vs. Free-to-Air]],2,FALSE)</f>
        <v>-</v>
      </c>
      <c r="P419" s="235">
        <f>Historic_BCast_BASE[[#This Row],[Rolex EXP]]*86400</f>
        <v>10229.726131923149</v>
      </c>
      <c r="Q419" s="19" t="str">
        <f>IF(Historic_BCast_BASE[[#This Row],[Dashboard Rated?]]="No","N","Y")</f>
        <v>Y</v>
      </c>
      <c r="S419" s="22"/>
    </row>
    <row r="420" spans="1:19" x14ac:dyDescent="0.25">
      <c r="A420" s="72" t="s">
        <v>1869</v>
      </c>
      <c r="B420" t="s">
        <v>45</v>
      </c>
      <c r="C420" t="s">
        <v>45</v>
      </c>
      <c r="D420" t="s">
        <v>45</v>
      </c>
      <c r="E420" s="102">
        <v>2.9608333333333334</v>
      </c>
      <c r="F420" s="101">
        <v>128802.79068511992</v>
      </c>
      <c r="G420" s="102">
        <v>0.34654565009975324</v>
      </c>
      <c r="H420" s="101">
        <v>37436.389328595578</v>
      </c>
      <c r="I420" s="101">
        <v>10835.960726182577</v>
      </c>
      <c r="J420" s="160"/>
      <c r="K420" t="str">
        <f>VLOOKUP(Historic_BCast_BASE[[#This Row],[Broadcast Market]],Continent_Look_Up[],2,FALSE)</f>
        <v>Digital</v>
      </c>
      <c r="L420" s="132" t="str">
        <f>IF(OR(Historic_BCast_BASE[[#This Row],[Broadcast Continent]]="Digital",Historic_BCast_BASE[[#This Row],[Programme Type]]="Digital"),"Y","N")</f>
        <v>Y</v>
      </c>
      <c r="M420" s="132" t="str">
        <f>IF(ISNUMBER(SEARCH("Pan ",Historic_BCast_BASE[[#This Row],[Broadcast Market]]))=TRUE,"Y","N")</f>
        <v>N</v>
      </c>
      <c r="N420" s="132" t="str">
        <f>VLOOKUP(CONCATENATE(Historic_BCast_BASE[[#This Row],[Broadcast Market]],Historic_BCast_BASE[[#This Row],[Broadcaster]]),Table1[[CC]:[Pay TV vs. Free-to-Air]],3,FALSE)</f>
        <v>Digital</v>
      </c>
      <c r="O420" s="133" t="str">
        <f>VLOOKUP(CONCATENATE(Historic_BCast_BASE[[#This Row],[Broadcast Market]],Historic_BCast_BASE[[#This Row],[Broadcaster]]),Table1[[CC]:[Pay TV vs. Free-to-Air]],2,FALSE)</f>
        <v>-</v>
      </c>
      <c r="P420" s="235">
        <f>Historic_BCast_BASE[[#This Row],[Rolex EXP]]*86400</f>
        <v>29941.544168618679</v>
      </c>
      <c r="Q420" s="19" t="str">
        <f>IF(Historic_BCast_BASE[[#This Row],[Dashboard Rated?]]="No","N","Y")</f>
        <v>Y</v>
      </c>
      <c r="S420" s="22"/>
    </row>
    <row r="421" spans="1:19" x14ac:dyDescent="0.25">
      <c r="A421" s="72" t="s">
        <v>1869</v>
      </c>
      <c r="B421" t="s">
        <v>45</v>
      </c>
      <c r="C421" t="s">
        <v>45</v>
      </c>
      <c r="D421" t="s">
        <v>45</v>
      </c>
      <c r="E421" s="102">
        <v>2.5350925925925925</v>
      </c>
      <c r="F421" s="101">
        <v>28445.101943716229</v>
      </c>
      <c r="G421" s="102">
        <v>0.23658934051131941</v>
      </c>
      <c r="H421" s="101">
        <v>6022.2669882748105</v>
      </c>
      <c r="I421" s="101">
        <v>1776.969673239224</v>
      </c>
      <c r="J421" s="160"/>
      <c r="K421" t="str">
        <f>VLOOKUP(Historic_BCast_BASE[[#This Row],[Broadcast Market]],Continent_Look_Up[],2,FALSE)</f>
        <v>Digital</v>
      </c>
      <c r="L421" s="132" t="str">
        <f>IF(OR(Historic_BCast_BASE[[#This Row],[Broadcast Continent]]="Digital",Historic_BCast_BASE[[#This Row],[Programme Type]]="Digital"),"Y","N")</f>
        <v>Y</v>
      </c>
      <c r="M421" s="132" t="str">
        <f>IF(ISNUMBER(SEARCH("Pan ",Historic_BCast_BASE[[#This Row],[Broadcast Market]]))=TRUE,"Y","N")</f>
        <v>N</v>
      </c>
      <c r="N421" s="132" t="str">
        <f>VLOOKUP(CONCATENATE(Historic_BCast_BASE[[#This Row],[Broadcast Market]],Historic_BCast_BASE[[#This Row],[Broadcaster]]),Table1[[CC]:[Pay TV vs. Free-to-Air]],3,FALSE)</f>
        <v>Digital</v>
      </c>
      <c r="O421" s="133" t="str">
        <f>VLOOKUP(CONCATENATE(Historic_BCast_BASE[[#This Row],[Broadcast Market]],Historic_BCast_BASE[[#This Row],[Broadcaster]]),Table1[[CC]:[Pay TV vs. Free-to-Air]],2,FALSE)</f>
        <v>-</v>
      </c>
      <c r="P421" s="235">
        <f>Historic_BCast_BASE[[#This Row],[Rolex EXP]]*86400</f>
        <v>20441.319020177998</v>
      </c>
      <c r="Q421" s="19" t="str">
        <f>IF(Historic_BCast_BASE[[#This Row],[Dashboard Rated?]]="No","N","Y")</f>
        <v>Y</v>
      </c>
      <c r="S421" s="22"/>
    </row>
    <row r="422" spans="1:19" x14ac:dyDescent="0.25">
      <c r="A422" s="72" t="s">
        <v>1869</v>
      </c>
      <c r="B422" t="s">
        <v>45</v>
      </c>
      <c r="C422" t="s">
        <v>45</v>
      </c>
      <c r="D422" t="s">
        <v>45</v>
      </c>
      <c r="E422" s="102">
        <v>0.77569444444444446</v>
      </c>
      <c r="F422" s="101">
        <v>88143.121475315042</v>
      </c>
      <c r="G422" s="102">
        <v>7.4110700317387368E-2</v>
      </c>
      <c r="H422" s="101">
        <v>37153.369862820946</v>
      </c>
      <c r="I422" s="101">
        <v>10673.466477075312</v>
      </c>
      <c r="J422" s="160"/>
      <c r="K422" t="str">
        <f>VLOOKUP(Historic_BCast_BASE[[#This Row],[Broadcast Market]],Continent_Look_Up[],2,FALSE)</f>
        <v>Digital</v>
      </c>
      <c r="L422" s="132" t="str">
        <f>IF(OR(Historic_BCast_BASE[[#This Row],[Broadcast Continent]]="Digital",Historic_BCast_BASE[[#This Row],[Programme Type]]="Digital"),"Y","N")</f>
        <v>Y</v>
      </c>
      <c r="M422" s="132" t="str">
        <f>IF(ISNUMBER(SEARCH("Pan ",Historic_BCast_BASE[[#This Row],[Broadcast Market]]))=TRUE,"Y","N")</f>
        <v>N</v>
      </c>
      <c r="N422" s="132" t="str">
        <f>VLOOKUP(CONCATENATE(Historic_BCast_BASE[[#This Row],[Broadcast Market]],Historic_BCast_BASE[[#This Row],[Broadcaster]]),Table1[[CC]:[Pay TV vs. Free-to-Air]],3,FALSE)</f>
        <v>Digital</v>
      </c>
      <c r="O422" s="133" t="str">
        <f>VLOOKUP(CONCATENATE(Historic_BCast_BASE[[#This Row],[Broadcast Market]],Historic_BCast_BASE[[#This Row],[Broadcaster]]),Table1[[CC]:[Pay TV vs. Free-to-Air]],2,FALSE)</f>
        <v>-</v>
      </c>
      <c r="P422" s="235">
        <f>Historic_BCast_BASE[[#This Row],[Rolex EXP]]*86400</f>
        <v>6403.1645074222688</v>
      </c>
      <c r="Q422" s="19" t="str">
        <f>IF(Historic_BCast_BASE[[#This Row],[Dashboard Rated?]]="No","N","Y")</f>
        <v>Y</v>
      </c>
      <c r="S422" s="22"/>
    </row>
    <row r="423" spans="1:19" x14ac:dyDescent="0.25">
      <c r="A423" s="72" t="s">
        <v>1869</v>
      </c>
      <c r="B423" t="s">
        <v>45</v>
      </c>
      <c r="C423" t="s">
        <v>45</v>
      </c>
      <c r="D423" t="s">
        <v>45</v>
      </c>
      <c r="E423" s="102">
        <v>0.19513888888888889</v>
      </c>
      <c r="F423" s="101">
        <v>317.667109852556</v>
      </c>
      <c r="G423" s="102">
        <v>1.864378405477695E-2</v>
      </c>
      <c r="H423" s="101">
        <v>136.74191059033399</v>
      </c>
      <c r="I423" s="101">
        <v>39.283386785263829</v>
      </c>
      <c r="J423" s="160"/>
      <c r="K423" t="str">
        <f>VLOOKUP(Historic_BCast_BASE[[#This Row],[Broadcast Market]],Continent_Look_Up[],2,FALSE)</f>
        <v>Digital</v>
      </c>
      <c r="L423" s="132" t="str">
        <f>IF(OR(Historic_BCast_BASE[[#This Row],[Broadcast Continent]]="Digital",Historic_BCast_BASE[[#This Row],[Programme Type]]="Digital"),"Y","N")</f>
        <v>Y</v>
      </c>
      <c r="M423" s="132" t="str">
        <f>IF(ISNUMBER(SEARCH("Pan ",Historic_BCast_BASE[[#This Row],[Broadcast Market]]))=TRUE,"Y","N")</f>
        <v>N</v>
      </c>
      <c r="N423" s="132" t="str">
        <f>VLOOKUP(CONCATENATE(Historic_BCast_BASE[[#This Row],[Broadcast Market]],Historic_BCast_BASE[[#This Row],[Broadcaster]]),Table1[[CC]:[Pay TV vs. Free-to-Air]],3,FALSE)</f>
        <v>Digital</v>
      </c>
      <c r="O423" s="133" t="str">
        <f>VLOOKUP(CONCATENATE(Historic_BCast_BASE[[#This Row],[Broadcast Market]],Historic_BCast_BASE[[#This Row],[Broadcaster]]),Table1[[CC]:[Pay TV vs. Free-to-Air]],2,FALSE)</f>
        <v>-</v>
      </c>
      <c r="P423" s="235">
        <f>Historic_BCast_BASE[[#This Row],[Rolex EXP]]*86400</f>
        <v>1610.8229423327284</v>
      </c>
      <c r="Q423" s="19" t="str">
        <f>IF(Historic_BCast_BASE[[#This Row],[Dashboard Rated?]]="No","N","Y")</f>
        <v>Y</v>
      </c>
      <c r="S423" s="22"/>
    </row>
    <row r="424" spans="1:19" x14ac:dyDescent="0.25">
      <c r="A424" s="72" t="s">
        <v>1869</v>
      </c>
      <c r="B424" t="s">
        <v>45</v>
      </c>
      <c r="C424" t="s">
        <v>45</v>
      </c>
      <c r="D424" t="s">
        <v>45</v>
      </c>
      <c r="E424" s="102">
        <v>7.2916666666666671E-2</v>
      </c>
      <c r="F424" s="101">
        <v>18107.025261595678</v>
      </c>
      <c r="G424" s="102">
        <v>6.9665385258063338E-3</v>
      </c>
      <c r="H424" s="101">
        <v>1286.8839929176233</v>
      </c>
      <c r="I424" s="101">
        <v>369.69764005272873</v>
      </c>
      <c r="J424" s="160"/>
      <c r="K424" t="str">
        <f>VLOOKUP(Historic_BCast_BASE[[#This Row],[Broadcast Market]],Continent_Look_Up[],2,FALSE)</f>
        <v>Digital</v>
      </c>
      <c r="L424" s="132" t="str">
        <f>IF(OR(Historic_BCast_BASE[[#This Row],[Broadcast Continent]]="Digital",Historic_BCast_BASE[[#This Row],[Programme Type]]="Digital"),"Y","N")</f>
        <v>Y</v>
      </c>
      <c r="M424" s="132" t="str">
        <f>IF(ISNUMBER(SEARCH("Pan ",Historic_BCast_BASE[[#This Row],[Broadcast Market]]))=TRUE,"Y","N")</f>
        <v>N</v>
      </c>
      <c r="N424" s="132" t="str">
        <f>VLOOKUP(CONCATENATE(Historic_BCast_BASE[[#This Row],[Broadcast Market]],Historic_BCast_BASE[[#This Row],[Broadcaster]]),Table1[[CC]:[Pay TV vs. Free-to-Air]],3,FALSE)</f>
        <v>Digital</v>
      </c>
      <c r="O424" s="133" t="str">
        <f>VLOOKUP(CONCATENATE(Historic_BCast_BASE[[#This Row],[Broadcast Market]],Historic_BCast_BASE[[#This Row],[Broadcaster]]),Table1[[CC]:[Pay TV vs. Free-to-Air]],2,FALSE)</f>
        <v>-</v>
      </c>
      <c r="P424" s="235">
        <f>Historic_BCast_BASE[[#This Row],[Rolex EXP]]*86400</f>
        <v>601.90892862966723</v>
      </c>
      <c r="Q424" s="19" t="str">
        <f>IF(Historic_BCast_BASE[[#This Row],[Dashboard Rated?]]="No","N","Y")</f>
        <v>Y</v>
      </c>
      <c r="S424" s="22"/>
    </row>
    <row r="425" spans="1:19" x14ac:dyDescent="0.25">
      <c r="A425" s="72" t="s">
        <v>1869</v>
      </c>
      <c r="B425" t="s">
        <v>45</v>
      </c>
      <c r="C425" t="s">
        <v>45</v>
      </c>
      <c r="D425" t="s">
        <v>45</v>
      </c>
      <c r="E425" s="102">
        <v>0.59196759259259257</v>
      </c>
      <c r="F425" s="101">
        <v>10029.839952792403</v>
      </c>
      <c r="G425" s="102">
        <v>5.6557234831887425E-2</v>
      </c>
      <c r="H425" s="101">
        <v>810.30032620048166</v>
      </c>
      <c r="I425" s="101">
        <v>232.78408930326196</v>
      </c>
      <c r="J425" s="160"/>
      <c r="K425" t="str">
        <f>VLOOKUP(Historic_BCast_BASE[[#This Row],[Broadcast Market]],Continent_Look_Up[],2,FALSE)</f>
        <v>Digital</v>
      </c>
      <c r="L425" s="132" t="str">
        <f>IF(OR(Historic_BCast_BASE[[#This Row],[Broadcast Continent]]="Digital",Historic_BCast_BASE[[#This Row],[Programme Type]]="Digital"),"Y","N")</f>
        <v>Y</v>
      </c>
      <c r="M425" s="132" t="str">
        <f>IF(ISNUMBER(SEARCH("Pan ",Historic_BCast_BASE[[#This Row],[Broadcast Market]]))=TRUE,"Y","N")</f>
        <v>N</v>
      </c>
      <c r="N425" s="132" t="str">
        <f>VLOOKUP(CONCATENATE(Historic_BCast_BASE[[#This Row],[Broadcast Market]],Historic_BCast_BASE[[#This Row],[Broadcaster]]),Table1[[CC]:[Pay TV vs. Free-to-Air]],3,FALSE)</f>
        <v>Digital</v>
      </c>
      <c r="O425" s="133" t="str">
        <f>VLOOKUP(CONCATENATE(Historic_BCast_BASE[[#This Row],[Broadcast Market]],Historic_BCast_BASE[[#This Row],[Broadcaster]]),Table1[[CC]:[Pay TV vs. Free-to-Air]],2,FALSE)</f>
        <v>-</v>
      </c>
      <c r="P425" s="235">
        <f>Historic_BCast_BASE[[#This Row],[Rolex EXP]]*86400</f>
        <v>4886.5450894750738</v>
      </c>
      <c r="Q425" s="19" t="str">
        <f>IF(Historic_BCast_BASE[[#This Row],[Dashboard Rated?]]="No","N","Y")</f>
        <v>Y</v>
      </c>
      <c r="S425" s="22"/>
    </row>
    <row r="426" spans="1:19" x14ac:dyDescent="0.25">
      <c r="A426" s="72" t="s">
        <v>1869</v>
      </c>
      <c r="B426" t="s">
        <v>45</v>
      </c>
      <c r="C426" t="s">
        <v>45</v>
      </c>
      <c r="D426" t="s">
        <v>45</v>
      </c>
      <c r="E426" s="102">
        <v>4.8731712962962961</v>
      </c>
      <c r="F426" s="101">
        <v>33983.996280187552</v>
      </c>
      <c r="G426" s="102">
        <v>0.45954897261166977</v>
      </c>
      <c r="H426" s="101">
        <v>24502.847421028389</v>
      </c>
      <c r="I426" s="101">
        <v>7045.184582438711</v>
      </c>
      <c r="J426" s="160"/>
      <c r="K426" t="str">
        <f>VLOOKUP(Historic_BCast_BASE[[#This Row],[Broadcast Market]],Continent_Look_Up[],2,FALSE)</f>
        <v>Digital</v>
      </c>
      <c r="L426" s="132" t="str">
        <f>IF(OR(Historic_BCast_BASE[[#This Row],[Broadcast Continent]]="Digital",Historic_BCast_BASE[[#This Row],[Programme Type]]="Digital"),"Y","N")</f>
        <v>Y</v>
      </c>
      <c r="M426" s="132" t="str">
        <f>IF(ISNUMBER(SEARCH("Pan ",Historic_BCast_BASE[[#This Row],[Broadcast Market]]))=TRUE,"Y","N")</f>
        <v>N</v>
      </c>
      <c r="N426" s="132" t="str">
        <f>VLOOKUP(CONCATENATE(Historic_BCast_BASE[[#This Row],[Broadcast Market]],Historic_BCast_BASE[[#This Row],[Broadcaster]]),Table1[[CC]:[Pay TV vs. Free-to-Air]],3,FALSE)</f>
        <v>Digital</v>
      </c>
      <c r="O426" s="133" t="str">
        <f>VLOOKUP(CONCATENATE(Historic_BCast_BASE[[#This Row],[Broadcast Market]],Historic_BCast_BASE[[#This Row],[Broadcaster]]),Table1[[CC]:[Pay TV vs. Free-to-Air]],2,FALSE)</f>
        <v>-</v>
      </c>
      <c r="P426" s="235">
        <f>Historic_BCast_BASE[[#This Row],[Rolex EXP]]*86400</f>
        <v>39705.031233648268</v>
      </c>
      <c r="Q426" s="19" t="str">
        <f>IF(Historic_BCast_BASE[[#This Row],[Dashboard Rated?]]="No","N","Y")</f>
        <v>Y</v>
      </c>
      <c r="S426" s="22"/>
    </row>
    <row r="427" spans="1:19" x14ac:dyDescent="0.25">
      <c r="A427" s="72" t="s">
        <v>1869</v>
      </c>
      <c r="B427" t="s">
        <v>45</v>
      </c>
      <c r="C427" t="s">
        <v>45</v>
      </c>
      <c r="D427" t="s">
        <v>45</v>
      </c>
      <c r="E427" s="102">
        <v>9.2476851851851852E-3</v>
      </c>
      <c r="F427" s="101">
        <v>337.64152240216998</v>
      </c>
      <c r="G427" s="102">
        <v>8.8353401303480322E-4</v>
      </c>
      <c r="H427" s="101">
        <v>11.873893961512028</v>
      </c>
      <c r="I427" s="101">
        <v>3.4111470808296414</v>
      </c>
      <c r="J427" s="160"/>
      <c r="K427" t="str">
        <f>VLOOKUP(Historic_BCast_BASE[[#This Row],[Broadcast Market]],Continent_Look_Up[],2,FALSE)</f>
        <v>Digital</v>
      </c>
      <c r="L427" s="132" t="str">
        <f>IF(OR(Historic_BCast_BASE[[#This Row],[Broadcast Continent]]="Digital",Historic_BCast_BASE[[#This Row],[Programme Type]]="Digital"),"Y","N")</f>
        <v>Y</v>
      </c>
      <c r="M427" s="132" t="str">
        <f>IF(ISNUMBER(SEARCH("Pan ",Historic_BCast_BASE[[#This Row],[Broadcast Market]]))=TRUE,"Y","N")</f>
        <v>N</v>
      </c>
      <c r="N427" s="132" t="str">
        <f>VLOOKUP(CONCATENATE(Historic_BCast_BASE[[#This Row],[Broadcast Market]],Historic_BCast_BASE[[#This Row],[Broadcaster]]),Table1[[CC]:[Pay TV vs. Free-to-Air]],3,FALSE)</f>
        <v>Digital</v>
      </c>
      <c r="O427" s="133" t="str">
        <f>VLOOKUP(CONCATENATE(Historic_BCast_BASE[[#This Row],[Broadcast Market]],Historic_BCast_BASE[[#This Row],[Broadcaster]]),Table1[[CC]:[Pay TV vs. Free-to-Air]],2,FALSE)</f>
        <v>-</v>
      </c>
      <c r="P427" s="235">
        <f>Historic_BCast_BASE[[#This Row],[Rolex EXP]]*86400</f>
        <v>76.337338726206994</v>
      </c>
      <c r="Q427" s="19" t="str">
        <f>IF(Historic_BCast_BASE[[#This Row],[Dashboard Rated?]]="No","N","Y")</f>
        <v>Y</v>
      </c>
      <c r="S427" s="22"/>
    </row>
    <row r="428" spans="1:19" x14ac:dyDescent="0.25">
      <c r="A428" s="72" t="s">
        <v>1869</v>
      </c>
      <c r="B428" t="s">
        <v>45</v>
      </c>
      <c r="C428" t="s">
        <v>45</v>
      </c>
      <c r="D428" t="s">
        <v>45</v>
      </c>
      <c r="E428" s="102">
        <v>5.6515740740740741</v>
      </c>
      <c r="F428" s="101">
        <v>68251.741570551734</v>
      </c>
      <c r="G428" s="102">
        <v>0.5399576025392272</v>
      </c>
      <c r="H428" s="101">
        <v>7656.6011024954742</v>
      </c>
      <c r="I428" s="101">
        <v>2199.5979233529038</v>
      </c>
      <c r="J428" s="160"/>
      <c r="K428" t="str">
        <f>VLOOKUP(Historic_BCast_BASE[[#This Row],[Broadcast Market]],Continent_Look_Up[],2,FALSE)</f>
        <v>Digital</v>
      </c>
      <c r="L428" s="132" t="str">
        <f>IF(OR(Historic_BCast_BASE[[#This Row],[Broadcast Continent]]="Digital",Historic_BCast_BASE[[#This Row],[Programme Type]]="Digital"),"Y","N")</f>
        <v>Y</v>
      </c>
      <c r="M428" s="132" t="str">
        <f>IF(ISNUMBER(SEARCH("Pan ",Historic_BCast_BASE[[#This Row],[Broadcast Market]]))=TRUE,"Y","N")</f>
        <v>N</v>
      </c>
      <c r="N428" s="132" t="str">
        <f>VLOOKUP(CONCATENATE(Historic_BCast_BASE[[#This Row],[Broadcast Market]],Historic_BCast_BASE[[#This Row],[Broadcaster]]),Table1[[CC]:[Pay TV vs. Free-to-Air]],3,FALSE)</f>
        <v>Digital</v>
      </c>
      <c r="O428" s="133" t="str">
        <f>VLOOKUP(CONCATENATE(Historic_BCast_BASE[[#This Row],[Broadcast Market]],Historic_BCast_BASE[[#This Row],[Broadcaster]]),Table1[[CC]:[Pay TV vs. Free-to-Air]],2,FALSE)</f>
        <v>-</v>
      </c>
      <c r="P428" s="235">
        <f>Historic_BCast_BASE[[#This Row],[Rolex EXP]]*86400</f>
        <v>46652.33685938923</v>
      </c>
      <c r="Q428" s="19" t="str">
        <f>IF(Historic_BCast_BASE[[#This Row],[Dashboard Rated?]]="No","N","Y")</f>
        <v>Y</v>
      </c>
      <c r="S428" s="22"/>
    </row>
    <row r="429" spans="1:19" x14ac:dyDescent="0.25">
      <c r="A429" s="72" t="s">
        <v>1869</v>
      </c>
      <c r="B429" t="s">
        <v>45</v>
      </c>
      <c r="C429" t="s">
        <v>45</v>
      </c>
      <c r="D429" t="s">
        <v>45</v>
      </c>
      <c r="E429" s="102">
        <v>5.0875347222222222</v>
      </c>
      <c r="F429" s="101">
        <v>98472.84281886564</v>
      </c>
      <c r="G429" s="102">
        <v>0.47909632154159981</v>
      </c>
      <c r="H429" s="101">
        <v>34102.5623665288</v>
      </c>
      <c r="I429" s="101">
        <v>9803.0172192383052</v>
      </c>
      <c r="J429" s="160"/>
      <c r="K429" t="str">
        <f>VLOOKUP(Historic_BCast_BASE[[#This Row],[Broadcast Market]],Continent_Look_Up[],2,FALSE)</f>
        <v>Digital</v>
      </c>
      <c r="L429" s="132" t="str">
        <f>IF(OR(Historic_BCast_BASE[[#This Row],[Broadcast Continent]]="Digital",Historic_BCast_BASE[[#This Row],[Programme Type]]="Digital"),"Y","N")</f>
        <v>Y</v>
      </c>
      <c r="M429" s="132" t="str">
        <f>IF(ISNUMBER(SEARCH("Pan ",Historic_BCast_BASE[[#This Row],[Broadcast Market]]))=TRUE,"Y","N")</f>
        <v>N</v>
      </c>
      <c r="N429" s="132" t="str">
        <f>VLOOKUP(CONCATENATE(Historic_BCast_BASE[[#This Row],[Broadcast Market]],Historic_BCast_BASE[[#This Row],[Broadcaster]]),Table1[[CC]:[Pay TV vs. Free-to-Air]],3,FALSE)</f>
        <v>Digital</v>
      </c>
      <c r="O429" s="133" t="str">
        <f>VLOOKUP(CONCATENATE(Historic_BCast_BASE[[#This Row],[Broadcast Market]],Historic_BCast_BASE[[#This Row],[Broadcaster]]),Table1[[CC]:[Pay TV vs. Free-to-Air]],2,FALSE)</f>
        <v>-</v>
      </c>
      <c r="P429" s="235">
        <f>Historic_BCast_BASE[[#This Row],[Rolex EXP]]*86400</f>
        <v>41393.922181194226</v>
      </c>
      <c r="Q429" s="19" t="str">
        <f>IF(Historic_BCast_BASE[[#This Row],[Dashboard Rated?]]="No","N","Y")</f>
        <v>Y</v>
      </c>
      <c r="S429" s="22"/>
    </row>
    <row r="430" spans="1:19" x14ac:dyDescent="0.25">
      <c r="A430" s="72" t="s">
        <v>1869</v>
      </c>
      <c r="B430" t="s">
        <v>45</v>
      </c>
      <c r="C430" t="s">
        <v>45</v>
      </c>
      <c r="D430" t="s">
        <v>45</v>
      </c>
      <c r="E430" s="102">
        <v>1.9991087962962963</v>
      </c>
      <c r="F430" s="101">
        <v>13177.875464830668</v>
      </c>
      <c r="G430" s="102">
        <v>0.19099705298299163</v>
      </c>
      <c r="H430" s="101">
        <v>3818.1077101254732</v>
      </c>
      <c r="I430" s="101">
        <v>1096.8707495539361</v>
      </c>
      <c r="J430" s="160"/>
      <c r="K430" t="str">
        <f>VLOOKUP(Historic_BCast_BASE[[#This Row],[Broadcast Market]],Continent_Look_Up[],2,FALSE)</f>
        <v>Digital</v>
      </c>
      <c r="L430" s="132" t="str">
        <f>IF(OR(Historic_BCast_BASE[[#This Row],[Broadcast Continent]]="Digital",Historic_BCast_BASE[[#This Row],[Programme Type]]="Digital"),"Y","N")</f>
        <v>Y</v>
      </c>
      <c r="M430" s="132" t="str">
        <f>IF(ISNUMBER(SEARCH("Pan ",Historic_BCast_BASE[[#This Row],[Broadcast Market]]))=TRUE,"Y","N")</f>
        <v>N</v>
      </c>
      <c r="N430" s="132" t="str">
        <f>VLOOKUP(CONCATENATE(Historic_BCast_BASE[[#This Row],[Broadcast Market]],Historic_BCast_BASE[[#This Row],[Broadcaster]]),Table1[[CC]:[Pay TV vs. Free-to-Air]],3,FALSE)</f>
        <v>Digital</v>
      </c>
      <c r="O430" s="133" t="str">
        <f>VLOOKUP(CONCATENATE(Historic_BCast_BASE[[#This Row],[Broadcast Market]],Historic_BCast_BASE[[#This Row],[Broadcaster]]),Table1[[CC]:[Pay TV vs. Free-to-Air]],2,FALSE)</f>
        <v>-</v>
      </c>
      <c r="P430" s="235">
        <f>Historic_BCast_BASE[[#This Row],[Rolex EXP]]*86400</f>
        <v>16502.145377730478</v>
      </c>
      <c r="Q430" s="19" t="str">
        <f>IF(Historic_BCast_BASE[[#This Row],[Dashboard Rated?]]="No","N","Y")</f>
        <v>Y</v>
      </c>
      <c r="S430" s="22"/>
    </row>
    <row r="431" spans="1:19" x14ac:dyDescent="0.25">
      <c r="A431" s="72" t="s">
        <v>1869</v>
      </c>
      <c r="B431" t="s">
        <v>45</v>
      </c>
      <c r="C431" t="s">
        <v>45</v>
      </c>
      <c r="D431" t="s">
        <v>45</v>
      </c>
      <c r="E431" s="102">
        <v>0.7107175925925926</v>
      </c>
      <c r="F431" s="101">
        <v>2613.9086088743402</v>
      </c>
      <c r="G431" s="102">
        <v>6.7902740431057734E-2</v>
      </c>
      <c r="H431" s="101">
        <v>3532.3338958189493</v>
      </c>
      <c r="I431" s="101">
        <v>1014.7732914151809</v>
      </c>
      <c r="J431" s="160"/>
      <c r="K431" t="str">
        <f>VLOOKUP(Historic_BCast_BASE[[#This Row],[Broadcast Market]],Continent_Look_Up[],2,FALSE)</f>
        <v>Digital</v>
      </c>
      <c r="L431" s="132" t="str">
        <f>IF(OR(Historic_BCast_BASE[[#This Row],[Broadcast Continent]]="Digital",Historic_BCast_BASE[[#This Row],[Programme Type]]="Digital"),"Y","N")</f>
        <v>Y</v>
      </c>
      <c r="M431" s="132" t="str">
        <f>IF(ISNUMBER(SEARCH("Pan ",Historic_BCast_BASE[[#This Row],[Broadcast Market]]))=TRUE,"Y","N")</f>
        <v>N</v>
      </c>
      <c r="N431" s="132" t="str">
        <f>VLOOKUP(CONCATENATE(Historic_BCast_BASE[[#This Row],[Broadcast Market]],Historic_BCast_BASE[[#This Row],[Broadcaster]]),Table1[[CC]:[Pay TV vs. Free-to-Air]],3,FALSE)</f>
        <v>Digital</v>
      </c>
      <c r="O431" s="133" t="str">
        <f>VLOOKUP(CONCATENATE(Historic_BCast_BASE[[#This Row],[Broadcast Market]],Historic_BCast_BASE[[#This Row],[Broadcaster]]),Table1[[CC]:[Pay TV vs. Free-to-Air]],2,FALSE)</f>
        <v>-</v>
      </c>
      <c r="P431" s="235">
        <f>Historic_BCast_BASE[[#This Row],[Rolex EXP]]*86400</f>
        <v>5866.7967732433881</v>
      </c>
      <c r="Q431" s="19" t="str">
        <f>IF(Historic_BCast_BASE[[#This Row],[Dashboard Rated?]]="No","N","Y")</f>
        <v>Y</v>
      </c>
      <c r="S431" s="22"/>
    </row>
    <row r="432" spans="1:19" x14ac:dyDescent="0.25">
      <c r="A432" s="72" t="s">
        <v>1869</v>
      </c>
      <c r="B432" t="s">
        <v>45</v>
      </c>
      <c r="C432" t="s">
        <v>45</v>
      </c>
      <c r="D432" t="s">
        <v>45</v>
      </c>
      <c r="E432" s="102">
        <v>0.27197916666666666</v>
      </c>
      <c r="F432" s="101">
        <v>3326.7123643853515</v>
      </c>
      <c r="G432" s="102">
        <v>2.5985188701257628E-2</v>
      </c>
      <c r="H432" s="101">
        <v>361.1947205922811</v>
      </c>
      <c r="I432" s="101">
        <v>103.76447025323971</v>
      </c>
      <c r="J432" s="160"/>
      <c r="K432" t="str">
        <f>VLOOKUP(Historic_BCast_BASE[[#This Row],[Broadcast Market]],Continent_Look_Up[],2,FALSE)</f>
        <v>Digital</v>
      </c>
      <c r="L432" s="132" t="str">
        <f>IF(OR(Historic_BCast_BASE[[#This Row],[Broadcast Continent]]="Digital",Historic_BCast_BASE[[#This Row],[Programme Type]]="Digital"),"Y","N")</f>
        <v>Y</v>
      </c>
      <c r="M432" s="132" t="str">
        <f>IF(ISNUMBER(SEARCH("Pan ",Historic_BCast_BASE[[#This Row],[Broadcast Market]]))=TRUE,"Y","N")</f>
        <v>N</v>
      </c>
      <c r="N432" s="132" t="str">
        <f>VLOOKUP(CONCATENATE(Historic_BCast_BASE[[#This Row],[Broadcast Market]],Historic_BCast_BASE[[#This Row],[Broadcaster]]),Table1[[CC]:[Pay TV vs. Free-to-Air]],3,FALSE)</f>
        <v>Digital</v>
      </c>
      <c r="O432" s="133" t="str">
        <f>VLOOKUP(CONCATENATE(Historic_BCast_BASE[[#This Row],[Broadcast Market]],Historic_BCast_BASE[[#This Row],[Broadcaster]]),Table1[[CC]:[Pay TV vs. Free-to-Air]],2,FALSE)</f>
        <v>-</v>
      </c>
      <c r="P432" s="235">
        <f>Historic_BCast_BASE[[#This Row],[Rolex EXP]]*86400</f>
        <v>2245.1203037886589</v>
      </c>
      <c r="Q432" s="19" t="str">
        <f>IF(Historic_BCast_BASE[[#This Row],[Dashboard Rated?]]="No","N","Y")</f>
        <v>Y</v>
      </c>
      <c r="S432" s="22"/>
    </row>
    <row r="433" spans="1:19" x14ac:dyDescent="0.25">
      <c r="A433" s="72" t="s">
        <v>1869</v>
      </c>
      <c r="B433" t="s">
        <v>45</v>
      </c>
      <c r="C433" t="s">
        <v>45</v>
      </c>
      <c r="D433" t="s">
        <v>45</v>
      </c>
      <c r="E433" s="102">
        <v>0.41671296296296295</v>
      </c>
      <c r="F433" s="101">
        <v>9155.048860702429</v>
      </c>
      <c r="G433" s="102">
        <v>3.9813214775100192E-2</v>
      </c>
      <c r="H433" s="101">
        <v>3345.4286280934498</v>
      </c>
      <c r="I433" s="101">
        <v>961.0789127673587</v>
      </c>
      <c r="J433" s="160"/>
      <c r="K433" t="str">
        <f>VLOOKUP(Historic_BCast_BASE[[#This Row],[Broadcast Market]],Continent_Look_Up[],2,FALSE)</f>
        <v>Digital</v>
      </c>
      <c r="L433" s="132" t="str">
        <f>IF(OR(Historic_BCast_BASE[[#This Row],[Broadcast Continent]]="Digital",Historic_BCast_BASE[[#This Row],[Programme Type]]="Digital"),"Y","N")</f>
        <v>Y</v>
      </c>
      <c r="M433" s="132" t="str">
        <f>IF(ISNUMBER(SEARCH("Pan ",Historic_BCast_BASE[[#This Row],[Broadcast Market]]))=TRUE,"Y","N")</f>
        <v>N</v>
      </c>
      <c r="N433" s="132" t="str">
        <f>VLOOKUP(CONCATENATE(Historic_BCast_BASE[[#This Row],[Broadcast Market]],Historic_BCast_BASE[[#This Row],[Broadcaster]]),Table1[[CC]:[Pay TV vs. Free-to-Air]],3,FALSE)</f>
        <v>Digital</v>
      </c>
      <c r="O433" s="133" t="str">
        <f>VLOOKUP(CONCATENATE(Historic_BCast_BASE[[#This Row],[Broadcast Market]],Historic_BCast_BASE[[#This Row],[Broadcaster]]),Table1[[CC]:[Pay TV vs. Free-to-Air]],2,FALSE)</f>
        <v>-</v>
      </c>
      <c r="P433" s="235">
        <f>Historic_BCast_BASE[[#This Row],[Rolex EXP]]*86400</f>
        <v>3439.8617565686568</v>
      </c>
      <c r="Q433" s="19" t="str">
        <f>IF(Historic_BCast_BASE[[#This Row],[Dashboard Rated?]]="No","N","Y")</f>
        <v>Y</v>
      </c>
      <c r="S433" s="22"/>
    </row>
    <row r="434" spans="1:19" x14ac:dyDescent="0.25">
      <c r="A434" s="72" t="s">
        <v>1869</v>
      </c>
      <c r="B434" t="s">
        <v>45</v>
      </c>
      <c r="C434" t="s">
        <v>45</v>
      </c>
      <c r="D434" t="s">
        <v>45</v>
      </c>
      <c r="E434" s="102">
        <v>8.2465277777777776E-2</v>
      </c>
      <c r="F434" s="101">
        <v>415.927046361973</v>
      </c>
      <c r="G434" s="102">
        <v>7.8788233327571639E-3</v>
      </c>
      <c r="H434" s="101">
        <v>130.43452704195198</v>
      </c>
      <c r="I434" s="101">
        <v>37.471393765242247</v>
      </c>
      <c r="J434" s="160"/>
      <c r="K434" t="str">
        <f>VLOOKUP(Historic_BCast_BASE[[#This Row],[Broadcast Market]],Continent_Look_Up[],2,FALSE)</f>
        <v>Digital</v>
      </c>
      <c r="L434" s="132" t="str">
        <f>IF(OR(Historic_BCast_BASE[[#This Row],[Broadcast Continent]]="Digital",Historic_BCast_BASE[[#This Row],[Programme Type]]="Digital"),"Y","N")</f>
        <v>Y</v>
      </c>
      <c r="M434" s="132" t="str">
        <f>IF(ISNUMBER(SEARCH("Pan ",Historic_BCast_BASE[[#This Row],[Broadcast Market]]))=TRUE,"Y","N")</f>
        <v>N</v>
      </c>
      <c r="N434" s="132" t="str">
        <f>VLOOKUP(CONCATENATE(Historic_BCast_BASE[[#This Row],[Broadcast Market]],Historic_BCast_BASE[[#This Row],[Broadcaster]]),Table1[[CC]:[Pay TV vs. Free-to-Air]],3,FALSE)</f>
        <v>Digital</v>
      </c>
      <c r="O434" s="133" t="str">
        <f>VLOOKUP(CONCATENATE(Historic_BCast_BASE[[#This Row],[Broadcast Market]],Historic_BCast_BASE[[#This Row],[Broadcaster]]),Table1[[CC]:[Pay TV vs. Free-to-Air]],2,FALSE)</f>
        <v>-</v>
      </c>
      <c r="P434" s="235">
        <f>Historic_BCast_BASE[[#This Row],[Rolex EXP]]*86400</f>
        <v>680.730335950219</v>
      </c>
      <c r="Q434" s="19" t="str">
        <f>IF(Historic_BCast_BASE[[#This Row],[Dashboard Rated?]]="No","N","Y")</f>
        <v>Y</v>
      </c>
      <c r="S434" s="22"/>
    </row>
    <row r="435" spans="1:19" x14ac:dyDescent="0.25">
      <c r="A435" s="72" t="s">
        <v>1869</v>
      </c>
      <c r="B435" t="s">
        <v>45</v>
      </c>
      <c r="C435" t="s">
        <v>45</v>
      </c>
      <c r="D435" t="s">
        <v>45</v>
      </c>
      <c r="E435" s="102">
        <v>0.25175925925925929</v>
      </c>
      <c r="F435" s="101">
        <v>8385.7031483344745</v>
      </c>
      <c r="G435" s="102">
        <v>2.4053356510053869E-2</v>
      </c>
      <c r="H435" s="101">
        <v>617.26572876999478</v>
      </c>
      <c r="I435" s="101">
        <v>177.32886916583368</v>
      </c>
      <c r="J435" s="160"/>
      <c r="K435" t="str">
        <f>VLOOKUP(Historic_BCast_BASE[[#This Row],[Broadcast Market]],Continent_Look_Up[],2,FALSE)</f>
        <v>Digital</v>
      </c>
      <c r="L435" s="132" t="str">
        <f>IF(OR(Historic_BCast_BASE[[#This Row],[Broadcast Continent]]="Digital",Historic_BCast_BASE[[#This Row],[Programme Type]]="Digital"),"Y","N")</f>
        <v>Y</v>
      </c>
      <c r="M435" s="132" t="str">
        <f>IF(ISNUMBER(SEARCH("Pan ",Historic_BCast_BASE[[#This Row],[Broadcast Market]]))=TRUE,"Y","N")</f>
        <v>N</v>
      </c>
      <c r="N435" s="132" t="str">
        <f>VLOOKUP(CONCATENATE(Historic_BCast_BASE[[#This Row],[Broadcast Market]],Historic_BCast_BASE[[#This Row],[Broadcaster]]),Table1[[CC]:[Pay TV vs. Free-to-Air]],3,FALSE)</f>
        <v>Digital</v>
      </c>
      <c r="O435" s="133" t="str">
        <f>VLOOKUP(CONCATENATE(Historic_BCast_BASE[[#This Row],[Broadcast Market]],Historic_BCast_BASE[[#This Row],[Broadcaster]]),Table1[[CC]:[Pay TV vs. Free-to-Air]],2,FALSE)</f>
        <v>-</v>
      </c>
      <c r="P435" s="235">
        <f>Historic_BCast_BASE[[#This Row],[Rolex EXP]]*86400</f>
        <v>2078.2100024686542</v>
      </c>
      <c r="Q435" s="19" t="str">
        <f>IF(Historic_BCast_BASE[[#This Row],[Dashboard Rated?]]="No","N","Y")</f>
        <v>Y</v>
      </c>
      <c r="S435" s="22"/>
    </row>
    <row r="436" spans="1:19" x14ac:dyDescent="0.25">
      <c r="A436" s="72" t="s">
        <v>1869</v>
      </c>
      <c r="B436" t="s">
        <v>45</v>
      </c>
      <c r="C436" t="s">
        <v>45</v>
      </c>
      <c r="D436" t="s">
        <v>45</v>
      </c>
      <c r="E436" s="102">
        <v>8.4606481481481494E-3</v>
      </c>
      <c r="F436" s="101">
        <v>530.82090886413005</v>
      </c>
      <c r="G436" s="102">
        <v>8.083396289467349E-4</v>
      </c>
      <c r="H436" s="101">
        <v>17.078744255857835</v>
      </c>
      <c r="I436" s="101">
        <v>4.9064029712108743</v>
      </c>
      <c r="J436" s="160"/>
      <c r="K436" t="str">
        <f>VLOOKUP(Historic_BCast_BASE[[#This Row],[Broadcast Market]],Continent_Look_Up[],2,FALSE)</f>
        <v>Digital</v>
      </c>
      <c r="L436" s="132" t="str">
        <f>IF(OR(Historic_BCast_BASE[[#This Row],[Broadcast Continent]]="Digital",Historic_BCast_BASE[[#This Row],[Programme Type]]="Digital"),"Y","N")</f>
        <v>Y</v>
      </c>
      <c r="M436" s="132" t="str">
        <f>IF(ISNUMBER(SEARCH("Pan ",Historic_BCast_BASE[[#This Row],[Broadcast Market]]))=TRUE,"Y","N")</f>
        <v>N</v>
      </c>
      <c r="N436" s="132" t="str">
        <f>VLOOKUP(CONCATENATE(Historic_BCast_BASE[[#This Row],[Broadcast Market]],Historic_BCast_BASE[[#This Row],[Broadcaster]]),Table1[[CC]:[Pay TV vs. Free-to-Air]],3,FALSE)</f>
        <v>Digital</v>
      </c>
      <c r="O436" s="133" t="str">
        <f>VLOOKUP(CONCATENATE(Historic_BCast_BASE[[#This Row],[Broadcast Market]],Historic_BCast_BASE[[#This Row],[Broadcaster]]),Table1[[CC]:[Pay TV vs. Free-to-Air]],2,FALSE)</f>
        <v>-</v>
      </c>
      <c r="P436" s="235">
        <f>Historic_BCast_BASE[[#This Row],[Rolex EXP]]*86400</f>
        <v>69.84054394099789</v>
      </c>
      <c r="Q436" s="19" t="str">
        <f>IF(Historic_BCast_BASE[[#This Row],[Dashboard Rated?]]="No","N","Y")</f>
        <v>Y</v>
      </c>
      <c r="S436" s="22"/>
    </row>
    <row r="437" spans="1:19" x14ac:dyDescent="0.25">
      <c r="A437" s="72" t="s">
        <v>1869</v>
      </c>
      <c r="B437" t="s">
        <v>45</v>
      </c>
      <c r="C437" t="s">
        <v>45</v>
      </c>
      <c r="D437" t="s">
        <v>45</v>
      </c>
      <c r="E437" s="102">
        <v>3.7668055555555555</v>
      </c>
      <c r="F437" s="101">
        <v>30823.969104492244</v>
      </c>
      <c r="G437" s="102">
        <v>0.35988474544455912</v>
      </c>
      <c r="H437" s="101">
        <v>30746.117785607534</v>
      </c>
      <c r="I437" s="101">
        <v>8832.7831014135172</v>
      </c>
      <c r="J437" s="160"/>
      <c r="K437" t="str">
        <f>VLOOKUP(Historic_BCast_BASE[[#This Row],[Broadcast Market]],Continent_Look_Up[],2,FALSE)</f>
        <v>Digital</v>
      </c>
      <c r="L437" s="132" t="str">
        <f>IF(OR(Historic_BCast_BASE[[#This Row],[Broadcast Continent]]="Digital",Historic_BCast_BASE[[#This Row],[Programme Type]]="Digital"),"Y","N")</f>
        <v>Y</v>
      </c>
      <c r="M437" s="132" t="str">
        <f>IF(ISNUMBER(SEARCH("Pan ",Historic_BCast_BASE[[#This Row],[Broadcast Market]]))=TRUE,"Y","N")</f>
        <v>N</v>
      </c>
      <c r="N437" s="132" t="str">
        <f>VLOOKUP(CONCATENATE(Historic_BCast_BASE[[#This Row],[Broadcast Market]],Historic_BCast_BASE[[#This Row],[Broadcaster]]),Table1[[CC]:[Pay TV vs. Free-to-Air]],3,FALSE)</f>
        <v>Digital</v>
      </c>
      <c r="O437" s="133" t="str">
        <f>VLOOKUP(CONCATENATE(Historic_BCast_BASE[[#This Row],[Broadcast Market]],Historic_BCast_BASE[[#This Row],[Broadcaster]]),Table1[[CC]:[Pay TV vs. Free-to-Air]],2,FALSE)</f>
        <v>-</v>
      </c>
      <c r="P437" s="235">
        <f>Historic_BCast_BASE[[#This Row],[Rolex EXP]]*86400</f>
        <v>31094.042006409909</v>
      </c>
      <c r="Q437" s="19" t="str">
        <f>IF(Historic_BCast_BASE[[#This Row],[Dashboard Rated?]]="No","N","Y")</f>
        <v>Y</v>
      </c>
      <c r="S437" s="22"/>
    </row>
    <row r="438" spans="1:19" x14ac:dyDescent="0.25">
      <c r="A438" s="72" t="s">
        <v>1869</v>
      </c>
      <c r="B438" t="s">
        <v>45</v>
      </c>
      <c r="C438" t="s">
        <v>45</v>
      </c>
      <c r="D438" t="s">
        <v>45</v>
      </c>
      <c r="E438" s="102">
        <v>3.0678009259259258</v>
      </c>
      <c r="F438" s="101">
        <v>138335.50459315159</v>
      </c>
      <c r="G438" s="102">
        <v>0.2799164314269294</v>
      </c>
      <c r="H438" s="101">
        <v>17605.535094491919</v>
      </c>
      <c r="I438" s="101">
        <v>5134.3639441130681</v>
      </c>
      <c r="J438" s="160"/>
      <c r="K438" t="str">
        <f>VLOOKUP(Historic_BCast_BASE[[#This Row],[Broadcast Market]],Continent_Look_Up[],2,FALSE)</f>
        <v>Digital</v>
      </c>
      <c r="L438" s="132" t="str">
        <f>IF(OR(Historic_BCast_BASE[[#This Row],[Broadcast Continent]]="Digital",Historic_BCast_BASE[[#This Row],[Programme Type]]="Digital"),"Y","N")</f>
        <v>Y</v>
      </c>
      <c r="M438" s="132" t="str">
        <f>IF(ISNUMBER(SEARCH("Pan ",Historic_BCast_BASE[[#This Row],[Broadcast Market]]))=TRUE,"Y","N")</f>
        <v>N</v>
      </c>
      <c r="N438" s="132" t="str">
        <f>VLOOKUP(CONCATENATE(Historic_BCast_BASE[[#This Row],[Broadcast Market]],Historic_BCast_BASE[[#This Row],[Broadcaster]]),Table1[[CC]:[Pay TV vs. Free-to-Air]],3,FALSE)</f>
        <v>Digital</v>
      </c>
      <c r="O438" s="133" t="str">
        <f>VLOOKUP(CONCATENATE(Historic_BCast_BASE[[#This Row],[Broadcast Market]],Historic_BCast_BASE[[#This Row],[Broadcaster]]),Table1[[CC]:[Pay TV vs. Free-to-Air]],2,FALSE)</f>
        <v>-</v>
      </c>
      <c r="P438" s="235">
        <f>Historic_BCast_BASE[[#This Row],[Rolex EXP]]*86400</f>
        <v>24184.7796752867</v>
      </c>
      <c r="Q438" s="19" t="str">
        <f>IF(Historic_BCast_BASE[[#This Row],[Dashboard Rated?]]="No","N","Y")</f>
        <v>Y</v>
      </c>
      <c r="S438" s="22"/>
    </row>
    <row r="439" spans="1:19" x14ac:dyDescent="0.25">
      <c r="A439" s="72" t="s">
        <v>1869</v>
      </c>
      <c r="B439" t="s">
        <v>45</v>
      </c>
      <c r="C439" t="s">
        <v>45</v>
      </c>
      <c r="D439" t="s">
        <v>45</v>
      </c>
      <c r="E439" s="102">
        <v>6.1754050925925936</v>
      </c>
      <c r="F439" s="101">
        <v>101877.3661287982</v>
      </c>
      <c r="G439" s="102">
        <v>0.58235875742639709</v>
      </c>
      <c r="H439" s="101">
        <v>94458.784744402568</v>
      </c>
      <c r="I439" s="101">
        <v>27154.227274850484</v>
      </c>
      <c r="J439" s="160"/>
      <c r="K439" t="str">
        <f>VLOOKUP(Historic_BCast_BASE[[#This Row],[Broadcast Market]],Continent_Look_Up[],2,FALSE)</f>
        <v>Digital</v>
      </c>
      <c r="L439" s="132" t="str">
        <f>IF(OR(Historic_BCast_BASE[[#This Row],[Broadcast Continent]]="Digital",Historic_BCast_BASE[[#This Row],[Programme Type]]="Digital"),"Y","N")</f>
        <v>Y</v>
      </c>
      <c r="M439" s="132" t="str">
        <f>IF(ISNUMBER(SEARCH("Pan ",Historic_BCast_BASE[[#This Row],[Broadcast Market]]))=TRUE,"Y","N")</f>
        <v>N</v>
      </c>
      <c r="N439" s="132" t="str">
        <f>VLOOKUP(CONCATENATE(Historic_BCast_BASE[[#This Row],[Broadcast Market]],Historic_BCast_BASE[[#This Row],[Broadcaster]]),Table1[[CC]:[Pay TV vs. Free-to-Air]],3,FALSE)</f>
        <v>Digital</v>
      </c>
      <c r="O439" s="133" t="str">
        <f>VLOOKUP(CONCATENATE(Historic_BCast_BASE[[#This Row],[Broadcast Market]],Historic_BCast_BASE[[#This Row],[Broadcaster]]),Table1[[CC]:[Pay TV vs. Free-to-Air]],2,FALSE)</f>
        <v>-</v>
      </c>
      <c r="P439" s="235">
        <f>Historic_BCast_BASE[[#This Row],[Rolex EXP]]*86400</f>
        <v>50315.796641640707</v>
      </c>
      <c r="Q439" s="19" t="str">
        <f>IF(Historic_BCast_BASE[[#This Row],[Dashboard Rated?]]="No","N","Y")</f>
        <v>Y</v>
      </c>
      <c r="S439" s="22"/>
    </row>
    <row r="440" spans="1:19" x14ac:dyDescent="0.25">
      <c r="A440" s="72" t="s">
        <v>1869</v>
      </c>
      <c r="B440" t="s">
        <v>45</v>
      </c>
      <c r="C440" t="s">
        <v>45</v>
      </c>
      <c r="D440" t="s">
        <v>45</v>
      </c>
      <c r="E440" s="102">
        <v>0.47209490740740745</v>
      </c>
      <c r="F440" s="101">
        <v>17030.985737335595</v>
      </c>
      <c r="G440" s="102">
        <v>4.1951547729316134E-2</v>
      </c>
      <c r="H440" s="101">
        <v>2270.3943061498385</v>
      </c>
      <c r="I440" s="101">
        <v>655.86792408122744</v>
      </c>
      <c r="J440" s="160"/>
      <c r="K440" t="str">
        <f>VLOOKUP(Historic_BCast_BASE[[#This Row],[Broadcast Market]],Continent_Look_Up[],2,FALSE)</f>
        <v>Digital</v>
      </c>
      <c r="L440" s="132" t="str">
        <f>IF(OR(Historic_BCast_BASE[[#This Row],[Broadcast Continent]]="Digital",Historic_BCast_BASE[[#This Row],[Programme Type]]="Digital"),"Y","N")</f>
        <v>Y</v>
      </c>
      <c r="M440" s="132" t="str">
        <f>IF(ISNUMBER(SEARCH("Pan ",Historic_BCast_BASE[[#This Row],[Broadcast Market]]))=TRUE,"Y","N")</f>
        <v>N</v>
      </c>
      <c r="N440" s="132" t="str">
        <f>VLOOKUP(CONCATENATE(Historic_BCast_BASE[[#This Row],[Broadcast Market]],Historic_BCast_BASE[[#This Row],[Broadcaster]]),Table1[[CC]:[Pay TV vs. Free-to-Air]],3,FALSE)</f>
        <v>Digital</v>
      </c>
      <c r="O440" s="133" t="str">
        <f>VLOOKUP(CONCATENATE(Historic_BCast_BASE[[#This Row],[Broadcast Market]],Historic_BCast_BASE[[#This Row],[Broadcaster]]),Table1[[CC]:[Pay TV vs. Free-to-Air]],2,FALSE)</f>
        <v>-</v>
      </c>
      <c r="P440" s="235">
        <f>Historic_BCast_BASE[[#This Row],[Rolex EXP]]*86400</f>
        <v>3624.613723812914</v>
      </c>
      <c r="Q440" s="19" t="str">
        <f>IF(Historic_BCast_BASE[[#This Row],[Dashboard Rated?]]="No","N","Y")</f>
        <v>Y</v>
      </c>
      <c r="S440" s="22"/>
    </row>
    <row r="441" spans="1:19" x14ac:dyDescent="0.25">
      <c r="A441" s="72" t="s">
        <v>1869</v>
      </c>
      <c r="B441" t="s">
        <v>45</v>
      </c>
      <c r="C441" t="s">
        <v>45</v>
      </c>
      <c r="D441" t="s">
        <v>45</v>
      </c>
      <c r="E441" s="102">
        <v>3.6505324074074075</v>
      </c>
      <c r="F441" s="101">
        <v>44930.954338093179</v>
      </c>
      <c r="G441" s="102">
        <v>0.34877588099531304</v>
      </c>
      <c r="H441" s="101">
        <v>44553.117198957589</v>
      </c>
      <c r="I441" s="101">
        <v>12799.275129768146</v>
      </c>
      <c r="J441" s="160"/>
      <c r="K441" t="str">
        <f>VLOOKUP(Historic_BCast_BASE[[#This Row],[Broadcast Market]],Continent_Look_Up[],2,FALSE)</f>
        <v>Digital</v>
      </c>
      <c r="L441" s="132" t="str">
        <f>IF(OR(Historic_BCast_BASE[[#This Row],[Broadcast Continent]]="Digital",Historic_BCast_BASE[[#This Row],[Programme Type]]="Digital"),"Y","N")</f>
        <v>Y</v>
      </c>
      <c r="M441" s="132" t="str">
        <f>IF(ISNUMBER(SEARCH("Pan ",Historic_BCast_BASE[[#This Row],[Broadcast Market]]))=TRUE,"Y","N")</f>
        <v>N</v>
      </c>
      <c r="N441" s="132" t="str">
        <f>VLOOKUP(CONCATENATE(Historic_BCast_BASE[[#This Row],[Broadcast Market]],Historic_BCast_BASE[[#This Row],[Broadcaster]]),Table1[[CC]:[Pay TV vs. Free-to-Air]],3,FALSE)</f>
        <v>Digital</v>
      </c>
      <c r="O441" s="133" t="str">
        <f>VLOOKUP(CONCATENATE(Historic_BCast_BASE[[#This Row],[Broadcast Market]],Historic_BCast_BASE[[#This Row],[Broadcaster]]),Table1[[CC]:[Pay TV vs. Free-to-Air]],2,FALSE)</f>
        <v>-</v>
      </c>
      <c r="P441" s="235">
        <f>Historic_BCast_BASE[[#This Row],[Rolex EXP]]*86400</f>
        <v>30134.236117995046</v>
      </c>
      <c r="Q441" s="19" t="str">
        <f>IF(Historic_BCast_BASE[[#This Row],[Dashboard Rated?]]="No","N","Y")</f>
        <v>Y</v>
      </c>
      <c r="S441" s="22"/>
    </row>
    <row r="442" spans="1:19" x14ac:dyDescent="0.25">
      <c r="A442" s="72" t="s">
        <v>1869</v>
      </c>
      <c r="B442" t="s">
        <v>45</v>
      </c>
      <c r="C442" t="s">
        <v>45</v>
      </c>
      <c r="D442" t="s">
        <v>45</v>
      </c>
      <c r="E442" s="102">
        <v>0.47209490740740745</v>
      </c>
      <c r="F442" s="101">
        <v>14336.436098737915</v>
      </c>
      <c r="G442" s="102">
        <v>4.1951547729316134E-2</v>
      </c>
      <c r="H442" s="101">
        <v>1911.1593422336427</v>
      </c>
      <c r="I442" s="101">
        <v>552.09244682796873</v>
      </c>
      <c r="J442" s="160"/>
      <c r="K442" t="str">
        <f>VLOOKUP(Historic_BCast_BASE[[#This Row],[Broadcast Market]],Continent_Look_Up[],2,FALSE)</f>
        <v>Digital</v>
      </c>
      <c r="L442" s="132" t="str">
        <f>IF(OR(Historic_BCast_BASE[[#This Row],[Broadcast Continent]]="Digital",Historic_BCast_BASE[[#This Row],[Programme Type]]="Digital"),"Y","N")</f>
        <v>Y</v>
      </c>
      <c r="M442" s="132" t="str">
        <f>IF(ISNUMBER(SEARCH("Pan ",Historic_BCast_BASE[[#This Row],[Broadcast Market]]))=TRUE,"Y","N")</f>
        <v>N</v>
      </c>
      <c r="N442" s="132" t="str">
        <f>VLOOKUP(CONCATENATE(Historic_BCast_BASE[[#This Row],[Broadcast Market]],Historic_BCast_BASE[[#This Row],[Broadcaster]]),Table1[[CC]:[Pay TV vs. Free-to-Air]],3,FALSE)</f>
        <v>Digital</v>
      </c>
      <c r="O442" s="133" t="str">
        <f>VLOOKUP(CONCATENATE(Historic_BCast_BASE[[#This Row],[Broadcast Market]],Historic_BCast_BASE[[#This Row],[Broadcaster]]),Table1[[CC]:[Pay TV vs. Free-to-Air]],2,FALSE)</f>
        <v>-</v>
      </c>
      <c r="P442" s="235">
        <f>Historic_BCast_BASE[[#This Row],[Rolex EXP]]*86400</f>
        <v>3624.613723812914</v>
      </c>
      <c r="Q442" s="19" t="str">
        <f>IF(Historic_BCast_BASE[[#This Row],[Dashboard Rated?]]="No","N","Y")</f>
        <v>Y</v>
      </c>
      <c r="S442" s="22"/>
    </row>
    <row r="443" spans="1:19" x14ac:dyDescent="0.25">
      <c r="A443" s="72" t="s">
        <v>1869</v>
      </c>
      <c r="B443" t="s">
        <v>45</v>
      </c>
      <c r="C443" t="s">
        <v>45</v>
      </c>
      <c r="D443" t="s">
        <v>45</v>
      </c>
      <c r="E443" s="102">
        <v>3.6505324074074075</v>
      </c>
      <c r="F443" s="101">
        <v>37826.04238227108</v>
      </c>
      <c r="G443" s="102">
        <v>0.34877588099531304</v>
      </c>
      <c r="H443" s="101">
        <v>37507.952462991969</v>
      </c>
      <c r="I443" s="101">
        <v>10775.331409119251</v>
      </c>
      <c r="J443" s="160"/>
      <c r="K443" t="str">
        <f>VLOOKUP(Historic_BCast_BASE[[#This Row],[Broadcast Market]],Continent_Look_Up[],2,FALSE)</f>
        <v>Digital</v>
      </c>
      <c r="L443" s="132" t="str">
        <f>IF(OR(Historic_BCast_BASE[[#This Row],[Broadcast Continent]]="Digital",Historic_BCast_BASE[[#This Row],[Programme Type]]="Digital"),"Y","N")</f>
        <v>Y</v>
      </c>
      <c r="M443" s="132" t="str">
        <f>IF(ISNUMBER(SEARCH("Pan ",Historic_BCast_BASE[[#This Row],[Broadcast Market]]))=TRUE,"Y","N")</f>
        <v>N</v>
      </c>
      <c r="N443" s="132" t="str">
        <f>VLOOKUP(CONCATENATE(Historic_BCast_BASE[[#This Row],[Broadcast Market]],Historic_BCast_BASE[[#This Row],[Broadcaster]]),Table1[[CC]:[Pay TV vs. Free-to-Air]],3,FALSE)</f>
        <v>Digital</v>
      </c>
      <c r="O443" s="133" t="str">
        <f>VLOOKUP(CONCATENATE(Historic_BCast_BASE[[#This Row],[Broadcast Market]],Historic_BCast_BASE[[#This Row],[Broadcaster]]),Table1[[CC]:[Pay TV vs. Free-to-Air]],2,FALSE)</f>
        <v>-</v>
      </c>
      <c r="P443" s="235">
        <f>Historic_BCast_BASE[[#This Row],[Rolex EXP]]*86400</f>
        <v>30134.236117995046</v>
      </c>
      <c r="Q443" s="19" t="str">
        <f>IF(Historic_BCast_BASE[[#This Row],[Dashboard Rated?]]="No","N","Y")</f>
        <v>Y</v>
      </c>
      <c r="S443" s="22"/>
    </row>
    <row r="444" spans="1:19" x14ac:dyDescent="0.25">
      <c r="A444" s="72" t="s">
        <v>1869</v>
      </c>
      <c r="B444" t="s">
        <v>45</v>
      </c>
      <c r="C444" t="s">
        <v>45</v>
      </c>
      <c r="D444" t="s">
        <v>45</v>
      </c>
      <c r="E444" s="102">
        <v>0.50831018518518523</v>
      </c>
      <c r="F444" s="101">
        <v>8866.6833957626986</v>
      </c>
      <c r="G444" s="102">
        <v>4.856451412323215E-2</v>
      </c>
      <c r="H444" s="101">
        <v>8569.6739191728157</v>
      </c>
      <c r="I444" s="101">
        <v>2461.906622023243</v>
      </c>
      <c r="J444" s="160"/>
      <c r="K444" t="str">
        <f>VLOOKUP(Historic_BCast_BASE[[#This Row],[Broadcast Market]],Continent_Look_Up[],2,FALSE)</f>
        <v>Digital</v>
      </c>
      <c r="L444" s="132" t="str">
        <f>IF(OR(Historic_BCast_BASE[[#This Row],[Broadcast Continent]]="Digital",Historic_BCast_BASE[[#This Row],[Programme Type]]="Digital"),"Y","N")</f>
        <v>Y</v>
      </c>
      <c r="M444" s="132" t="str">
        <f>IF(ISNUMBER(SEARCH("Pan ",Historic_BCast_BASE[[#This Row],[Broadcast Market]]))=TRUE,"Y","N")</f>
        <v>N</v>
      </c>
      <c r="N444" s="132" t="str">
        <f>VLOOKUP(CONCATENATE(Historic_BCast_BASE[[#This Row],[Broadcast Market]],Historic_BCast_BASE[[#This Row],[Broadcaster]]),Table1[[CC]:[Pay TV vs. Free-to-Air]],3,FALSE)</f>
        <v>Digital</v>
      </c>
      <c r="O444" s="133" t="str">
        <f>VLOOKUP(CONCATENATE(Historic_BCast_BASE[[#This Row],[Broadcast Market]],Historic_BCast_BASE[[#This Row],[Broadcaster]]),Table1[[CC]:[Pay TV vs. Free-to-Air]],2,FALSE)</f>
        <v>-</v>
      </c>
      <c r="P444" s="235">
        <f>Historic_BCast_BASE[[#This Row],[Rolex EXP]]*86400</f>
        <v>4195.9740202472576</v>
      </c>
      <c r="Q444" s="19" t="str">
        <f>IF(Historic_BCast_BASE[[#This Row],[Dashboard Rated?]]="No","N","Y")</f>
        <v>Y</v>
      </c>
      <c r="S444" s="22"/>
    </row>
    <row r="445" spans="1:19" x14ac:dyDescent="0.25">
      <c r="A445" s="72" t="s">
        <v>1869</v>
      </c>
      <c r="B445" t="s">
        <v>45</v>
      </c>
      <c r="C445" t="s">
        <v>45</v>
      </c>
      <c r="D445" t="s">
        <v>45</v>
      </c>
      <c r="E445" s="102">
        <v>0.50831018518518523</v>
      </c>
      <c r="F445" s="101">
        <v>5403.7203403244393</v>
      </c>
      <c r="G445" s="102">
        <v>4.856451412323215E-2</v>
      </c>
      <c r="H445" s="101">
        <v>5222.7105897468073</v>
      </c>
      <c r="I445" s="101">
        <v>1500.3868183411207</v>
      </c>
      <c r="J445" s="160"/>
      <c r="K445" t="str">
        <f>VLOOKUP(Historic_BCast_BASE[[#This Row],[Broadcast Market]],Continent_Look_Up[],2,FALSE)</f>
        <v>Digital</v>
      </c>
      <c r="L445" s="132" t="str">
        <f>IF(OR(Historic_BCast_BASE[[#This Row],[Broadcast Continent]]="Digital",Historic_BCast_BASE[[#This Row],[Programme Type]]="Digital"),"Y","N")</f>
        <v>Y</v>
      </c>
      <c r="M445" s="132" t="str">
        <f>IF(ISNUMBER(SEARCH("Pan ",Historic_BCast_BASE[[#This Row],[Broadcast Market]]))=TRUE,"Y","N")</f>
        <v>N</v>
      </c>
      <c r="N445" s="132" t="str">
        <f>VLOOKUP(CONCATENATE(Historic_BCast_BASE[[#This Row],[Broadcast Market]],Historic_BCast_BASE[[#This Row],[Broadcaster]]),Table1[[CC]:[Pay TV vs. Free-to-Air]],3,FALSE)</f>
        <v>Digital</v>
      </c>
      <c r="O445" s="133" t="str">
        <f>VLOOKUP(CONCATENATE(Historic_BCast_BASE[[#This Row],[Broadcast Market]],Historic_BCast_BASE[[#This Row],[Broadcaster]]),Table1[[CC]:[Pay TV vs. Free-to-Air]],2,FALSE)</f>
        <v>-</v>
      </c>
      <c r="P445" s="235">
        <f>Historic_BCast_BASE[[#This Row],[Rolex EXP]]*86400</f>
        <v>4195.9740202472576</v>
      </c>
      <c r="Q445" s="19" t="str">
        <f>IF(Historic_BCast_BASE[[#This Row],[Dashboard Rated?]]="No","N","Y")</f>
        <v>Y</v>
      </c>
      <c r="S445" s="22"/>
    </row>
    <row r="446" spans="1:19" x14ac:dyDescent="0.25">
      <c r="A446" s="72" t="s">
        <v>1869</v>
      </c>
      <c r="B446" t="s">
        <v>45</v>
      </c>
      <c r="C446" t="s">
        <v>45</v>
      </c>
      <c r="D446" t="s">
        <v>45</v>
      </c>
      <c r="E446" s="102">
        <v>3.0678009259259258</v>
      </c>
      <c r="F446" s="101">
        <v>944098.8906325188</v>
      </c>
      <c r="G446" s="102">
        <v>0.2799164314269294</v>
      </c>
      <c r="H446" s="101">
        <v>120152.03174259851</v>
      </c>
      <c r="I446" s="101">
        <v>35040.360337837978</v>
      </c>
      <c r="J446" s="160"/>
      <c r="K446" t="str">
        <f>VLOOKUP(Historic_BCast_BASE[[#This Row],[Broadcast Market]],Continent_Look_Up[],2,FALSE)</f>
        <v>Digital</v>
      </c>
      <c r="L446" s="132" t="str">
        <f>IF(OR(Historic_BCast_BASE[[#This Row],[Broadcast Continent]]="Digital",Historic_BCast_BASE[[#This Row],[Programme Type]]="Digital"),"Y","N")</f>
        <v>Y</v>
      </c>
      <c r="M446" s="132" t="str">
        <f>IF(ISNUMBER(SEARCH("Pan ",Historic_BCast_BASE[[#This Row],[Broadcast Market]]))=TRUE,"Y","N")</f>
        <v>N</v>
      </c>
      <c r="N446" s="132" t="str">
        <f>VLOOKUP(CONCATENATE(Historic_BCast_BASE[[#This Row],[Broadcast Market]],Historic_BCast_BASE[[#This Row],[Broadcaster]]),Table1[[CC]:[Pay TV vs. Free-to-Air]],3,FALSE)</f>
        <v>Digital</v>
      </c>
      <c r="O446" s="133" t="str">
        <f>VLOOKUP(CONCATENATE(Historic_BCast_BASE[[#This Row],[Broadcast Market]],Historic_BCast_BASE[[#This Row],[Broadcaster]]),Table1[[CC]:[Pay TV vs. Free-to-Air]],2,FALSE)</f>
        <v>-</v>
      </c>
      <c r="P446" s="235">
        <f>Historic_BCast_BASE[[#This Row],[Rolex EXP]]*86400</f>
        <v>24184.7796752867</v>
      </c>
      <c r="Q446" s="19" t="str">
        <f>IF(Historic_BCast_BASE[[#This Row],[Dashboard Rated?]]="No","N","Y")</f>
        <v>Y</v>
      </c>
      <c r="S446" s="22"/>
    </row>
    <row r="447" spans="1:19" x14ac:dyDescent="0.25">
      <c r="A447" s="72" t="s">
        <v>1869</v>
      </c>
      <c r="B447" t="s">
        <v>45</v>
      </c>
      <c r="C447" t="s">
        <v>45</v>
      </c>
      <c r="D447" t="s">
        <v>45</v>
      </c>
      <c r="E447" s="102">
        <v>6.1754050925925936</v>
      </c>
      <c r="F447" s="101">
        <v>695277.3987618325</v>
      </c>
      <c r="G447" s="102">
        <v>0.58235875742639709</v>
      </c>
      <c r="H447" s="101">
        <v>644648.17498582113</v>
      </c>
      <c r="I447" s="101">
        <v>185318.1057034494</v>
      </c>
      <c r="J447" s="160"/>
      <c r="K447" t="str">
        <f>VLOOKUP(Historic_BCast_BASE[[#This Row],[Broadcast Market]],Continent_Look_Up[],2,FALSE)</f>
        <v>Digital</v>
      </c>
      <c r="L447" s="132" t="str">
        <f>IF(OR(Historic_BCast_BASE[[#This Row],[Broadcast Continent]]="Digital",Historic_BCast_BASE[[#This Row],[Programme Type]]="Digital"),"Y","N")</f>
        <v>Y</v>
      </c>
      <c r="M447" s="132" t="str">
        <f>IF(ISNUMBER(SEARCH("Pan ",Historic_BCast_BASE[[#This Row],[Broadcast Market]]))=TRUE,"Y","N")</f>
        <v>N</v>
      </c>
      <c r="N447" s="132" t="str">
        <f>VLOOKUP(CONCATENATE(Historic_BCast_BASE[[#This Row],[Broadcast Market]],Historic_BCast_BASE[[#This Row],[Broadcaster]]),Table1[[CC]:[Pay TV vs. Free-to-Air]],3,FALSE)</f>
        <v>Digital</v>
      </c>
      <c r="O447" s="133" t="str">
        <f>VLOOKUP(CONCATENATE(Historic_BCast_BASE[[#This Row],[Broadcast Market]],Historic_BCast_BASE[[#This Row],[Broadcaster]]),Table1[[CC]:[Pay TV vs. Free-to-Air]],2,FALSE)</f>
        <v>-</v>
      </c>
      <c r="P447" s="235">
        <f>Historic_BCast_BASE[[#This Row],[Rolex EXP]]*86400</f>
        <v>50315.796641640707</v>
      </c>
      <c r="Q447" s="19" t="str">
        <f>IF(Historic_BCast_BASE[[#This Row],[Dashboard Rated?]]="No","N","Y")</f>
        <v>Y</v>
      </c>
      <c r="S447" s="22"/>
    </row>
    <row r="448" spans="1:19" x14ac:dyDescent="0.25">
      <c r="A448" s="72" t="s">
        <v>1869</v>
      </c>
      <c r="B448" t="s">
        <v>45</v>
      </c>
      <c r="C448" t="s">
        <v>45</v>
      </c>
      <c r="D448" t="s">
        <v>45</v>
      </c>
      <c r="E448" s="102">
        <v>0.96915509259259247</v>
      </c>
      <c r="F448" s="101">
        <v>11175.528924612943</v>
      </c>
      <c r="G448" s="102">
        <v>9.2594143406094176E-2</v>
      </c>
      <c r="H448" s="101">
        <v>677.65638844904197</v>
      </c>
      <c r="I448" s="101">
        <v>194.67797327113306</v>
      </c>
      <c r="J448" s="160"/>
      <c r="K448" t="str">
        <f>VLOOKUP(Historic_BCast_BASE[[#This Row],[Broadcast Market]],Continent_Look_Up[],2,FALSE)</f>
        <v>Digital</v>
      </c>
      <c r="L448" s="132" t="str">
        <f>IF(OR(Historic_BCast_BASE[[#This Row],[Broadcast Continent]]="Digital",Historic_BCast_BASE[[#This Row],[Programme Type]]="Digital"),"Y","N")</f>
        <v>Y</v>
      </c>
      <c r="M448" s="132" t="str">
        <f>IF(ISNUMBER(SEARCH("Pan ",Historic_BCast_BASE[[#This Row],[Broadcast Market]]))=TRUE,"Y","N")</f>
        <v>N</v>
      </c>
      <c r="N448" s="132" t="str">
        <f>VLOOKUP(CONCATENATE(Historic_BCast_BASE[[#This Row],[Broadcast Market]],Historic_BCast_BASE[[#This Row],[Broadcaster]]),Table1[[CC]:[Pay TV vs. Free-to-Air]],3,FALSE)</f>
        <v>Digital</v>
      </c>
      <c r="O448" s="133" t="str">
        <f>VLOOKUP(CONCATENATE(Historic_BCast_BASE[[#This Row],[Broadcast Market]],Historic_BCast_BASE[[#This Row],[Broadcaster]]),Table1[[CC]:[Pay TV vs. Free-to-Air]],2,FALSE)</f>
        <v>-</v>
      </c>
      <c r="P448" s="235">
        <f>Historic_BCast_BASE[[#This Row],[Rolex EXP]]*86400</f>
        <v>8000.1339902865366</v>
      </c>
      <c r="Q448" s="19" t="str">
        <f>IF(Historic_BCast_BASE[[#This Row],[Dashboard Rated?]]="No","N","Y")</f>
        <v>Y</v>
      </c>
      <c r="S448" s="22"/>
    </row>
    <row r="449" spans="1:19" x14ac:dyDescent="0.25">
      <c r="A449" s="72" t="s">
        <v>1869</v>
      </c>
      <c r="B449" t="s">
        <v>45</v>
      </c>
      <c r="C449" t="s">
        <v>45</v>
      </c>
      <c r="D449" t="s">
        <v>45</v>
      </c>
      <c r="E449" s="102">
        <v>5.0412731481481483</v>
      </c>
      <c r="F449" s="101">
        <v>18038.063310948335</v>
      </c>
      <c r="G449" s="102">
        <v>0.47818327860707882</v>
      </c>
      <c r="H449" s="101">
        <v>10140.737680536142</v>
      </c>
      <c r="I449" s="101">
        <v>2963.4338863042221</v>
      </c>
      <c r="J449" s="160"/>
      <c r="K449" t="str">
        <f>VLOOKUP(Historic_BCast_BASE[[#This Row],[Broadcast Market]],Continent_Look_Up[],2,FALSE)</f>
        <v>Digital</v>
      </c>
      <c r="L449" s="132" t="str">
        <f>IF(OR(Historic_BCast_BASE[[#This Row],[Broadcast Continent]]="Digital",Historic_BCast_BASE[[#This Row],[Programme Type]]="Digital"),"Y","N")</f>
        <v>Y</v>
      </c>
      <c r="M449" s="132" t="str">
        <f>IF(ISNUMBER(SEARCH("Pan ",Historic_BCast_BASE[[#This Row],[Broadcast Market]]))=TRUE,"Y","N")</f>
        <v>N</v>
      </c>
      <c r="N449" s="132" t="str">
        <f>VLOOKUP(CONCATENATE(Historic_BCast_BASE[[#This Row],[Broadcast Market]],Historic_BCast_BASE[[#This Row],[Broadcaster]]),Table1[[CC]:[Pay TV vs. Free-to-Air]],3,FALSE)</f>
        <v>Digital</v>
      </c>
      <c r="O449" s="133" t="str">
        <f>VLOOKUP(CONCATENATE(Historic_BCast_BASE[[#This Row],[Broadcast Market]],Historic_BCast_BASE[[#This Row],[Broadcaster]]),Table1[[CC]:[Pay TV vs. Free-to-Air]],2,FALSE)</f>
        <v>-</v>
      </c>
      <c r="P449" s="235">
        <f>Historic_BCast_BASE[[#This Row],[Rolex EXP]]*86400</f>
        <v>41315.035271651614</v>
      </c>
      <c r="Q449" s="19" t="str">
        <f>IF(Historic_BCast_BASE[[#This Row],[Dashboard Rated?]]="No","N","Y")</f>
        <v>Y</v>
      </c>
      <c r="S449" s="22"/>
    </row>
    <row r="450" spans="1:19" x14ac:dyDescent="0.25">
      <c r="A450" s="72" t="s">
        <v>1869</v>
      </c>
      <c r="B450" t="s">
        <v>45</v>
      </c>
      <c r="C450" t="s">
        <v>45</v>
      </c>
      <c r="D450" t="s">
        <v>45</v>
      </c>
      <c r="E450" s="102">
        <v>0.97233796296296304</v>
      </c>
      <c r="F450" s="101">
        <v>90393.129109874397</v>
      </c>
      <c r="G450" s="102">
        <v>9.2898238341744446E-2</v>
      </c>
      <c r="H450" s="101">
        <v>5497.7445603401593</v>
      </c>
      <c r="I450" s="101">
        <v>1579.3989207701563</v>
      </c>
      <c r="J450" s="160"/>
      <c r="K450" t="str">
        <f>VLOOKUP(Historic_BCast_BASE[[#This Row],[Broadcast Market]],Continent_Look_Up[],2,FALSE)</f>
        <v>Digital</v>
      </c>
      <c r="L450" s="132" t="str">
        <f>IF(OR(Historic_BCast_BASE[[#This Row],[Broadcast Continent]]="Digital",Historic_BCast_BASE[[#This Row],[Programme Type]]="Digital"),"Y","N")</f>
        <v>Y</v>
      </c>
      <c r="M450" s="132" t="str">
        <f>IF(ISNUMBER(SEARCH("Pan ",Historic_BCast_BASE[[#This Row],[Broadcast Market]]))=TRUE,"Y","N")</f>
        <v>N</v>
      </c>
      <c r="N450" s="132" t="str">
        <f>VLOOKUP(CONCATENATE(Historic_BCast_BASE[[#This Row],[Broadcast Market]],Historic_BCast_BASE[[#This Row],[Broadcaster]]),Table1[[CC]:[Pay TV vs. Free-to-Air]],3,FALSE)</f>
        <v>Digital</v>
      </c>
      <c r="O450" s="133" t="str">
        <f>VLOOKUP(CONCATENATE(Historic_BCast_BASE[[#This Row],[Broadcast Market]],Historic_BCast_BASE[[#This Row],[Broadcaster]]),Table1[[CC]:[Pay TV vs. Free-to-Air]],2,FALSE)</f>
        <v>-</v>
      </c>
      <c r="P450" s="235">
        <f>Historic_BCast_BASE[[#This Row],[Rolex EXP]]*86400</f>
        <v>8026.4077927267199</v>
      </c>
      <c r="Q450" s="19" t="str">
        <f>IF(Historic_BCast_BASE[[#This Row],[Dashboard Rated?]]="No","N","Y")</f>
        <v>Y</v>
      </c>
      <c r="S450" s="22"/>
    </row>
    <row r="451" spans="1:19" x14ac:dyDescent="0.25">
      <c r="A451" s="72" t="s">
        <v>1869</v>
      </c>
      <c r="B451" t="s">
        <v>45</v>
      </c>
      <c r="C451" t="s">
        <v>45</v>
      </c>
      <c r="D451" t="s">
        <v>45</v>
      </c>
      <c r="E451" s="102">
        <v>5.0405671296296299</v>
      </c>
      <c r="F451" s="101">
        <v>145871.74805394775</v>
      </c>
      <c r="G451" s="102">
        <v>0.4780377570187424</v>
      </c>
      <c r="H451" s="101">
        <v>81980.443357171956</v>
      </c>
      <c r="I451" s="101">
        <v>23957.347744444167</v>
      </c>
      <c r="J451" s="160"/>
      <c r="K451" t="str">
        <f>VLOOKUP(Historic_BCast_BASE[[#This Row],[Broadcast Market]],Continent_Look_Up[],2,FALSE)</f>
        <v>Digital</v>
      </c>
      <c r="L451" s="132" t="str">
        <f>IF(OR(Historic_BCast_BASE[[#This Row],[Broadcast Continent]]="Digital",Historic_BCast_BASE[[#This Row],[Programme Type]]="Digital"),"Y","N")</f>
        <v>Y</v>
      </c>
      <c r="M451" s="132" t="str">
        <f>IF(ISNUMBER(SEARCH("Pan ",Historic_BCast_BASE[[#This Row],[Broadcast Market]]))=TRUE,"Y","N")</f>
        <v>N</v>
      </c>
      <c r="N451" s="132" t="str">
        <f>VLOOKUP(CONCATENATE(Historic_BCast_BASE[[#This Row],[Broadcast Market]],Historic_BCast_BASE[[#This Row],[Broadcaster]]),Table1[[CC]:[Pay TV vs. Free-to-Air]],3,FALSE)</f>
        <v>Digital</v>
      </c>
      <c r="O451" s="133" t="str">
        <f>VLOOKUP(CONCATENATE(Historic_BCast_BASE[[#This Row],[Broadcast Market]],Historic_BCast_BASE[[#This Row],[Broadcaster]]),Table1[[CC]:[Pay TV vs. Free-to-Air]],2,FALSE)</f>
        <v>-</v>
      </c>
      <c r="P451" s="235">
        <f>Historic_BCast_BASE[[#This Row],[Rolex EXP]]*86400</f>
        <v>41302.462206419346</v>
      </c>
      <c r="Q451" s="19" t="str">
        <f>IF(Historic_BCast_BASE[[#This Row],[Dashboard Rated?]]="No","N","Y")</f>
        <v>Y</v>
      </c>
      <c r="S451" s="22"/>
    </row>
    <row r="452" spans="1:19" x14ac:dyDescent="0.25">
      <c r="A452" s="72" t="s">
        <v>1869</v>
      </c>
      <c r="B452" t="s">
        <v>45</v>
      </c>
      <c r="C452" t="s">
        <v>45</v>
      </c>
      <c r="D452" t="s">
        <v>45</v>
      </c>
      <c r="E452" s="102">
        <v>2.6621180555555557</v>
      </c>
      <c r="F452" s="101">
        <v>20022.557934006629</v>
      </c>
      <c r="G452" s="102">
        <v>0.25434168677859315</v>
      </c>
      <c r="H452" s="101">
        <v>1311.3205623112738</v>
      </c>
      <c r="I452" s="101">
        <v>376.71780821515569</v>
      </c>
      <c r="J452" s="160"/>
      <c r="K452" t="str">
        <f>VLOOKUP(Historic_BCast_BASE[[#This Row],[Broadcast Market]],Continent_Look_Up[],2,FALSE)</f>
        <v>Digital</v>
      </c>
      <c r="L452" s="132" t="str">
        <f>IF(OR(Historic_BCast_BASE[[#This Row],[Broadcast Continent]]="Digital",Historic_BCast_BASE[[#This Row],[Programme Type]]="Digital"),"Y","N")</f>
        <v>Y</v>
      </c>
      <c r="M452" s="132" t="str">
        <f>IF(ISNUMBER(SEARCH("Pan ",Historic_BCast_BASE[[#This Row],[Broadcast Market]]))=TRUE,"Y","N")</f>
        <v>N</v>
      </c>
      <c r="N452" s="132" t="str">
        <f>VLOOKUP(CONCATENATE(Historic_BCast_BASE[[#This Row],[Broadcast Market]],Historic_BCast_BASE[[#This Row],[Broadcaster]]),Table1[[CC]:[Pay TV vs. Free-to-Air]],3,FALSE)</f>
        <v>Digital</v>
      </c>
      <c r="O452" s="133" t="str">
        <f>VLOOKUP(CONCATENATE(Historic_BCast_BASE[[#This Row],[Broadcast Market]],Historic_BCast_BASE[[#This Row],[Broadcaster]]),Table1[[CC]:[Pay TV vs. Free-to-Air]],2,FALSE)</f>
        <v>-</v>
      </c>
      <c r="P452" s="235">
        <f>Historic_BCast_BASE[[#This Row],[Rolex EXP]]*86400</f>
        <v>21975.121737670448</v>
      </c>
      <c r="Q452" s="19" t="str">
        <f>IF(Historic_BCast_BASE[[#This Row],[Dashboard Rated?]]="No","N","Y")</f>
        <v>Y</v>
      </c>
      <c r="S452" s="22"/>
    </row>
    <row r="453" spans="1:19" x14ac:dyDescent="0.25">
      <c r="A453" s="72" t="s">
        <v>1869</v>
      </c>
      <c r="B453" t="s">
        <v>45</v>
      </c>
      <c r="C453" t="s">
        <v>45</v>
      </c>
      <c r="D453" t="s">
        <v>45</v>
      </c>
      <c r="E453" s="102">
        <v>5.1912499999999993</v>
      </c>
      <c r="F453" s="101">
        <v>16109.71927918839</v>
      </c>
      <c r="G453" s="102">
        <v>0.47988729266903629</v>
      </c>
      <c r="H453" s="101">
        <v>7604.3998507605374</v>
      </c>
      <c r="I453" s="101">
        <v>2238.363170695593</v>
      </c>
      <c r="J453" s="160"/>
      <c r="K453" t="str">
        <f>VLOOKUP(Historic_BCast_BASE[[#This Row],[Broadcast Market]],Continent_Look_Up[],2,FALSE)</f>
        <v>Digital</v>
      </c>
      <c r="L453" s="132" t="str">
        <f>IF(OR(Historic_BCast_BASE[[#This Row],[Broadcast Continent]]="Digital",Historic_BCast_BASE[[#This Row],[Programme Type]]="Digital"),"Y","N")</f>
        <v>Y</v>
      </c>
      <c r="M453" s="132" t="str">
        <f>IF(ISNUMBER(SEARCH("Pan ",Historic_BCast_BASE[[#This Row],[Broadcast Market]]))=TRUE,"Y","N")</f>
        <v>N</v>
      </c>
      <c r="N453" s="132" t="str">
        <f>VLOOKUP(CONCATENATE(Historic_BCast_BASE[[#This Row],[Broadcast Market]],Historic_BCast_BASE[[#This Row],[Broadcaster]]),Table1[[CC]:[Pay TV vs. Free-to-Air]],3,FALSE)</f>
        <v>Digital</v>
      </c>
      <c r="O453" s="133" t="str">
        <f>VLOOKUP(CONCATENATE(Historic_BCast_BASE[[#This Row],[Broadcast Market]],Historic_BCast_BASE[[#This Row],[Broadcaster]]),Table1[[CC]:[Pay TV vs. Free-to-Air]],2,FALSE)</f>
        <v>-</v>
      </c>
      <c r="P453" s="235">
        <f>Historic_BCast_BASE[[#This Row],[Rolex EXP]]*86400</f>
        <v>41462.262086604736</v>
      </c>
      <c r="Q453" s="19" t="str">
        <f>IF(Historic_BCast_BASE[[#This Row],[Dashboard Rated?]]="No","N","Y")</f>
        <v>Y</v>
      </c>
      <c r="S453" s="22"/>
    </row>
    <row r="454" spans="1:19" x14ac:dyDescent="0.25">
      <c r="A454" s="72" t="s">
        <v>1869</v>
      </c>
      <c r="B454" t="s">
        <v>45</v>
      </c>
      <c r="C454" t="s">
        <v>45</v>
      </c>
      <c r="D454" t="s">
        <v>45</v>
      </c>
      <c r="E454" s="102">
        <v>2.6579976851851854</v>
      </c>
      <c r="F454" s="101">
        <v>125790.77516074434</v>
      </c>
      <c r="G454" s="102">
        <v>0.25394802206189682</v>
      </c>
      <c r="H454" s="101">
        <v>8282.2026783620422</v>
      </c>
      <c r="I454" s="101">
        <v>2379.3215250792518</v>
      </c>
      <c r="J454" s="160"/>
      <c r="K454" t="str">
        <f>VLOOKUP(Historic_BCast_BASE[[#This Row],[Broadcast Market]],Continent_Look_Up[],2,FALSE)</f>
        <v>Digital</v>
      </c>
      <c r="L454" s="132" t="str">
        <f>IF(OR(Historic_BCast_BASE[[#This Row],[Broadcast Continent]]="Digital",Historic_BCast_BASE[[#This Row],[Programme Type]]="Digital"),"Y","N")</f>
        <v>Y</v>
      </c>
      <c r="M454" s="132" t="str">
        <f>IF(ISNUMBER(SEARCH("Pan ",Historic_BCast_BASE[[#This Row],[Broadcast Market]]))=TRUE,"Y","N")</f>
        <v>N</v>
      </c>
      <c r="N454" s="132" t="str">
        <f>VLOOKUP(CONCATENATE(Historic_BCast_BASE[[#This Row],[Broadcast Market]],Historic_BCast_BASE[[#This Row],[Broadcaster]]),Table1[[CC]:[Pay TV vs. Free-to-Air]],3,FALSE)</f>
        <v>Digital</v>
      </c>
      <c r="O454" s="133" t="str">
        <f>VLOOKUP(CONCATENATE(Historic_BCast_BASE[[#This Row],[Broadcast Market]],Historic_BCast_BASE[[#This Row],[Broadcaster]]),Table1[[CC]:[Pay TV vs. Free-to-Air]],2,FALSE)</f>
        <v>-</v>
      </c>
      <c r="P454" s="235">
        <f>Historic_BCast_BASE[[#This Row],[Rolex EXP]]*86400</f>
        <v>21941.109106147884</v>
      </c>
      <c r="Q454" s="19" t="str">
        <f>IF(Historic_BCast_BASE[[#This Row],[Dashboard Rated?]]="No","N","Y")</f>
        <v>Y</v>
      </c>
      <c r="S454" s="22"/>
    </row>
    <row r="455" spans="1:19" x14ac:dyDescent="0.25">
      <c r="A455" s="72" t="s">
        <v>1869</v>
      </c>
      <c r="B455" t="s">
        <v>45</v>
      </c>
      <c r="C455" t="s">
        <v>45</v>
      </c>
      <c r="D455" t="s">
        <v>45</v>
      </c>
      <c r="E455" s="102">
        <v>5.1934953703703703</v>
      </c>
      <c r="F455" s="101">
        <v>101918.46969865708</v>
      </c>
      <c r="G455" s="102">
        <v>0.48017694816975237</v>
      </c>
      <c r="H455" s="101">
        <v>48138.021818237859</v>
      </c>
      <c r="I455" s="101">
        <v>14170.247131452232</v>
      </c>
      <c r="J455" s="160"/>
      <c r="K455" t="str">
        <f>VLOOKUP(Historic_BCast_BASE[[#This Row],[Broadcast Market]],Continent_Look_Up[],2,FALSE)</f>
        <v>Digital</v>
      </c>
      <c r="L455" s="132" t="str">
        <f>IF(OR(Historic_BCast_BASE[[#This Row],[Broadcast Continent]]="Digital",Historic_BCast_BASE[[#This Row],[Programme Type]]="Digital"),"Y","N")</f>
        <v>Y</v>
      </c>
      <c r="M455" s="132" t="str">
        <f>IF(ISNUMBER(SEARCH("Pan ",Historic_BCast_BASE[[#This Row],[Broadcast Market]]))=TRUE,"Y","N")</f>
        <v>N</v>
      </c>
      <c r="N455" s="132" t="str">
        <f>VLOOKUP(CONCATENATE(Historic_BCast_BASE[[#This Row],[Broadcast Market]],Historic_BCast_BASE[[#This Row],[Broadcaster]]),Table1[[CC]:[Pay TV vs. Free-to-Air]],3,FALSE)</f>
        <v>Digital</v>
      </c>
      <c r="O455" s="133" t="str">
        <f>VLOOKUP(CONCATENATE(Historic_BCast_BASE[[#This Row],[Broadcast Market]],Historic_BCast_BASE[[#This Row],[Broadcaster]]),Table1[[CC]:[Pay TV vs. Free-to-Air]],2,FALSE)</f>
        <v>-</v>
      </c>
      <c r="P455" s="235">
        <f>Historic_BCast_BASE[[#This Row],[Rolex EXP]]*86400</f>
        <v>41487.288321866603</v>
      </c>
      <c r="Q455" s="19" t="str">
        <f>IF(Historic_BCast_BASE[[#This Row],[Dashboard Rated?]]="No","N","Y")</f>
        <v>Y</v>
      </c>
      <c r="S455" s="22"/>
    </row>
    <row r="456" spans="1:19" x14ac:dyDescent="0.25">
      <c r="A456" s="72" t="s">
        <v>1869</v>
      </c>
      <c r="B456" t="s">
        <v>45</v>
      </c>
      <c r="C456" t="s">
        <v>45</v>
      </c>
      <c r="D456" t="s">
        <v>45</v>
      </c>
      <c r="E456" s="102">
        <v>0.4375</v>
      </c>
      <c r="F456" s="101">
        <v>83.8489884673278</v>
      </c>
      <c r="G456" s="102">
        <v>4.1799231154837996E-2</v>
      </c>
      <c r="H456" s="101">
        <v>139.50191348191427</v>
      </c>
      <c r="I456" s="101">
        <v>40.076283861590468</v>
      </c>
      <c r="J456" s="160"/>
      <c r="K456" t="str">
        <f>VLOOKUP(Historic_BCast_BASE[[#This Row],[Broadcast Market]],Continent_Look_Up[],2,FALSE)</f>
        <v>Digital</v>
      </c>
      <c r="L456" s="132" t="str">
        <f>IF(OR(Historic_BCast_BASE[[#This Row],[Broadcast Continent]]="Digital",Historic_BCast_BASE[[#This Row],[Programme Type]]="Digital"),"Y","N")</f>
        <v>Y</v>
      </c>
      <c r="M456" s="132" t="str">
        <f>IF(ISNUMBER(SEARCH("Pan ",Historic_BCast_BASE[[#This Row],[Broadcast Market]]))=TRUE,"Y","N")</f>
        <v>N</v>
      </c>
      <c r="N456" s="132" t="str">
        <f>VLOOKUP(CONCATENATE(Historic_BCast_BASE[[#This Row],[Broadcast Market]],Historic_BCast_BASE[[#This Row],[Broadcaster]]),Table1[[CC]:[Pay TV vs. Free-to-Air]],3,FALSE)</f>
        <v>Digital</v>
      </c>
      <c r="O456" s="133" t="str">
        <f>VLOOKUP(CONCATENATE(Historic_BCast_BASE[[#This Row],[Broadcast Market]],Historic_BCast_BASE[[#This Row],[Broadcaster]]),Table1[[CC]:[Pay TV vs. Free-to-Air]],2,FALSE)</f>
        <v>-</v>
      </c>
      <c r="P456" s="235">
        <f>Historic_BCast_BASE[[#This Row],[Rolex EXP]]*86400</f>
        <v>3611.4535717780027</v>
      </c>
      <c r="Q456" s="19" t="str">
        <f>IF(Historic_BCast_BASE[[#This Row],[Dashboard Rated?]]="No","N","Y")</f>
        <v>Y</v>
      </c>
      <c r="S456" s="22"/>
    </row>
    <row r="457" spans="1:19" x14ac:dyDescent="0.25">
      <c r="A457" s="72" t="s">
        <v>1869</v>
      </c>
      <c r="B457" t="s">
        <v>45</v>
      </c>
      <c r="C457" t="s">
        <v>45</v>
      </c>
      <c r="D457" t="s">
        <v>45</v>
      </c>
      <c r="E457" s="102">
        <v>2.0833333333333332E-2</v>
      </c>
      <c r="F457" s="101">
        <v>76.28613852713741</v>
      </c>
      <c r="G457" s="102">
        <v>1.9904395788018095E-3</v>
      </c>
      <c r="H457" s="101">
        <v>6.0437803786748816</v>
      </c>
      <c r="I457" s="101">
        <v>1.736264772341541</v>
      </c>
      <c r="J457" s="160"/>
      <c r="K457" t="str">
        <f>VLOOKUP(Historic_BCast_BASE[[#This Row],[Broadcast Market]],Continent_Look_Up[],2,FALSE)</f>
        <v>Digital</v>
      </c>
      <c r="L457" s="132" t="str">
        <f>IF(OR(Historic_BCast_BASE[[#This Row],[Broadcast Continent]]="Digital",Historic_BCast_BASE[[#This Row],[Programme Type]]="Digital"),"Y","N")</f>
        <v>Y</v>
      </c>
      <c r="M457" s="132" t="str">
        <f>IF(ISNUMBER(SEARCH("Pan ",Historic_BCast_BASE[[#This Row],[Broadcast Market]]))=TRUE,"Y","N")</f>
        <v>N</v>
      </c>
      <c r="N457" s="132" t="str">
        <f>VLOOKUP(CONCATENATE(Historic_BCast_BASE[[#This Row],[Broadcast Market]],Historic_BCast_BASE[[#This Row],[Broadcaster]]),Table1[[CC]:[Pay TV vs. Free-to-Air]],3,FALSE)</f>
        <v>Digital</v>
      </c>
      <c r="O457" s="133" t="str">
        <f>VLOOKUP(CONCATENATE(Historic_BCast_BASE[[#This Row],[Broadcast Market]],Historic_BCast_BASE[[#This Row],[Broadcaster]]),Table1[[CC]:[Pay TV vs. Free-to-Air]],2,FALSE)</f>
        <v>-</v>
      </c>
      <c r="P457" s="235">
        <f>Historic_BCast_BASE[[#This Row],[Rolex EXP]]*86400</f>
        <v>171.97397960847636</v>
      </c>
      <c r="Q457" s="19" t="str">
        <f>IF(Historic_BCast_BASE[[#This Row],[Dashboard Rated?]]="No","N","Y")</f>
        <v>Y</v>
      </c>
      <c r="S457" s="22"/>
    </row>
    <row r="458" spans="1:19" x14ac:dyDescent="0.25">
      <c r="A458" s="72" t="s">
        <v>1869</v>
      </c>
      <c r="B458" t="s">
        <v>45</v>
      </c>
      <c r="C458" t="s">
        <v>45</v>
      </c>
      <c r="D458" t="s">
        <v>45</v>
      </c>
      <c r="E458" s="102">
        <v>3.0208333333333335</v>
      </c>
      <c r="F458" s="101">
        <v>22165.894924191951</v>
      </c>
      <c r="G458" s="102">
        <v>0.30059242506769951</v>
      </c>
      <c r="H458" s="101">
        <v>12104.018080045022</v>
      </c>
      <c r="I458" s="101">
        <v>3543.3813144572982</v>
      </c>
      <c r="J458" s="160"/>
      <c r="K458" t="str">
        <f>VLOOKUP(Historic_BCast_BASE[[#This Row],[Broadcast Market]],Continent_Look_Up[],2,FALSE)</f>
        <v>Digital</v>
      </c>
      <c r="L458" s="132" t="str">
        <f>IF(OR(Historic_BCast_BASE[[#This Row],[Broadcast Continent]]="Digital",Historic_BCast_BASE[[#This Row],[Programme Type]]="Digital"),"Y","N")</f>
        <v>Y</v>
      </c>
      <c r="M458" s="132" t="str">
        <f>IF(ISNUMBER(SEARCH("Pan ",Historic_BCast_BASE[[#This Row],[Broadcast Market]]))=TRUE,"Y","N")</f>
        <v>N</v>
      </c>
      <c r="N458" s="132" t="str">
        <f>VLOOKUP(CONCATENATE(Historic_BCast_BASE[[#This Row],[Broadcast Market]],Historic_BCast_BASE[[#This Row],[Broadcaster]]),Table1[[CC]:[Pay TV vs. Free-to-Air]],3,FALSE)</f>
        <v>Digital</v>
      </c>
      <c r="O458" s="133" t="str">
        <f>VLOOKUP(CONCATENATE(Historic_BCast_BASE[[#This Row],[Broadcast Market]],Historic_BCast_BASE[[#This Row],[Broadcaster]]),Table1[[CC]:[Pay TV vs. Free-to-Air]],2,FALSE)</f>
        <v>-</v>
      </c>
      <c r="P458" s="235">
        <f>Historic_BCast_BASE[[#This Row],[Rolex EXP]]*86400</f>
        <v>25971.185525849236</v>
      </c>
      <c r="Q458" s="19" t="str">
        <f>IF(Historic_BCast_BASE[[#This Row],[Dashboard Rated?]]="No","N","Y")</f>
        <v>Y</v>
      </c>
      <c r="S458" s="22"/>
    </row>
    <row r="459" spans="1:19" x14ac:dyDescent="0.25">
      <c r="A459" s="72" t="s">
        <v>1869</v>
      </c>
      <c r="B459" t="s">
        <v>45</v>
      </c>
      <c r="C459" t="s">
        <v>45</v>
      </c>
      <c r="D459" t="s">
        <v>45</v>
      </c>
      <c r="E459" s="102">
        <v>8.3333333333333329E-2</v>
      </c>
      <c r="F459" s="101">
        <v>3734.20648090338</v>
      </c>
      <c r="G459" s="102">
        <v>7.9617583152072381E-3</v>
      </c>
      <c r="H459" s="101">
        <v>591.68609907227199</v>
      </c>
      <c r="I459" s="101">
        <v>169.98032121223721</v>
      </c>
      <c r="J459" s="160"/>
      <c r="K459" t="str">
        <f>VLOOKUP(Historic_BCast_BASE[[#This Row],[Broadcast Market]],Continent_Look_Up[],2,FALSE)</f>
        <v>Digital</v>
      </c>
      <c r="L459" s="132" t="str">
        <f>IF(OR(Historic_BCast_BASE[[#This Row],[Broadcast Continent]]="Digital",Historic_BCast_BASE[[#This Row],[Programme Type]]="Digital"),"Y","N")</f>
        <v>Y</v>
      </c>
      <c r="M459" s="132" t="str">
        <f>IF(ISNUMBER(SEARCH("Pan ",Historic_BCast_BASE[[#This Row],[Broadcast Market]]))=TRUE,"Y","N")</f>
        <v>N</v>
      </c>
      <c r="N459" s="132" t="str">
        <f>VLOOKUP(CONCATENATE(Historic_BCast_BASE[[#This Row],[Broadcast Market]],Historic_BCast_BASE[[#This Row],[Broadcaster]]),Table1[[CC]:[Pay TV vs. Free-to-Air]],3,FALSE)</f>
        <v>Digital</v>
      </c>
      <c r="O459" s="133" t="str">
        <f>VLOOKUP(CONCATENATE(Historic_BCast_BASE[[#This Row],[Broadcast Market]],Historic_BCast_BASE[[#This Row],[Broadcaster]]),Table1[[CC]:[Pay TV vs. Free-to-Air]],2,FALSE)</f>
        <v>-</v>
      </c>
      <c r="P459" s="235">
        <f>Historic_BCast_BASE[[#This Row],[Rolex EXP]]*86400</f>
        <v>687.89591843390542</v>
      </c>
      <c r="Q459" s="19" t="str">
        <f>IF(Historic_BCast_BASE[[#This Row],[Dashboard Rated?]]="No","N","Y")</f>
        <v>Y</v>
      </c>
      <c r="S459" s="22"/>
    </row>
    <row r="460" spans="1:19" x14ac:dyDescent="0.25">
      <c r="A460" s="72" t="s">
        <v>1869</v>
      </c>
      <c r="B460" t="s">
        <v>45</v>
      </c>
      <c r="C460" t="s">
        <v>45</v>
      </c>
      <c r="D460" t="s">
        <v>45</v>
      </c>
      <c r="E460" s="102">
        <v>2.1666666666666665</v>
      </c>
      <c r="F460" s="101">
        <v>385582.76967770391</v>
      </c>
      <c r="G460" s="102">
        <v>0.20700571619538813</v>
      </c>
      <c r="H460" s="101">
        <v>103963.53844024127</v>
      </c>
      <c r="I460" s="101">
        <v>29866.77511292091</v>
      </c>
      <c r="J460" s="160"/>
      <c r="K460" t="str">
        <f>VLOOKUP(Historic_BCast_BASE[[#This Row],[Broadcast Market]],Continent_Look_Up[],2,FALSE)</f>
        <v>Digital</v>
      </c>
      <c r="L460" s="132" t="str">
        <f>IF(OR(Historic_BCast_BASE[[#This Row],[Broadcast Continent]]="Digital",Historic_BCast_BASE[[#This Row],[Programme Type]]="Digital"),"Y","N")</f>
        <v>Y</v>
      </c>
      <c r="M460" s="132" t="str">
        <f>IF(ISNUMBER(SEARCH("Pan ",Historic_BCast_BASE[[#This Row],[Broadcast Market]]))=TRUE,"Y","N")</f>
        <v>N</v>
      </c>
      <c r="N460" s="132" t="str">
        <f>VLOOKUP(CONCATENATE(Historic_BCast_BASE[[#This Row],[Broadcast Market]],Historic_BCast_BASE[[#This Row],[Broadcaster]]),Table1[[CC]:[Pay TV vs. Free-to-Air]],3,FALSE)</f>
        <v>Digital</v>
      </c>
      <c r="O460" s="133" t="str">
        <f>VLOOKUP(CONCATENATE(Historic_BCast_BASE[[#This Row],[Broadcast Market]],Historic_BCast_BASE[[#This Row],[Broadcaster]]),Table1[[CC]:[Pay TV vs. Free-to-Air]],2,FALSE)</f>
        <v>-</v>
      </c>
      <c r="P460" s="235">
        <f>Historic_BCast_BASE[[#This Row],[Rolex EXP]]*86400</f>
        <v>17885.293879281533</v>
      </c>
      <c r="Q460" s="19" t="str">
        <f>IF(Historic_BCast_BASE[[#This Row],[Dashboard Rated?]]="No","N","Y")</f>
        <v>Y</v>
      </c>
      <c r="S460" s="22"/>
    </row>
    <row r="461" spans="1:19" x14ac:dyDescent="0.25">
      <c r="A461" s="72" t="s">
        <v>1869</v>
      </c>
      <c r="B461" t="s">
        <v>45</v>
      </c>
      <c r="C461" t="s">
        <v>45</v>
      </c>
      <c r="D461" t="s">
        <v>45</v>
      </c>
      <c r="E461" s="102">
        <v>0.16666666666666666</v>
      </c>
      <c r="F461" s="101">
        <v>2959.2445357277002</v>
      </c>
      <c r="G461" s="102">
        <v>1.5923516630414473E-2</v>
      </c>
      <c r="H461" s="101">
        <v>937.78630855038682</v>
      </c>
      <c r="I461" s="101">
        <v>269.40842146836076</v>
      </c>
      <c r="J461" s="160"/>
      <c r="K461" t="str">
        <f>VLOOKUP(Historic_BCast_BASE[[#This Row],[Broadcast Market]],Continent_Look_Up[],2,FALSE)</f>
        <v>Digital</v>
      </c>
      <c r="L461" s="132" t="str">
        <f>IF(OR(Historic_BCast_BASE[[#This Row],[Broadcast Continent]]="Digital",Historic_BCast_BASE[[#This Row],[Programme Type]]="Digital"),"Y","N")</f>
        <v>Y</v>
      </c>
      <c r="M461" s="132" t="str">
        <f>IF(ISNUMBER(SEARCH("Pan ",Historic_BCast_BASE[[#This Row],[Broadcast Market]]))=TRUE,"Y","N")</f>
        <v>N</v>
      </c>
      <c r="N461" s="132" t="str">
        <f>VLOOKUP(CONCATENATE(Historic_BCast_BASE[[#This Row],[Broadcast Market]],Historic_BCast_BASE[[#This Row],[Broadcaster]]),Table1[[CC]:[Pay TV vs. Free-to-Air]],3,FALSE)</f>
        <v>Digital</v>
      </c>
      <c r="O461" s="133" t="str">
        <f>VLOOKUP(CONCATENATE(Historic_BCast_BASE[[#This Row],[Broadcast Market]],Historic_BCast_BASE[[#This Row],[Broadcaster]]),Table1[[CC]:[Pay TV vs. Free-to-Air]],2,FALSE)</f>
        <v>-</v>
      </c>
      <c r="P461" s="235">
        <f>Historic_BCast_BASE[[#This Row],[Rolex EXP]]*86400</f>
        <v>1375.7918368678104</v>
      </c>
      <c r="Q461" s="19" t="str">
        <f>IF(Historic_BCast_BASE[[#This Row],[Dashboard Rated?]]="No","N","Y")</f>
        <v>Y</v>
      </c>
      <c r="S461" s="22"/>
    </row>
    <row r="462" spans="1:19" x14ac:dyDescent="0.25">
      <c r="A462" s="72" t="s">
        <v>1869</v>
      </c>
      <c r="B462" t="s">
        <v>45</v>
      </c>
      <c r="C462" t="s">
        <v>45</v>
      </c>
      <c r="D462" t="s">
        <v>45</v>
      </c>
      <c r="E462" s="102">
        <v>0.54166666666666663</v>
      </c>
      <c r="F462" s="101">
        <v>81699.563914098806</v>
      </c>
      <c r="G462" s="102">
        <v>5.0244117680982296E-2</v>
      </c>
      <c r="H462" s="101">
        <v>40846.891765668515</v>
      </c>
      <c r="I462" s="101">
        <v>11846.100297171046</v>
      </c>
      <c r="J462" s="160"/>
      <c r="K462" t="str">
        <f>VLOOKUP(Historic_BCast_BASE[[#This Row],[Broadcast Market]],Continent_Look_Up[],2,FALSE)</f>
        <v>Digital</v>
      </c>
      <c r="L462" s="132" t="str">
        <f>IF(OR(Historic_BCast_BASE[[#This Row],[Broadcast Continent]]="Digital",Historic_BCast_BASE[[#This Row],[Programme Type]]="Digital"),"Y","N")</f>
        <v>Y</v>
      </c>
      <c r="M462" s="132" t="str">
        <f>IF(ISNUMBER(SEARCH("Pan ",Historic_BCast_BASE[[#This Row],[Broadcast Market]]))=TRUE,"Y","N")</f>
        <v>N</v>
      </c>
      <c r="N462" s="132" t="str">
        <f>VLOOKUP(CONCATENATE(Historic_BCast_BASE[[#This Row],[Broadcast Market]],Historic_BCast_BASE[[#This Row],[Broadcaster]]),Table1[[CC]:[Pay TV vs. Free-to-Air]],3,FALSE)</f>
        <v>Digital</v>
      </c>
      <c r="O462" s="133" t="str">
        <f>VLOOKUP(CONCATENATE(Historic_BCast_BASE[[#This Row],[Broadcast Market]],Historic_BCast_BASE[[#This Row],[Broadcaster]]),Table1[[CC]:[Pay TV vs. Free-to-Air]],2,FALSE)</f>
        <v>-</v>
      </c>
      <c r="P462" s="235">
        <f>Historic_BCast_BASE[[#This Row],[Rolex EXP]]*86400</f>
        <v>4341.0917676368708</v>
      </c>
      <c r="Q462" s="19" t="str">
        <f>IF(Historic_BCast_BASE[[#This Row],[Dashboard Rated?]]="No","N","Y")</f>
        <v>Y</v>
      </c>
      <c r="S462" s="22"/>
    </row>
    <row r="463" spans="1:19" x14ac:dyDescent="0.25">
      <c r="A463" s="72" t="s">
        <v>1869</v>
      </c>
      <c r="B463" t="s">
        <v>45</v>
      </c>
      <c r="C463" t="s">
        <v>45</v>
      </c>
      <c r="D463" t="s">
        <v>45</v>
      </c>
      <c r="E463" s="102">
        <v>8.3333333333333329E-2</v>
      </c>
      <c r="F463" s="101">
        <v>2916.8925760626298</v>
      </c>
      <c r="G463" s="102">
        <v>6.4544469473424839E-3</v>
      </c>
      <c r="H463" s="101">
        <v>749.36518800860119</v>
      </c>
      <c r="I463" s="101">
        <v>231.20970317961326</v>
      </c>
      <c r="J463" s="160"/>
      <c r="K463" t="str">
        <f>VLOOKUP(Historic_BCast_BASE[[#This Row],[Broadcast Market]],Continent_Look_Up[],2,FALSE)</f>
        <v>Digital</v>
      </c>
      <c r="L463" s="132" t="str">
        <f>IF(OR(Historic_BCast_BASE[[#This Row],[Broadcast Continent]]="Digital",Historic_BCast_BASE[[#This Row],[Programme Type]]="Digital"),"Y","N")</f>
        <v>Y</v>
      </c>
      <c r="M463" s="132" t="str">
        <f>IF(ISNUMBER(SEARCH("Pan ",Historic_BCast_BASE[[#This Row],[Broadcast Market]]))=TRUE,"Y","N")</f>
        <v>N</v>
      </c>
      <c r="N463" s="132" t="str">
        <f>VLOOKUP(CONCATENATE(Historic_BCast_BASE[[#This Row],[Broadcast Market]],Historic_BCast_BASE[[#This Row],[Broadcaster]]),Table1[[CC]:[Pay TV vs. Free-to-Air]],3,FALSE)</f>
        <v>Digital</v>
      </c>
      <c r="O463" s="133" t="str">
        <f>VLOOKUP(CONCATENATE(Historic_BCast_BASE[[#This Row],[Broadcast Market]],Historic_BCast_BASE[[#This Row],[Broadcaster]]),Table1[[CC]:[Pay TV vs. Free-to-Air]],2,FALSE)</f>
        <v>-</v>
      </c>
      <c r="P463" s="235">
        <f>Historic_BCast_BASE[[#This Row],[Rolex EXP]]*86400</f>
        <v>557.66421625039061</v>
      </c>
      <c r="Q463" s="19" t="str">
        <f>IF(Historic_BCast_BASE[[#This Row],[Dashboard Rated?]]="No","N","Y")</f>
        <v>Y</v>
      </c>
      <c r="S463" s="22"/>
    </row>
    <row r="464" spans="1:19" x14ac:dyDescent="0.25">
      <c r="A464" s="72" t="s">
        <v>1869</v>
      </c>
      <c r="B464" t="s">
        <v>45</v>
      </c>
      <c r="C464" t="s">
        <v>45</v>
      </c>
      <c r="D464" t="s">
        <v>45</v>
      </c>
      <c r="E464" s="102">
        <v>0.76388888888888884</v>
      </c>
      <c r="F464" s="101">
        <v>131358.78321678878</v>
      </c>
      <c r="G464" s="102">
        <v>7.2982784556066341E-2</v>
      </c>
      <c r="H464" s="101">
        <v>95396.754147194515</v>
      </c>
      <c r="I464" s="101">
        <v>27405.69862629861</v>
      </c>
      <c r="J464" s="160"/>
      <c r="K464" t="str">
        <f>VLOOKUP(Historic_BCast_BASE[[#This Row],[Broadcast Market]],Continent_Look_Up[],2,FALSE)</f>
        <v>Digital</v>
      </c>
      <c r="L464" s="132" t="str">
        <f>IF(OR(Historic_BCast_BASE[[#This Row],[Broadcast Continent]]="Digital",Historic_BCast_BASE[[#This Row],[Programme Type]]="Digital"),"Y","N")</f>
        <v>Y</v>
      </c>
      <c r="M464" s="132" t="str">
        <f>IF(ISNUMBER(SEARCH("Pan ",Historic_BCast_BASE[[#This Row],[Broadcast Market]]))=TRUE,"Y","N")</f>
        <v>N</v>
      </c>
      <c r="N464" s="132" t="str">
        <f>VLOOKUP(CONCATENATE(Historic_BCast_BASE[[#This Row],[Broadcast Market]],Historic_BCast_BASE[[#This Row],[Broadcaster]]),Table1[[CC]:[Pay TV vs. Free-to-Air]],3,FALSE)</f>
        <v>Digital</v>
      </c>
      <c r="O464" s="133" t="str">
        <f>VLOOKUP(CONCATENATE(Historic_BCast_BASE[[#This Row],[Broadcast Market]],Historic_BCast_BASE[[#This Row],[Broadcaster]]),Table1[[CC]:[Pay TV vs. Free-to-Air]],2,FALSE)</f>
        <v>-</v>
      </c>
      <c r="P464" s="235">
        <f>Historic_BCast_BASE[[#This Row],[Rolex EXP]]*86400</f>
        <v>6305.7125856441317</v>
      </c>
      <c r="Q464" s="19" t="str">
        <f>IF(Historic_BCast_BASE[[#This Row],[Dashboard Rated?]]="No","N","Y")</f>
        <v>Y</v>
      </c>
      <c r="S464" s="22"/>
    </row>
    <row r="465" spans="1:19" x14ac:dyDescent="0.25">
      <c r="A465" s="72" t="s">
        <v>1869</v>
      </c>
      <c r="B465" t="s">
        <v>45</v>
      </c>
      <c r="C465" t="s">
        <v>45</v>
      </c>
      <c r="D465" t="s">
        <v>45</v>
      </c>
      <c r="E465" s="102">
        <v>0.21180555555555555</v>
      </c>
      <c r="F465" s="101">
        <v>9379.7753153866815</v>
      </c>
      <c r="G465" s="102">
        <v>1.5463746859917133E-2</v>
      </c>
      <c r="H465" s="101">
        <v>2886.6306244445368</v>
      </c>
      <c r="I465" s="101">
        <v>835.47946285869705</v>
      </c>
      <c r="J465" s="160"/>
      <c r="K465" t="str">
        <f>VLOOKUP(Historic_BCast_BASE[[#This Row],[Broadcast Market]],Continent_Look_Up[],2,FALSE)</f>
        <v>Digital</v>
      </c>
      <c r="L465" s="132" t="str">
        <f>IF(OR(Historic_BCast_BASE[[#This Row],[Broadcast Continent]]="Digital",Historic_BCast_BASE[[#This Row],[Programme Type]]="Digital"),"Y","N")</f>
        <v>Y</v>
      </c>
      <c r="M465" s="132" t="str">
        <f>IF(ISNUMBER(SEARCH("Pan ",Historic_BCast_BASE[[#This Row],[Broadcast Market]]))=TRUE,"Y","N")</f>
        <v>N</v>
      </c>
      <c r="N465" s="132" t="str">
        <f>VLOOKUP(CONCATENATE(Historic_BCast_BASE[[#This Row],[Broadcast Market]],Historic_BCast_BASE[[#This Row],[Broadcaster]]),Table1[[CC]:[Pay TV vs. Free-to-Air]],3,FALSE)</f>
        <v>Digital</v>
      </c>
      <c r="O465" s="133" t="str">
        <f>VLOOKUP(CONCATENATE(Historic_BCast_BASE[[#This Row],[Broadcast Market]],Historic_BCast_BASE[[#This Row],[Broadcaster]]),Table1[[CC]:[Pay TV vs. Free-to-Air]],2,FALSE)</f>
        <v>-</v>
      </c>
      <c r="P465" s="235">
        <f>Historic_BCast_BASE[[#This Row],[Rolex EXP]]*86400</f>
        <v>1336.0677286968403</v>
      </c>
      <c r="Q465" s="19" t="str">
        <f>IF(Historic_BCast_BASE[[#This Row],[Dashboard Rated?]]="No","N","Y")</f>
        <v>Y</v>
      </c>
      <c r="S465" s="22"/>
    </row>
    <row r="466" spans="1:19" x14ac:dyDescent="0.25">
      <c r="A466" s="72" t="s">
        <v>1869</v>
      </c>
      <c r="B466" t="s">
        <v>45</v>
      </c>
      <c r="C466" t="s">
        <v>45</v>
      </c>
      <c r="D466" t="s">
        <v>45</v>
      </c>
      <c r="E466" s="102">
        <v>1.7256944444444444</v>
      </c>
      <c r="F466" s="101">
        <v>346520.16272159398</v>
      </c>
      <c r="G466" s="102">
        <v>0.15974786685540374</v>
      </c>
      <c r="H466" s="101">
        <v>216596.739230726</v>
      </c>
      <c r="I466" s="101">
        <v>61894.528584164967</v>
      </c>
      <c r="J466" s="160"/>
      <c r="K466" t="str">
        <f>VLOOKUP(Historic_BCast_BASE[[#This Row],[Broadcast Market]],Continent_Look_Up[],2,FALSE)</f>
        <v>Digital</v>
      </c>
      <c r="L466" s="132" t="str">
        <f>IF(OR(Historic_BCast_BASE[[#This Row],[Broadcast Continent]]="Digital",Historic_BCast_BASE[[#This Row],[Programme Type]]="Digital"),"Y","N")</f>
        <v>Y</v>
      </c>
      <c r="M466" s="132" t="str">
        <f>IF(ISNUMBER(SEARCH("Pan ",Historic_BCast_BASE[[#This Row],[Broadcast Market]]))=TRUE,"Y","N")</f>
        <v>N</v>
      </c>
      <c r="N466" s="132" t="str">
        <f>VLOOKUP(CONCATENATE(Historic_BCast_BASE[[#This Row],[Broadcast Market]],Historic_BCast_BASE[[#This Row],[Broadcaster]]),Table1[[CC]:[Pay TV vs. Free-to-Air]],3,FALSE)</f>
        <v>Digital</v>
      </c>
      <c r="O466" s="133" t="str">
        <f>VLOOKUP(CONCATENATE(Historic_BCast_BASE[[#This Row],[Broadcast Market]],Historic_BCast_BASE[[#This Row],[Broadcaster]]),Table1[[CC]:[Pay TV vs. Free-to-Air]],2,FALSE)</f>
        <v>-</v>
      </c>
      <c r="P466" s="235">
        <f>Historic_BCast_BASE[[#This Row],[Rolex EXP]]*86400</f>
        <v>13802.215696306883</v>
      </c>
      <c r="Q466" s="19" t="str">
        <f>IF(Historic_BCast_BASE[[#This Row],[Dashboard Rated?]]="No","N","Y")</f>
        <v>Y</v>
      </c>
      <c r="S466" s="22"/>
    </row>
    <row r="467" spans="1:19" x14ac:dyDescent="0.25">
      <c r="A467" s="72" t="s">
        <v>1869</v>
      </c>
      <c r="B467" t="s">
        <v>45</v>
      </c>
      <c r="C467" t="s">
        <v>45</v>
      </c>
      <c r="D467" t="s">
        <v>45</v>
      </c>
      <c r="E467" s="102">
        <v>2.0833333333333332E-2</v>
      </c>
      <c r="F467" s="101">
        <v>3807.0728959793</v>
      </c>
      <c r="G467" s="102">
        <v>1.7138215248058335E-3</v>
      </c>
      <c r="H467" s="101">
        <v>259.69932987828258</v>
      </c>
      <c r="I467" s="101">
        <v>79.328567926805945</v>
      </c>
      <c r="J467" s="160"/>
      <c r="K467" t="str">
        <f>VLOOKUP(Historic_BCast_BASE[[#This Row],[Broadcast Market]],Continent_Look_Up[],2,FALSE)</f>
        <v>Digital</v>
      </c>
      <c r="L467" s="132" t="str">
        <f>IF(OR(Historic_BCast_BASE[[#This Row],[Broadcast Continent]]="Digital",Historic_BCast_BASE[[#This Row],[Programme Type]]="Digital"),"Y","N")</f>
        <v>Y</v>
      </c>
      <c r="M467" s="132" t="str">
        <f>IF(ISNUMBER(SEARCH("Pan ",Historic_BCast_BASE[[#This Row],[Broadcast Market]]))=TRUE,"Y","N")</f>
        <v>N</v>
      </c>
      <c r="N467" s="132" t="str">
        <f>VLOOKUP(CONCATENATE(Historic_BCast_BASE[[#This Row],[Broadcast Market]],Historic_BCast_BASE[[#This Row],[Broadcaster]]),Table1[[CC]:[Pay TV vs. Free-to-Air]],3,FALSE)</f>
        <v>Digital</v>
      </c>
      <c r="O467" s="133" t="str">
        <f>VLOOKUP(CONCATENATE(Historic_BCast_BASE[[#This Row],[Broadcast Market]],Historic_BCast_BASE[[#This Row],[Broadcaster]]),Table1[[CC]:[Pay TV vs. Free-to-Air]],2,FALSE)</f>
        <v>-</v>
      </c>
      <c r="P467" s="235">
        <f>Historic_BCast_BASE[[#This Row],[Rolex EXP]]*86400</f>
        <v>148.07417974322402</v>
      </c>
      <c r="Q467" s="19" t="str">
        <f>IF(Historic_BCast_BASE[[#This Row],[Dashboard Rated?]]="No","N","Y")</f>
        <v>Y</v>
      </c>
      <c r="S467" s="22"/>
    </row>
    <row r="468" spans="1:19" x14ac:dyDescent="0.25">
      <c r="A468" s="72" t="s">
        <v>1869</v>
      </c>
      <c r="B468" t="s">
        <v>45</v>
      </c>
      <c r="C468" t="s">
        <v>45</v>
      </c>
      <c r="D468" t="s">
        <v>45</v>
      </c>
      <c r="E468" s="102">
        <v>4.989583333333333</v>
      </c>
      <c r="F468" s="101">
        <v>903705.35448855849</v>
      </c>
      <c r="G468" s="102">
        <v>0.47174619335866547</v>
      </c>
      <c r="H468" s="101">
        <v>732772.45386105869</v>
      </c>
      <c r="I468" s="101">
        <v>213502.85470455908</v>
      </c>
      <c r="J468" s="160"/>
      <c r="K468" t="str">
        <f>VLOOKUP(Historic_BCast_BASE[[#This Row],[Broadcast Market]],Continent_Look_Up[],2,FALSE)</f>
        <v>Digital</v>
      </c>
      <c r="L468" s="132" t="str">
        <f>IF(OR(Historic_BCast_BASE[[#This Row],[Broadcast Continent]]="Digital",Historic_BCast_BASE[[#This Row],[Programme Type]]="Digital"),"Y","N")</f>
        <v>Y</v>
      </c>
      <c r="M468" s="132" t="str">
        <f>IF(ISNUMBER(SEARCH("Pan ",Historic_BCast_BASE[[#This Row],[Broadcast Market]]))=TRUE,"Y","N")</f>
        <v>N</v>
      </c>
      <c r="N468" s="132" t="str">
        <f>VLOOKUP(CONCATENATE(Historic_BCast_BASE[[#This Row],[Broadcast Market]],Historic_BCast_BASE[[#This Row],[Broadcaster]]),Table1[[CC]:[Pay TV vs. Free-to-Air]],3,FALSE)</f>
        <v>Digital</v>
      </c>
      <c r="O468" s="133" t="str">
        <f>VLOOKUP(CONCATENATE(Historic_BCast_BASE[[#This Row],[Broadcast Market]],Historic_BCast_BASE[[#This Row],[Broadcaster]]),Table1[[CC]:[Pay TV vs. Free-to-Air]],2,FALSE)</f>
        <v>-</v>
      </c>
      <c r="P468" s="235">
        <f>Historic_BCast_BASE[[#This Row],[Rolex EXP]]*86400</f>
        <v>40758.871106188693</v>
      </c>
      <c r="Q468" s="19" t="str">
        <f>IF(Historic_BCast_BASE[[#This Row],[Dashboard Rated?]]="No","N","Y")</f>
        <v>Y</v>
      </c>
      <c r="S468" s="22"/>
    </row>
    <row r="469" spans="1:19" x14ac:dyDescent="0.25">
      <c r="A469" s="72" t="s">
        <v>1869</v>
      </c>
      <c r="B469" t="s">
        <v>45</v>
      </c>
      <c r="C469" t="s">
        <v>45</v>
      </c>
      <c r="D469" t="s">
        <v>45</v>
      </c>
      <c r="E469" s="102">
        <v>0.21875</v>
      </c>
      <c r="F469" s="101">
        <v>4689.8876576933408</v>
      </c>
      <c r="G469" s="102">
        <v>1.6942923236774019E-2</v>
      </c>
      <c r="H469" s="101">
        <v>3162.7497220390305</v>
      </c>
      <c r="I469" s="101">
        <v>975.83719682432763</v>
      </c>
      <c r="J469" s="160"/>
      <c r="K469" t="str">
        <f>VLOOKUP(Historic_BCast_BASE[[#This Row],[Broadcast Market]],Continent_Look_Up[],2,FALSE)</f>
        <v>Digital</v>
      </c>
      <c r="L469" s="132" t="str">
        <f>IF(OR(Historic_BCast_BASE[[#This Row],[Broadcast Continent]]="Digital",Historic_BCast_BASE[[#This Row],[Programme Type]]="Digital"),"Y","N")</f>
        <v>Y</v>
      </c>
      <c r="M469" s="132" t="str">
        <f>IF(ISNUMBER(SEARCH("Pan ",Historic_BCast_BASE[[#This Row],[Broadcast Market]]))=TRUE,"Y","N")</f>
        <v>N</v>
      </c>
      <c r="N469" s="132" t="str">
        <f>VLOOKUP(CONCATENATE(Historic_BCast_BASE[[#This Row],[Broadcast Market]],Historic_BCast_BASE[[#This Row],[Broadcaster]]),Table1[[CC]:[Pay TV vs. Free-to-Air]],3,FALSE)</f>
        <v>Digital</v>
      </c>
      <c r="O469" s="133" t="str">
        <f>VLOOKUP(CONCATENATE(Historic_BCast_BASE[[#This Row],[Broadcast Market]],Historic_BCast_BASE[[#This Row],[Broadcaster]]),Table1[[CC]:[Pay TV vs. Free-to-Air]],2,FALSE)</f>
        <v>-</v>
      </c>
      <c r="P469" s="235">
        <f>Historic_BCast_BASE[[#This Row],[Rolex EXP]]*86400</f>
        <v>1463.8685676572752</v>
      </c>
      <c r="Q469" s="19" t="str">
        <f>IF(Historic_BCast_BASE[[#This Row],[Dashboard Rated?]]="No","N","Y")</f>
        <v>Y</v>
      </c>
      <c r="S469" s="22"/>
    </row>
    <row r="470" spans="1:19" x14ac:dyDescent="0.25">
      <c r="A470" s="72" t="s">
        <v>1869</v>
      </c>
      <c r="B470" t="s">
        <v>45</v>
      </c>
      <c r="C470" t="s">
        <v>45</v>
      </c>
      <c r="D470" t="s">
        <v>45</v>
      </c>
      <c r="E470" s="102">
        <v>1.6472337962962964</v>
      </c>
      <c r="F470" s="101">
        <v>539201.02425610973</v>
      </c>
      <c r="G470" s="102">
        <v>0.14996715077333198</v>
      </c>
      <c r="H470" s="101">
        <v>59921.028360795834</v>
      </c>
      <c r="I470" s="101">
        <v>18024.262900734982</v>
      </c>
      <c r="J470" s="160"/>
      <c r="K470" t="str">
        <f>VLOOKUP(Historic_BCast_BASE[[#This Row],[Broadcast Market]],Continent_Look_Up[],2,FALSE)</f>
        <v>Digital</v>
      </c>
      <c r="L470" s="132" t="str">
        <f>IF(OR(Historic_BCast_BASE[[#This Row],[Broadcast Continent]]="Digital",Historic_BCast_BASE[[#This Row],[Programme Type]]="Digital"),"Y","N")</f>
        <v>Y</v>
      </c>
      <c r="M470" s="132" t="str">
        <f>IF(ISNUMBER(SEARCH("Pan ",Historic_BCast_BASE[[#This Row],[Broadcast Market]]))=TRUE,"Y","N")</f>
        <v>N</v>
      </c>
      <c r="N470" s="132" t="str">
        <f>VLOOKUP(CONCATENATE(Historic_BCast_BASE[[#This Row],[Broadcast Market]],Historic_BCast_BASE[[#This Row],[Broadcaster]]),Table1[[CC]:[Pay TV vs. Free-to-Air]],3,FALSE)</f>
        <v>Digital</v>
      </c>
      <c r="O470" s="133" t="str">
        <f>VLOOKUP(CONCATENATE(Historic_BCast_BASE[[#This Row],[Broadcast Market]],Historic_BCast_BASE[[#This Row],[Broadcaster]]),Table1[[CC]:[Pay TV vs. Free-to-Air]],2,FALSE)</f>
        <v>-</v>
      </c>
      <c r="P470" s="235">
        <f>Historic_BCast_BASE[[#This Row],[Rolex EXP]]*86400</f>
        <v>12957.161826815882</v>
      </c>
      <c r="Q470" s="19" t="str">
        <f>IF(Historic_BCast_BASE[[#This Row],[Dashboard Rated?]]="No","N","Y")</f>
        <v>Y</v>
      </c>
      <c r="S470" s="22"/>
    </row>
    <row r="471" spans="1:19" x14ac:dyDescent="0.25">
      <c r="A471" s="72" t="s">
        <v>1869</v>
      </c>
      <c r="B471" t="s">
        <v>45</v>
      </c>
      <c r="C471" t="s">
        <v>45</v>
      </c>
      <c r="D471" t="s">
        <v>45</v>
      </c>
      <c r="E471" s="102">
        <v>5.6700462962962961</v>
      </c>
      <c r="F471" s="101">
        <v>2814694.9819218316</v>
      </c>
      <c r="G471" s="102">
        <v>0.53315954661086218</v>
      </c>
      <c r="H471" s="101">
        <v>935310.16503575235</v>
      </c>
      <c r="I471" s="101">
        <v>280612.49473095278</v>
      </c>
      <c r="J471" s="160"/>
      <c r="K471" t="str">
        <f>VLOOKUP(Historic_BCast_BASE[[#This Row],[Broadcast Market]],Continent_Look_Up[],2,FALSE)</f>
        <v>Digital</v>
      </c>
      <c r="L471" s="132" t="str">
        <f>IF(OR(Historic_BCast_BASE[[#This Row],[Broadcast Continent]]="Digital",Historic_BCast_BASE[[#This Row],[Programme Type]]="Digital"),"Y","N")</f>
        <v>Y</v>
      </c>
      <c r="M471" s="132" t="str">
        <f>IF(ISNUMBER(SEARCH("Pan ",Historic_BCast_BASE[[#This Row],[Broadcast Market]]))=TRUE,"Y","N")</f>
        <v>N</v>
      </c>
      <c r="N471" s="132" t="str">
        <f>VLOOKUP(CONCATENATE(Historic_BCast_BASE[[#This Row],[Broadcast Market]],Historic_BCast_BASE[[#This Row],[Broadcaster]]),Table1[[CC]:[Pay TV vs. Free-to-Air]],3,FALSE)</f>
        <v>Digital</v>
      </c>
      <c r="O471" s="133" t="str">
        <f>VLOOKUP(CONCATENATE(Historic_BCast_BASE[[#This Row],[Broadcast Market]],Historic_BCast_BASE[[#This Row],[Broadcaster]]),Table1[[CC]:[Pay TV vs. Free-to-Air]],2,FALSE)</f>
        <v>-</v>
      </c>
      <c r="P471" s="235">
        <f>Historic_BCast_BASE[[#This Row],[Rolex EXP]]*86400</f>
        <v>46064.984827178494</v>
      </c>
      <c r="Q471" s="19" t="str">
        <f>IF(Historic_BCast_BASE[[#This Row],[Dashboard Rated?]]="No","N","Y")</f>
        <v>Y</v>
      </c>
      <c r="S471" s="22"/>
    </row>
    <row r="472" spans="1:19" x14ac:dyDescent="0.25">
      <c r="A472" s="72" t="s">
        <v>1869</v>
      </c>
      <c r="B472" t="s">
        <v>45</v>
      </c>
      <c r="C472" t="s">
        <v>45</v>
      </c>
      <c r="D472" t="s">
        <v>45</v>
      </c>
      <c r="E472" s="102">
        <v>0.92519675925925926</v>
      </c>
      <c r="F472" s="101">
        <v>192549.6659512645</v>
      </c>
      <c r="G472" s="102">
        <v>6.3053808264102104E-2</v>
      </c>
      <c r="H472" s="101">
        <v>31418.510903315902</v>
      </c>
      <c r="I472" s="101">
        <v>8894.2773120272414</v>
      </c>
      <c r="J472" s="160"/>
      <c r="K472" t="str">
        <f>VLOOKUP(Historic_BCast_BASE[[#This Row],[Broadcast Market]],Continent_Look_Up[],2,FALSE)</f>
        <v>Digital</v>
      </c>
      <c r="L472" s="132" t="str">
        <f>IF(OR(Historic_BCast_BASE[[#This Row],[Broadcast Continent]]="Digital",Historic_BCast_BASE[[#This Row],[Programme Type]]="Digital"),"Y","N")</f>
        <v>Y</v>
      </c>
      <c r="M472" s="132" t="str">
        <f>IF(ISNUMBER(SEARCH("Pan ",Historic_BCast_BASE[[#This Row],[Broadcast Market]]))=TRUE,"Y","N")</f>
        <v>N</v>
      </c>
      <c r="N472" s="132" t="str">
        <f>VLOOKUP(CONCATENATE(Historic_BCast_BASE[[#This Row],[Broadcast Market]],Historic_BCast_BASE[[#This Row],[Broadcaster]]),Table1[[CC]:[Pay TV vs. Free-to-Air]],3,FALSE)</f>
        <v>Digital</v>
      </c>
      <c r="O472" s="133" t="str">
        <f>VLOOKUP(CONCATENATE(Historic_BCast_BASE[[#This Row],[Broadcast Market]],Historic_BCast_BASE[[#This Row],[Broadcaster]]),Table1[[CC]:[Pay TV vs. Free-to-Air]],2,FALSE)</f>
        <v>-</v>
      </c>
      <c r="P472" s="235">
        <f>Historic_BCast_BASE[[#This Row],[Rolex EXP]]*86400</f>
        <v>5447.8490340184217</v>
      </c>
      <c r="Q472" s="19" t="str">
        <f>IF(Historic_BCast_BASE[[#This Row],[Dashboard Rated?]]="No","N","Y")</f>
        <v>Y</v>
      </c>
      <c r="S472" s="22"/>
    </row>
    <row r="473" spans="1:19" x14ac:dyDescent="0.25">
      <c r="A473" s="72" t="s">
        <v>1869</v>
      </c>
      <c r="B473" t="s">
        <v>45</v>
      </c>
      <c r="C473" t="s">
        <v>45</v>
      </c>
      <c r="D473" t="s">
        <v>45</v>
      </c>
      <c r="E473" s="102">
        <v>1.1555555555555557</v>
      </c>
      <c r="F473" s="101">
        <v>359625.99685849075</v>
      </c>
      <c r="G473" s="102">
        <v>0.11839960800836978</v>
      </c>
      <c r="H473" s="101">
        <v>41142.119948701707</v>
      </c>
      <c r="I473" s="101">
        <v>12669.845301442458</v>
      </c>
      <c r="J473" s="160"/>
      <c r="K473" t="str">
        <f>VLOOKUP(Historic_BCast_BASE[[#This Row],[Broadcast Market]],Continent_Look_Up[],2,FALSE)</f>
        <v>Digital</v>
      </c>
      <c r="L473" s="132" t="str">
        <f>IF(OR(Historic_BCast_BASE[[#This Row],[Broadcast Continent]]="Digital",Historic_BCast_BASE[[#This Row],[Programme Type]]="Digital"),"Y","N")</f>
        <v>Y</v>
      </c>
      <c r="M473" s="132" t="str">
        <f>IF(ISNUMBER(SEARCH("Pan ",Historic_BCast_BASE[[#This Row],[Broadcast Market]]))=TRUE,"Y","N")</f>
        <v>N</v>
      </c>
      <c r="N473" s="132" t="str">
        <f>VLOOKUP(CONCATENATE(Historic_BCast_BASE[[#This Row],[Broadcast Market]],Historic_BCast_BASE[[#This Row],[Broadcaster]]),Table1[[CC]:[Pay TV vs. Free-to-Air]],3,FALSE)</f>
        <v>Digital</v>
      </c>
      <c r="O473" s="133" t="str">
        <f>VLOOKUP(CONCATENATE(Historic_BCast_BASE[[#This Row],[Broadcast Market]],Historic_BCast_BASE[[#This Row],[Broadcaster]]),Table1[[CC]:[Pay TV vs. Free-to-Air]],2,FALSE)</f>
        <v>-</v>
      </c>
      <c r="P473" s="235">
        <f>Historic_BCast_BASE[[#This Row],[Rolex EXP]]*86400</f>
        <v>10229.726131923149</v>
      </c>
      <c r="Q473" s="19" t="str">
        <f>IF(Historic_BCast_BASE[[#This Row],[Dashboard Rated?]]="No","N","Y")</f>
        <v>Y</v>
      </c>
      <c r="S473" s="22"/>
    </row>
    <row r="474" spans="1:19" x14ac:dyDescent="0.25">
      <c r="A474" s="72" t="s">
        <v>1869</v>
      </c>
      <c r="B474" t="s">
        <v>45</v>
      </c>
      <c r="C474" t="s">
        <v>45</v>
      </c>
      <c r="D474" t="s">
        <v>45</v>
      </c>
      <c r="E474" s="102">
        <v>2.9608333333333334</v>
      </c>
      <c r="F474" s="101">
        <v>2168083.2224403503</v>
      </c>
      <c r="G474" s="102">
        <v>0.34654565009975324</v>
      </c>
      <c r="H474" s="101">
        <v>630151.17242109752</v>
      </c>
      <c r="I474" s="101">
        <v>182397.18897340971</v>
      </c>
      <c r="J474" s="160"/>
      <c r="K474" t="str">
        <f>VLOOKUP(Historic_BCast_BASE[[#This Row],[Broadcast Market]],Continent_Look_Up[],2,FALSE)</f>
        <v>Digital</v>
      </c>
      <c r="L474" s="132" t="str">
        <f>IF(OR(Historic_BCast_BASE[[#This Row],[Broadcast Continent]]="Digital",Historic_BCast_BASE[[#This Row],[Programme Type]]="Digital"),"Y","N")</f>
        <v>Y</v>
      </c>
      <c r="M474" s="132" t="str">
        <f>IF(ISNUMBER(SEARCH("Pan ",Historic_BCast_BASE[[#This Row],[Broadcast Market]]))=TRUE,"Y","N")</f>
        <v>N</v>
      </c>
      <c r="N474" s="132" t="str">
        <f>VLOOKUP(CONCATENATE(Historic_BCast_BASE[[#This Row],[Broadcast Market]],Historic_BCast_BASE[[#This Row],[Broadcaster]]),Table1[[CC]:[Pay TV vs. Free-to-Air]],3,FALSE)</f>
        <v>Digital</v>
      </c>
      <c r="O474" s="133" t="str">
        <f>VLOOKUP(CONCATENATE(Historic_BCast_BASE[[#This Row],[Broadcast Market]],Historic_BCast_BASE[[#This Row],[Broadcaster]]),Table1[[CC]:[Pay TV vs. Free-to-Air]],2,FALSE)</f>
        <v>-</v>
      </c>
      <c r="P474" s="235">
        <f>Historic_BCast_BASE[[#This Row],[Rolex EXP]]*86400</f>
        <v>29941.544168618679</v>
      </c>
      <c r="Q474" s="19" t="str">
        <f>IF(Historic_BCast_BASE[[#This Row],[Dashboard Rated?]]="No","N","Y")</f>
        <v>Y</v>
      </c>
      <c r="S474" s="22"/>
    </row>
    <row r="475" spans="1:19" x14ac:dyDescent="0.25">
      <c r="A475" s="72" t="s">
        <v>1869</v>
      </c>
      <c r="B475" t="s">
        <v>45</v>
      </c>
      <c r="C475" t="s">
        <v>45</v>
      </c>
      <c r="D475" t="s">
        <v>45</v>
      </c>
      <c r="E475" s="102">
        <v>2.5350925925925925</v>
      </c>
      <c r="F475" s="101">
        <v>440908.04699736158</v>
      </c>
      <c r="G475" s="102">
        <v>0.23658934051131941</v>
      </c>
      <c r="H475" s="101">
        <v>93346.923403558132</v>
      </c>
      <c r="I475" s="101">
        <v>27543.5582842658</v>
      </c>
      <c r="J475" s="160"/>
      <c r="K475" t="str">
        <f>VLOOKUP(Historic_BCast_BASE[[#This Row],[Broadcast Market]],Continent_Look_Up[],2,FALSE)</f>
        <v>Digital</v>
      </c>
      <c r="L475" s="132" t="str">
        <f>IF(OR(Historic_BCast_BASE[[#This Row],[Broadcast Continent]]="Digital",Historic_BCast_BASE[[#This Row],[Programme Type]]="Digital"),"Y","N")</f>
        <v>Y</v>
      </c>
      <c r="M475" s="132" t="str">
        <f>IF(ISNUMBER(SEARCH("Pan ",Historic_BCast_BASE[[#This Row],[Broadcast Market]]))=TRUE,"Y","N")</f>
        <v>N</v>
      </c>
      <c r="N475" s="132" t="str">
        <f>VLOOKUP(CONCATENATE(Historic_BCast_BASE[[#This Row],[Broadcast Market]],Historic_BCast_BASE[[#This Row],[Broadcaster]]),Table1[[CC]:[Pay TV vs. Free-to-Air]],3,FALSE)</f>
        <v>Digital</v>
      </c>
      <c r="O475" s="133" t="str">
        <f>VLOOKUP(CONCATENATE(Historic_BCast_BASE[[#This Row],[Broadcast Market]],Historic_BCast_BASE[[#This Row],[Broadcaster]]),Table1[[CC]:[Pay TV vs. Free-to-Air]],2,FALSE)</f>
        <v>-</v>
      </c>
      <c r="P475" s="235">
        <f>Historic_BCast_BASE[[#This Row],[Rolex EXP]]*86400</f>
        <v>20441.319020177998</v>
      </c>
      <c r="Q475" s="19" t="str">
        <f>IF(Historic_BCast_BASE[[#This Row],[Dashboard Rated?]]="No","N","Y")</f>
        <v>Y</v>
      </c>
      <c r="S475" s="22"/>
    </row>
    <row r="476" spans="1:19" x14ac:dyDescent="0.25">
      <c r="A476" s="72" t="s">
        <v>1869</v>
      </c>
      <c r="B476" t="s">
        <v>45</v>
      </c>
      <c r="C476" t="s">
        <v>45</v>
      </c>
      <c r="D476" t="s">
        <v>45</v>
      </c>
      <c r="E476" s="102">
        <v>8.3333333333333329E-2</v>
      </c>
      <c r="F476" s="101">
        <v>7446.3562621930005</v>
      </c>
      <c r="G476" s="102">
        <v>7.9617583152072381E-3</v>
      </c>
      <c r="H476" s="101">
        <v>2359.7546153974235</v>
      </c>
      <c r="I476" s="101">
        <v>677.91325186823292</v>
      </c>
      <c r="J476" s="160"/>
      <c r="K476" t="str">
        <f>VLOOKUP(Historic_BCast_BASE[[#This Row],[Broadcast Market]],Continent_Look_Up[],2,FALSE)</f>
        <v>Digital</v>
      </c>
      <c r="L476" s="132" t="str">
        <f>IF(OR(Historic_BCast_BASE[[#This Row],[Broadcast Continent]]="Digital",Historic_BCast_BASE[[#This Row],[Programme Type]]="Digital"),"Y","N")</f>
        <v>Y</v>
      </c>
      <c r="M476" s="132" t="str">
        <f>IF(ISNUMBER(SEARCH("Pan ",Historic_BCast_BASE[[#This Row],[Broadcast Market]]))=TRUE,"Y","N")</f>
        <v>N</v>
      </c>
      <c r="N476" s="132" t="str">
        <f>VLOOKUP(CONCATENATE(Historic_BCast_BASE[[#This Row],[Broadcast Market]],Historic_BCast_BASE[[#This Row],[Broadcaster]]),Table1[[CC]:[Pay TV vs. Free-to-Air]],3,FALSE)</f>
        <v>Digital</v>
      </c>
      <c r="O476" s="133" t="str">
        <f>VLOOKUP(CONCATENATE(Historic_BCast_BASE[[#This Row],[Broadcast Market]],Historic_BCast_BASE[[#This Row],[Broadcaster]]),Table1[[CC]:[Pay TV vs. Free-to-Air]],2,FALSE)</f>
        <v>-</v>
      </c>
      <c r="P476" s="235">
        <f>Historic_BCast_BASE[[#This Row],[Rolex EXP]]*86400</f>
        <v>687.89591843390542</v>
      </c>
      <c r="Q476" s="19" t="str">
        <f>IF(Historic_BCast_BASE[[#This Row],[Dashboard Rated?]]="No","N","Y")</f>
        <v>Y</v>
      </c>
      <c r="S476" s="22"/>
    </row>
    <row r="477" spans="1:19" x14ac:dyDescent="0.25">
      <c r="A477" s="72" t="s">
        <v>1869</v>
      </c>
      <c r="B477" t="s">
        <v>45</v>
      </c>
      <c r="C477" t="s">
        <v>45</v>
      </c>
      <c r="D477" t="s">
        <v>45</v>
      </c>
      <c r="E477" s="102">
        <v>0.25</v>
      </c>
      <c r="F477" s="101">
        <v>8563.82759450292</v>
      </c>
      <c r="G477" s="102">
        <v>2.3885274945621714E-2</v>
      </c>
      <c r="H477" s="101">
        <v>814.16457848786456</v>
      </c>
      <c r="I477" s="101">
        <v>233.89421652457801</v>
      </c>
      <c r="J477" s="160"/>
      <c r="K477" t="str">
        <f>VLOOKUP(Historic_BCast_BASE[[#This Row],[Broadcast Market]],Continent_Look_Up[],2,FALSE)</f>
        <v>Digital</v>
      </c>
      <c r="L477" s="132" t="str">
        <f>IF(OR(Historic_BCast_BASE[[#This Row],[Broadcast Continent]]="Digital",Historic_BCast_BASE[[#This Row],[Programme Type]]="Digital"),"Y","N")</f>
        <v>Y</v>
      </c>
      <c r="M477" s="132" t="str">
        <f>IF(ISNUMBER(SEARCH("Pan ",Historic_BCast_BASE[[#This Row],[Broadcast Market]]))=TRUE,"Y","N")</f>
        <v>N</v>
      </c>
      <c r="N477" s="132" t="str">
        <f>VLOOKUP(CONCATENATE(Historic_BCast_BASE[[#This Row],[Broadcast Market]],Historic_BCast_BASE[[#This Row],[Broadcaster]]),Table1[[CC]:[Pay TV vs. Free-to-Air]],3,FALSE)</f>
        <v>Digital</v>
      </c>
      <c r="O477" s="133" t="str">
        <f>VLOOKUP(CONCATENATE(Historic_BCast_BASE[[#This Row],[Broadcast Market]],Historic_BCast_BASE[[#This Row],[Broadcaster]]),Table1[[CC]:[Pay TV vs. Free-to-Air]],2,FALSE)</f>
        <v>-</v>
      </c>
      <c r="P477" s="235">
        <f>Historic_BCast_BASE[[#This Row],[Rolex EXP]]*86400</f>
        <v>2063.6877553017162</v>
      </c>
      <c r="Q477" s="19" t="str">
        <f>IF(Historic_BCast_BASE[[#This Row],[Dashboard Rated?]]="No","N","Y")</f>
        <v>Y</v>
      </c>
      <c r="S477" s="22"/>
    </row>
    <row r="478" spans="1:19" x14ac:dyDescent="0.25">
      <c r="A478" s="72" t="s">
        <v>1869</v>
      </c>
      <c r="B478" t="s">
        <v>45</v>
      </c>
      <c r="C478" t="s">
        <v>45</v>
      </c>
      <c r="D478" t="s">
        <v>45</v>
      </c>
      <c r="E478" s="102">
        <v>5.2118055555555554</v>
      </c>
      <c r="F478" s="101">
        <v>302898.3405955956</v>
      </c>
      <c r="G478" s="102">
        <v>0.49794163463025193</v>
      </c>
      <c r="H478" s="101">
        <v>97805.409345666107</v>
      </c>
      <c r="I478" s="101">
        <v>28097.660098720728</v>
      </c>
      <c r="J478" s="160"/>
      <c r="K478" t="str">
        <f>VLOOKUP(Historic_BCast_BASE[[#This Row],[Broadcast Market]],Continent_Look_Up[],2,FALSE)</f>
        <v>Digital</v>
      </c>
      <c r="L478" s="132" t="str">
        <f>IF(OR(Historic_BCast_BASE[[#This Row],[Broadcast Continent]]="Digital",Historic_BCast_BASE[[#This Row],[Programme Type]]="Digital"),"Y","N")</f>
        <v>Y</v>
      </c>
      <c r="M478" s="132" t="str">
        <f>IF(ISNUMBER(SEARCH("Pan ",Historic_BCast_BASE[[#This Row],[Broadcast Market]]))=TRUE,"Y","N")</f>
        <v>N</v>
      </c>
      <c r="N478" s="132" t="str">
        <f>VLOOKUP(CONCATENATE(Historic_BCast_BASE[[#This Row],[Broadcast Market]],Historic_BCast_BASE[[#This Row],[Broadcaster]]),Table1[[CC]:[Pay TV vs. Free-to-Air]],3,FALSE)</f>
        <v>Digital</v>
      </c>
      <c r="O478" s="133" t="str">
        <f>VLOOKUP(CONCATENATE(Historic_BCast_BASE[[#This Row],[Broadcast Market]],Historic_BCast_BASE[[#This Row],[Broadcaster]]),Table1[[CC]:[Pay TV vs. Free-to-Air]],2,FALSE)</f>
        <v>-</v>
      </c>
      <c r="P478" s="235">
        <f>Historic_BCast_BASE[[#This Row],[Rolex EXP]]*86400</f>
        <v>43022.157232053767</v>
      </c>
      <c r="Q478" s="19" t="str">
        <f>IF(Historic_BCast_BASE[[#This Row],[Dashboard Rated?]]="No","N","Y")</f>
        <v>Y</v>
      </c>
      <c r="S478" s="22"/>
    </row>
    <row r="479" spans="1:19" x14ac:dyDescent="0.25">
      <c r="A479" s="72" t="s">
        <v>1869</v>
      </c>
      <c r="B479" t="s">
        <v>45</v>
      </c>
      <c r="C479" t="s">
        <v>45</v>
      </c>
      <c r="D479" t="s">
        <v>45</v>
      </c>
      <c r="E479" s="102">
        <v>2.5284722222222222</v>
      </c>
      <c r="F479" s="101">
        <v>32598.406849100709</v>
      </c>
      <c r="G479" s="102">
        <v>0.34324439777229016</v>
      </c>
      <c r="H479" s="101">
        <v>15185.553529060124</v>
      </c>
      <c r="I479" s="101">
        <v>4539.3562518073722</v>
      </c>
      <c r="J479" s="160"/>
      <c r="K479" t="str">
        <f>VLOOKUP(Historic_BCast_BASE[[#This Row],[Broadcast Market]],Continent_Look_Up[],2,FALSE)</f>
        <v>Digital</v>
      </c>
      <c r="L479" s="132" t="str">
        <f>IF(OR(Historic_BCast_BASE[[#This Row],[Broadcast Continent]]="Digital",Historic_BCast_BASE[[#This Row],[Programme Type]]="Digital"),"Y","N")</f>
        <v>Y</v>
      </c>
      <c r="M479" s="132" t="str">
        <f>IF(ISNUMBER(SEARCH("Pan ",Historic_BCast_BASE[[#This Row],[Broadcast Market]]))=TRUE,"Y","N")</f>
        <v>N</v>
      </c>
      <c r="N479" s="132" t="str">
        <f>VLOOKUP(CONCATENATE(Historic_BCast_BASE[[#This Row],[Broadcast Market]],Historic_BCast_BASE[[#This Row],[Broadcaster]]),Table1[[CC]:[Pay TV vs. Free-to-Air]],3,FALSE)</f>
        <v>Digital</v>
      </c>
      <c r="O479" s="133" t="str">
        <f>VLOOKUP(CONCATENATE(Historic_BCast_BASE[[#This Row],[Broadcast Market]],Historic_BCast_BASE[[#This Row],[Broadcaster]]),Table1[[CC]:[Pay TV vs. Free-to-Air]],2,FALSE)</f>
        <v>-</v>
      </c>
      <c r="P479" s="235">
        <f>Historic_BCast_BASE[[#This Row],[Rolex EXP]]*86400</f>
        <v>29656.315967525868</v>
      </c>
      <c r="Q479" s="19" t="str">
        <f>IF(Historic_BCast_BASE[[#This Row],[Dashboard Rated?]]="No","N","Y")</f>
        <v>Y</v>
      </c>
      <c r="S479" s="22"/>
    </row>
    <row r="480" spans="1:19" x14ac:dyDescent="0.25">
      <c r="A480" s="72" t="s">
        <v>1869</v>
      </c>
      <c r="B480" t="s">
        <v>45</v>
      </c>
      <c r="C480" t="s">
        <v>45</v>
      </c>
      <c r="D480" t="s">
        <v>45</v>
      </c>
      <c r="E480" s="102">
        <v>4.1666666666666664E-2</v>
      </c>
      <c r="F480" s="101">
        <v>1712.7655189005839</v>
      </c>
      <c r="G480" s="102">
        <v>3.9808791576036191E-3</v>
      </c>
      <c r="H480" s="101">
        <v>135.69409641464406</v>
      </c>
      <c r="I480" s="101">
        <v>38.982369420762993</v>
      </c>
      <c r="J480" s="160"/>
      <c r="K480" t="str">
        <f>VLOOKUP(Historic_BCast_BASE[[#This Row],[Broadcast Market]],Continent_Look_Up[],2,FALSE)</f>
        <v>Digital</v>
      </c>
      <c r="L480" s="132" t="str">
        <f>IF(OR(Historic_BCast_BASE[[#This Row],[Broadcast Continent]]="Digital",Historic_BCast_BASE[[#This Row],[Programme Type]]="Digital"),"Y","N")</f>
        <v>Y</v>
      </c>
      <c r="M480" s="132" t="str">
        <f>IF(ISNUMBER(SEARCH("Pan ",Historic_BCast_BASE[[#This Row],[Broadcast Market]]))=TRUE,"Y","N")</f>
        <v>N</v>
      </c>
      <c r="N480" s="132" t="str">
        <f>VLOOKUP(CONCATENATE(Historic_BCast_BASE[[#This Row],[Broadcast Market]],Historic_BCast_BASE[[#This Row],[Broadcaster]]),Table1[[CC]:[Pay TV vs. Free-to-Air]],3,FALSE)</f>
        <v>Digital</v>
      </c>
      <c r="O480" s="133" t="str">
        <f>VLOOKUP(CONCATENATE(Historic_BCast_BASE[[#This Row],[Broadcast Market]],Historic_BCast_BASE[[#This Row],[Broadcaster]]),Table1[[CC]:[Pay TV vs. Free-to-Air]],2,FALSE)</f>
        <v>-</v>
      </c>
      <c r="P480" s="235">
        <f>Historic_BCast_BASE[[#This Row],[Rolex EXP]]*86400</f>
        <v>343.94795921695271</v>
      </c>
      <c r="Q480" s="19" t="str">
        <f>IF(Historic_BCast_BASE[[#This Row],[Dashboard Rated?]]="No","N","Y")</f>
        <v>Y</v>
      </c>
      <c r="S480" s="22"/>
    </row>
    <row r="481" spans="1:19" x14ac:dyDescent="0.25">
      <c r="A481" s="72" t="s">
        <v>1869</v>
      </c>
      <c r="B481" t="s">
        <v>45</v>
      </c>
      <c r="C481" t="s">
        <v>45</v>
      </c>
      <c r="D481" t="s">
        <v>45</v>
      </c>
      <c r="E481" s="102">
        <v>1.75</v>
      </c>
      <c r="F481" s="101">
        <v>118551.62191040946</v>
      </c>
      <c r="G481" s="102">
        <v>0.32174011419896853</v>
      </c>
      <c r="H481" s="101">
        <v>72071.99539379726</v>
      </c>
      <c r="I481" s="101">
        <v>21194.752437363637</v>
      </c>
      <c r="J481" s="160"/>
      <c r="K481" t="str">
        <f>VLOOKUP(Historic_BCast_BASE[[#This Row],[Broadcast Market]],Continent_Look_Up[],2,FALSE)</f>
        <v>Digital</v>
      </c>
      <c r="L481" s="132" t="str">
        <f>IF(OR(Historic_BCast_BASE[[#This Row],[Broadcast Continent]]="Digital",Historic_BCast_BASE[[#This Row],[Programme Type]]="Digital"),"Y","N")</f>
        <v>Y</v>
      </c>
      <c r="M481" s="132" t="str">
        <f>IF(ISNUMBER(SEARCH("Pan ",Historic_BCast_BASE[[#This Row],[Broadcast Market]]))=TRUE,"Y","N")</f>
        <v>N</v>
      </c>
      <c r="N481" s="132" t="str">
        <f>VLOOKUP(CONCATENATE(Historic_BCast_BASE[[#This Row],[Broadcast Market]],Historic_BCast_BASE[[#This Row],[Broadcaster]]),Table1[[CC]:[Pay TV vs. Free-to-Air]],3,FALSE)</f>
        <v>Digital</v>
      </c>
      <c r="O481" s="133" t="str">
        <f>VLOOKUP(CONCATENATE(Historic_BCast_BASE[[#This Row],[Broadcast Market]],Historic_BCast_BASE[[#This Row],[Broadcaster]]),Table1[[CC]:[Pay TV vs. Free-to-Air]],2,FALSE)</f>
        <v>-</v>
      </c>
      <c r="P481" s="235">
        <f>Historic_BCast_BASE[[#This Row],[Rolex EXP]]*86400</f>
        <v>27798.345866790882</v>
      </c>
      <c r="Q481" s="19" t="str">
        <f>IF(Historic_BCast_BASE[[#This Row],[Dashboard Rated?]]="No","N","Y")</f>
        <v>Y</v>
      </c>
      <c r="S481" s="22"/>
    </row>
    <row r="482" spans="1:19" x14ac:dyDescent="0.25">
      <c r="A482" s="72" t="s">
        <v>1869</v>
      </c>
      <c r="B482" t="s">
        <v>45</v>
      </c>
      <c r="C482" t="s">
        <v>45</v>
      </c>
      <c r="D482" t="s">
        <v>45</v>
      </c>
      <c r="E482" s="102">
        <v>0.56180555555555556</v>
      </c>
      <c r="F482" s="101">
        <v>20553.186226807011</v>
      </c>
      <c r="G482" s="102">
        <v>5.6390007106960717E-2</v>
      </c>
      <c r="H482" s="101">
        <v>1922.1359800834957</v>
      </c>
      <c r="I482" s="101">
        <v>572.38521426445857</v>
      </c>
      <c r="J482" s="160"/>
      <c r="K482" t="str">
        <f>VLOOKUP(Historic_BCast_BASE[[#This Row],[Broadcast Market]],Continent_Look_Up[],2,FALSE)</f>
        <v>Digital</v>
      </c>
      <c r="L482" s="132" t="str">
        <f>IF(OR(Historic_BCast_BASE[[#This Row],[Broadcast Continent]]="Digital",Historic_BCast_BASE[[#This Row],[Programme Type]]="Digital"),"Y","N")</f>
        <v>Y</v>
      </c>
      <c r="M482" s="132" t="str">
        <f>IF(ISNUMBER(SEARCH("Pan ",Historic_BCast_BASE[[#This Row],[Broadcast Market]]))=TRUE,"Y","N")</f>
        <v>N</v>
      </c>
      <c r="N482" s="132" t="str">
        <f>VLOOKUP(CONCATENATE(Historic_BCast_BASE[[#This Row],[Broadcast Market]],Historic_BCast_BASE[[#This Row],[Broadcaster]]),Table1[[CC]:[Pay TV vs. Free-to-Air]],3,FALSE)</f>
        <v>Digital</v>
      </c>
      <c r="O482" s="133" t="str">
        <f>VLOOKUP(CONCATENATE(Historic_BCast_BASE[[#This Row],[Broadcast Market]],Historic_BCast_BASE[[#This Row],[Broadcaster]]),Table1[[CC]:[Pay TV vs. Free-to-Air]],2,FALSE)</f>
        <v>-</v>
      </c>
      <c r="P482" s="235">
        <f>Historic_BCast_BASE[[#This Row],[Rolex EXP]]*86400</f>
        <v>4872.0966140414057</v>
      </c>
      <c r="Q482" s="19" t="str">
        <f>IF(Historic_BCast_BASE[[#This Row],[Dashboard Rated?]]="No","N","Y")</f>
        <v>Y</v>
      </c>
      <c r="S482" s="22"/>
    </row>
    <row r="483" spans="1:19" x14ac:dyDescent="0.25">
      <c r="A483" s="72" t="s">
        <v>1869</v>
      </c>
      <c r="B483" t="s">
        <v>45</v>
      </c>
      <c r="C483" t="s">
        <v>45</v>
      </c>
      <c r="D483" t="s">
        <v>45</v>
      </c>
      <c r="E483" s="102">
        <v>2.5</v>
      </c>
      <c r="F483" s="101">
        <v>161527.01426332811</v>
      </c>
      <c r="G483" s="102">
        <v>0.24601644885401164</v>
      </c>
      <c r="H483" s="101">
        <v>51482.244032939641</v>
      </c>
      <c r="I483" s="101">
        <v>15049.023965978486</v>
      </c>
      <c r="J483" s="160"/>
      <c r="K483" t="str">
        <f>VLOOKUP(Historic_BCast_BASE[[#This Row],[Broadcast Market]],Continent_Look_Up[],2,FALSE)</f>
        <v>Digital</v>
      </c>
      <c r="L483" s="132" t="str">
        <f>IF(OR(Historic_BCast_BASE[[#This Row],[Broadcast Continent]]="Digital",Historic_BCast_BASE[[#This Row],[Programme Type]]="Digital"),"Y","N")</f>
        <v>Y</v>
      </c>
      <c r="M483" s="132" t="str">
        <f>IF(ISNUMBER(SEARCH("Pan ",Historic_BCast_BASE[[#This Row],[Broadcast Market]]))=TRUE,"Y","N")</f>
        <v>N</v>
      </c>
      <c r="N483" s="132" t="str">
        <f>VLOOKUP(CONCATENATE(Historic_BCast_BASE[[#This Row],[Broadcast Market]],Historic_BCast_BASE[[#This Row],[Broadcaster]]),Table1[[CC]:[Pay TV vs. Free-to-Air]],3,FALSE)</f>
        <v>Digital</v>
      </c>
      <c r="O483" s="133" t="str">
        <f>VLOOKUP(CONCATENATE(Historic_BCast_BASE[[#This Row],[Broadcast Market]],Historic_BCast_BASE[[#This Row],[Broadcaster]]),Table1[[CC]:[Pay TV vs. Free-to-Air]],2,FALSE)</f>
        <v>-</v>
      </c>
      <c r="P483" s="235">
        <f>Historic_BCast_BASE[[#This Row],[Rolex EXP]]*86400</f>
        <v>21255.821180986604</v>
      </c>
      <c r="Q483" s="19" t="str">
        <f>IF(Historic_BCast_BASE[[#This Row],[Dashboard Rated?]]="No","N","Y")</f>
        <v>Y</v>
      </c>
      <c r="S483" s="22"/>
    </row>
    <row r="484" spans="1:19" x14ac:dyDescent="0.25">
      <c r="A484" s="72" t="s">
        <v>1869</v>
      </c>
      <c r="B484" t="s">
        <v>45</v>
      </c>
      <c r="C484" t="s">
        <v>45</v>
      </c>
      <c r="D484" t="s">
        <v>45</v>
      </c>
      <c r="E484" s="102">
        <v>3.2881944444444446</v>
      </c>
      <c r="F484" s="101">
        <v>39968.498945807703</v>
      </c>
      <c r="G484" s="102">
        <v>0.31731551407582087</v>
      </c>
      <c r="H484" s="101">
        <v>14013.476752919893</v>
      </c>
      <c r="I484" s="101">
        <v>4018.5725088158806</v>
      </c>
      <c r="J484" s="160"/>
      <c r="K484" t="str">
        <f>VLOOKUP(Historic_BCast_BASE[[#This Row],[Broadcast Market]],Continent_Look_Up[],2,FALSE)</f>
        <v>Digital</v>
      </c>
      <c r="L484" s="132" t="str">
        <f>IF(OR(Historic_BCast_BASE[[#This Row],[Broadcast Continent]]="Digital",Historic_BCast_BASE[[#This Row],[Programme Type]]="Digital"),"Y","N")</f>
        <v>Y</v>
      </c>
      <c r="M484" s="132" t="str">
        <f>IF(ISNUMBER(SEARCH("Pan ",Historic_BCast_BASE[[#This Row],[Broadcast Market]]))=TRUE,"Y","N")</f>
        <v>N</v>
      </c>
      <c r="N484" s="132" t="str">
        <f>VLOOKUP(CONCATENATE(Historic_BCast_BASE[[#This Row],[Broadcast Market]],Historic_BCast_BASE[[#This Row],[Broadcaster]]),Table1[[CC]:[Pay TV vs. Free-to-Air]],3,FALSE)</f>
        <v>Digital</v>
      </c>
      <c r="O484" s="133" t="str">
        <f>VLOOKUP(CONCATENATE(Historic_BCast_BASE[[#This Row],[Broadcast Market]],Historic_BCast_BASE[[#This Row],[Broadcaster]]),Table1[[CC]:[Pay TV vs. Free-to-Air]],2,FALSE)</f>
        <v>-</v>
      </c>
      <c r="P484" s="235">
        <f>Historic_BCast_BASE[[#This Row],[Rolex EXP]]*86400</f>
        <v>27416.060416150922</v>
      </c>
      <c r="Q484" s="19" t="str">
        <f>IF(Historic_BCast_BASE[[#This Row],[Dashboard Rated?]]="No","N","Y")</f>
        <v>Y</v>
      </c>
      <c r="S484" s="22"/>
    </row>
    <row r="485" spans="1:19" x14ac:dyDescent="0.25">
      <c r="A485" s="72" t="s">
        <v>1869</v>
      </c>
      <c r="B485" t="s">
        <v>45</v>
      </c>
      <c r="C485" t="s">
        <v>45</v>
      </c>
      <c r="D485" t="s">
        <v>45</v>
      </c>
      <c r="E485" s="102">
        <v>2.6958333333333333</v>
      </c>
      <c r="F485" s="101">
        <v>141817.32047241583</v>
      </c>
      <c r="G485" s="102">
        <v>0.24397228908792892</v>
      </c>
      <c r="H485" s="101">
        <v>11256.679719329062</v>
      </c>
      <c r="I485" s="101">
        <v>3278.2655774990444</v>
      </c>
      <c r="J485" s="160"/>
      <c r="K485" t="str">
        <f>VLOOKUP(Historic_BCast_BASE[[#This Row],[Broadcast Market]],Continent_Look_Up[],2,FALSE)</f>
        <v>Digital</v>
      </c>
      <c r="L485" s="132" t="str">
        <f>IF(OR(Historic_BCast_BASE[[#This Row],[Broadcast Continent]]="Digital",Historic_BCast_BASE[[#This Row],[Programme Type]]="Digital"),"Y","N")</f>
        <v>Y</v>
      </c>
      <c r="M485" s="132" t="str">
        <f>IF(ISNUMBER(SEARCH("Pan ",Historic_BCast_BASE[[#This Row],[Broadcast Market]]))=TRUE,"Y","N")</f>
        <v>N</v>
      </c>
      <c r="N485" s="132" t="str">
        <f>VLOOKUP(CONCATENATE(Historic_BCast_BASE[[#This Row],[Broadcast Market]],Historic_BCast_BASE[[#This Row],[Broadcaster]]),Table1[[CC]:[Pay TV vs. Free-to-Air]],3,FALSE)</f>
        <v>Digital</v>
      </c>
      <c r="O485" s="133" t="str">
        <f>VLOOKUP(CONCATENATE(Historic_BCast_BASE[[#This Row],[Broadcast Market]],Historic_BCast_BASE[[#This Row],[Broadcaster]]),Table1[[CC]:[Pay TV vs. Free-to-Air]],2,FALSE)</f>
        <v>-</v>
      </c>
      <c r="P485" s="235">
        <f>Historic_BCast_BASE[[#This Row],[Rolex EXP]]*86400</f>
        <v>21079.205777197058</v>
      </c>
      <c r="Q485" s="19" t="str">
        <f>IF(Historic_BCast_BASE[[#This Row],[Dashboard Rated?]]="No","N","Y")</f>
        <v>Y</v>
      </c>
      <c r="S485" s="22"/>
    </row>
    <row r="486" spans="1:19" x14ac:dyDescent="0.25">
      <c r="A486" s="72" t="s">
        <v>1869</v>
      </c>
      <c r="B486" t="s">
        <v>45</v>
      </c>
      <c r="C486" t="s">
        <v>45</v>
      </c>
      <c r="D486" t="s">
        <v>45</v>
      </c>
      <c r="E486" s="102">
        <v>3.7395833333333335</v>
      </c>
      <c r="F486" s="101">
        <v>248058.75703306071</v>
      </c>
      <c r="G486" s="102">
        <v>0.34224293461040767</v>
      </c>
      <c r="H486" s="101">
        <v>76841.232488810492</v>
      </c>
      <c r="I486" s="101">
        <v>22966.821244953193</v>
      </c>
      <c r="J486" s="160"/>
      <c r="K486" t="str">
        <f>VLOOKUP(Historic_BCast_BASE[[#This Row],[Broadcast Market]],Continent_Look_Up[],2,FALSE)</f>
        <v>Digital</v>
      </c>
      <c r="L486" s="132" t="str">
        <f>IF(OR(Historic_BCast_BASE[[#This Row],[Broadcast Continent]]="Digital",Historic_BCast_BASE[[#This Row],[Programme Type]]="Digital"),"Y","N")</f>
        <v>Y</v>
      </c>
      <c r="M486" s="132" t="str">
        <f>IF(ISNUMBER(SEARCH("Pan ",Historic_BCast_BASE[[#This Row],[Broadcast Market]]))=TRUE,"Y","N")</f>
        <v>N</v>
      </c>
      <c r="N486" s="132" t="str">
        <f>VLOOKUP(CONCATENATE(Historic_BCast_BASE[[#This Row],[Broadcast Market]],Historic_BCast_BASE[[#This Row],[Broadcaster]]),Table1[[CC]:[Pay TV vs. Free-to-Air]],3,FALSE)</f>
        <v>Digital</v>
      </c>
      <c r="O486" s="133" t="str">
        <f>VLOOKUP(CONCATENATE(Historic_BCast_BASE[[#This Row],[Broadcast Market]],Historic_BCast_BASE[[#This Row],[Broadcaster]]),Table1[[CC]:[Pay TV vs. Free-to-Air]],2,FALSE)</f>
        <v>-</v>
      </c>
      <c r="P486" s="235">
        <f>Historic_BCast_BASE[[#This Row],[Rolex EXP]]*86400</f>
        <v>29569.789550339221</v>
      </c>
      <c r="Q486" s="19" t="str">
        <f>IF(Historic_BCast_BASE[[#This Row],[Dashboard Rated?]]="No","N","Y")</f>
        <v>Y</v>
      </c>
      <c r="S486" s="22"/>
    </row>
    <row r="487" spans="1:19" x14ac:dyDescent="0.25">
      <c r="A487" s="72" t="s">
        <v>1869</v>
      </c>
      <c r="B487" t="s">
        <v>45</v>
      </c>
      <c r="C487" t="s">
        <v>45</v>
      </c>
      <c r="D487" t="s">
        <v>45</v>
      </c>
      <c r="E487" s="102">
        <v>4.8472222222222223</v>
      </c>
      <c r="F487" s="101">
        <v>62138.495561563192</v>
      </c>
      <c r="G487" s="102">
        <v>0.44658511337739615</v>
      </c>
      <c r="H487" s="101">
        <v>19446.952755623399</v>
      </c>
      <c r="I487" s="101">
        <v>5795.2804876517894</v>
      </c>
      <c r="J487" s="160"/>
      <c r="K487" t="str">
        <f>VLOOKUP(Historic_BCast_BASE[[#This Row],[Broadcast Market]],Continent_Look_Up[],2,FALSE)</f>
        <v>Digital</v>
      </c>
      <c r="L487" s="132" t="str">
        <f>IF(OR(Historic_BCast_BASE[[#This Row],[Broadcast Continent]]="Digital",Historic_BCast_BASE[[#This Row],[Programme Type]]="Digital"),"Y","N")</f>
        <v>Y</v>
      </c>
      <c r="M487" s="132" t="str">
        <f>IF(ISNUMBER(SEARCH("Pan ",Historic_BCast_BASE[[#This Row],[Broadcast Market]]))=TRUE,"Y","N")</f>
        <v>N</v>
      </c>
      <c r="N487" s="132" t="str">
        <f>VLOOKUP(CONCATENATE(Historic_BCast_BASE[[#This Row],[Broadcast Market]],Historic_BCast_BASE[[#This Row],[Broadcaster]]),Table1[[CC]:[Pay TV vs. Free-to-Air]],3,FALSE)</f>
        <v>Digital</v>
      </c>
      <c r="O487" s="133" t="str">
        <f>VLOOKUP(CONCATENATE(Historic_BCast_BASE[[#This Row],[Broadcast Market]],Historic_BCast_BASE[[#This Row],[Broadcaster]]),Table1[[CC]:[Pay TV vs. Free-to-Air]],2,FALSE)</f>
        <v>-</v>
      </c>
      <c r="P487" s="235">
        <f>Historic_BCast_BASE[[#This Row],[Rolex EXP]]*86400</f>
        <v>38584.953795807029</v>
      </c>
      <c r="Q487" s="19" t="str">
        <f>IF(Historic_BCast_BASE[[#This Row],[Dashboard Rated?]]="No","N","Y")</f>
        <v>Y</v>
      </c>
      <c r="S487" s="22"/>
    </row>
    <row r="488" spans="1:19" x14ac:dyDescent="0.25">
      <c r="A488" s="72" t="s">
        <v>1869</v>
      </c>
      <c r="B488" t="s">
        <v>45</v>
      </c>
      <c r="C488" t="s">
        <v>45</v>
      </c>
      <c r="D488" t="s">
        <v>45</v>
      </c>
      <c r="E488" s="102">
        <v>0.49234953703703704</v>
      </c>
      <c r="F488" s="101">
        <v>2134.4342486666278</v>
      </c>
      <c r="G488" s="102">
        <v>3.9892710027580804E-2</v>
      </c>
      <c r="H488" s="101">
        <v>847.28666850310822</v>
      </c>
      <c r="I488" s="101">
        <v>245.08472284756513</v>
      </c>
      <c r="J488" s="160"/>
      <c r="K488" t="str">
        <f>VLOOKUP(Historic_BCast_BASE[[#This Row],[Broadcast Market]],Continent_Look_Up[],2,FALSE)</f>
        <v>Digital</v>
      </c>
      <c r="L488" s="132" t="str">
        <f>IF(OR(Historic_BCast_BASE[[#This Row],[Broadcast Continent]]="Digital",Historic_BCast_BASE[[#This Row],[Programme Type]]="Digital"),"Y","N")</f>
        <v>Y</v>
      </c>
      <c r="M488" s="132" t="str">
        <f>IF(ISNUMBER(SEARCH("Pan ",Historic_BCast_BASE[[#This Row],[Broadcast Market]]))=TRUE,"Y","N")</f>
        <v>N</v>
      </c>
      <c r="N488" s="132" t="str">
        <f>VLOOKUP(CONCATENATE(Historic_BCast_BASE[[#This Row],[Broadcast Market]],Historic_BCast_BASE[[#This Row],[Broadcaster]]),Table1[[CC]:[Pay TV vs. Free-to-Air]],3,FALSE)</f>
        <v>Digital</v>
      </c>
      <c r="O488" s="133" t="str">
        <f>VLOOKUP(CONCATENATE(Historic_BCast_BASE[[#This Row],[Broadcast Market]],Historic_BCast_BASE[[#This Row],[Broadcaster]]),Table1[[CC]:[Pay TV vs. Free-to-Air]],2,FALSE)</f>
        <v>-</v>
      </c>
      <c r="P488" s="235">
        <f>Historic_BCast_BASE[[#This Row],[Rolex EXP]]*86400</f>
        <v>3446.7301463829813</v>
      </c>
      <c r="Q488" s="19" t="str">
        <f>IF(Historic_BCast_BASE[[#This Row],[Dashboard Rated?]]="No","N","Y")</f>
        <v>Y</v>
      </c>
      <c r="S488" s="22"/>
    </row>
    <row r="489" spans="1:19" x14ac:dyDescent="0.25">
      <c r="A489" s="72" t="s">
        <v>1869</v>
      </c>
      <c r="B489" t="s">
        <v>45</v>
      </c>
      <c r="C489" t="s">
        <v>45</v>
      </c>
      <c r="D489" t="s">
        <v>45</v>
      </c>
      <c r="E489" s="102">
        <v>0.29166666666666669</v>
      </c>
      <c r="F489" s="101">
        <v>4070.5656433055588</v>
      </c>
      <c r="G489" s="102">
        <v>2.7866154103225335E-2</v>
      </c>
      <c r="H489" s="101">
        <v>322.49115291589629</v>
      </c>
      <c r="I489" s="101">
        <v>92.645661012991084</v>
      </c>
      <c r="J489" s="160"/>
      <c r="K489" t="str">
        <f>VLOOKUP(Historic_BCast_BASE[[#This Row],[Broadcast Market]],Continent_Look_Up[],2,FALSE)</f>
        <v>Digital</v>
      </c>
      <c r="L489" s="132" t="str">
        <f>IF(OR(Historic_BCast_BASE[[#This Row],[Broadcast Continent]]="Digital",Historic_BCast_BASE[[#This Row],[Programme Type]]="Digital"),"Y","N")</f>
        <v>Y</v>
      </c>
      <c r="M489" s="132" t="str">
        <f>IF(ISNUMBER(SEARCH("Pan ",Historic_BCast_BASE[[#This Row],[Broadcast Market]]))=TRUE,"Y","N")</f>
        <v>N</v>
      </c>
      <c r="N489" s="132" t="str">
        <f>VLOOKUP(CONCATENATE(Historic_BCast_BASE[[#This Row],[Broadcast Market]],Historic_BCast_BASE[[#This Row],[Broadcaster]]),Table1[[CC]:[Pay TV vs. Free-to-Air]],3,FALSE)</f>
        <v>Digital</v>
      </c>
      <c r="O489" s="133" t="str">
        <f>VLOOKUP(CONCATENATE(Historic_BCast_BASE[[#This Row],[Broadcast Market]],Historic_BCast_BASE[[#This Row],[Broadcaster]]),Table1[[CC]:[Pay TV vs. Free-to-Air]],2,FALSE)</f>
        <v>-</v>
      </c>
      <c r="P489" s="235">
        <f>Historic_BCast_BASE[[#This Row],[Rolex EXP]]*86400</f>
        <v>2407.6357145186689</v>
      </c>
      <c r="Q489" s="19" t="str">
        <f>IF(Historic_BCast_BASE[[#This Row],[Dashboard Rated?]]="No","N","Y")</f>
        <v>Y</v>
      </c>
      <c r="S489" s="22"/>
    </row>
    <row r="490" spans="1:19" x14ac:dyDescent="0.25">
      <c r="A490" s="72" t="s">
        <v>1869</v>
      </c>
      <c r="B490" t="s">
        <v>45</v>
      </c>
      <c r="C490" t="s">
        <v>45</v>
      </c>
      <c r="D490" t="s">
        <v>45</v>
      </c>
      <c r="E490" s="102">
        <v>4.645833333333333</v>
      </c>
      <c r="F490" s="101">
        <v>13340.214054166425</v>
      </c>
      <c r="G490" s="102">
        <v>0.44386802607280357</v>
      </c>
      <c r="H490" s="101">
        <v>9427.3730916315762</v>
      </c>
      <c r="I490" s="101">
        <v>2708.3075110530908</v>
      </c>
      <c r="J490" s="160"/>
      <c r="K490" t="str">
        <f>VLOOKUP(Historic_BCast_BASE[[#This Row],[Broadcast Market]],Continent_Look_Up[],2,FALSE)</f>
        <v>Digital</v>
      </c>
      <c r="L490" s="132" t="str">
        <f>IF(OR(Historic_BCast_BASE[[#This Row],[Broadcast Continent]]="Digital",Historic_BCast_BASE[[#This Row],[Programme Type]]="Digital"),"Y","N")</f>
        <v>Y</v>
      </c>
      <c r="M490" s="132" t="str">
        <f>IF(ISNUMBER(SEARCH("Pan ",Historic_BCast_BASE[[#This Row],[Broadcast Market]]))=TRUE,"Y","N")</f>
        <v>N</v>
      </c>
      <c r="N490" s="132" t="str">
        <f>VLOOKUP(CONCATENATE(Historic_BCast_BASE[[#This Row],[Broadcast Market]],Historic_BCast_BASE[[#This Row],[Broadcaster]]),Table1[[CC]:[Pay TV vs. Free-to-Air]],3,FALSE)</f>
        <v>Digital</v>
      </c>
      <c r="O490" s="133" t="str">
        <f>VLOOKUP(CONCATENATE(Historic_BCast_BASE[[#This Row],[Broadcast Market]],Historic_BCast_BASE[[#This Row],[Broadcaster]]),Table1[[CC]:[Pay TV vs. Free-to-Air]],2,FALSE)</f>
        <v>-</v>
      </c>
      <c r="P490" s="235">
        <f>Historic_BCast_BASE[[#This Row],[Rolex EXP]]*86400</f>
        <v>38350.197452690227</v>
      </c>
      <c r="Q490" s="19" t="str">
        <f>IF(Historic_BCast_BASE[[#This Row],[Dashboard Rated?]]="No","N","Y")</f>
        <v>Y</v>
      </c>
      <c r="S490" s="22"/>
    </row>
    <row r="491" spans="1:19" x14ac:dyDescent="0.25">
      <c r="A491" s="72" t="s">
        <v>1869</v>
      </c>
      <c r="B491" t="s">
        <v>45</v>
      </c>
      <c r="C491" t="s">
        <v>45</v>
      </c>
      <c r="D491" t="s">
        <v>45</v>
      </c>
      <c r="E491" s="102">
        <v>4.145833333333333</v>
      </c>
      <c r="F491" s="101">
        <v>10469.703220509002</v>
      </c>
      <c r="G491" s="102">
        <v>0.40081453235872688</v>
      </c>
      <c r="H491" s="101">
        <v>4353.0761235291066</v>
      </c>
      <c r="I491" s="101">
        <v>1240.014450126223</v>
      </c>
      <c r="J491" s="160"/>
      <c r="K491" t="str">
        <f>VLOOKUP(Historic_BCast_BASE[[#This Row],[Broadcast Market]],Continent_Look_Up[],2,FALSE)</f>
        <v>Digital</v>
      </c>
      <c r="L491" s="132" t="str">
        <f>IF(OR(Historic_BCast_BASE[[#This Row],[Broadcast Continent]]="Digital",Historic_BCast_BASE[[#This Row],[Programme Type]]="Digital"),"Y","N")</f>
        <v>Y</v>
      </c>
      <c r="M491" s="132" t="str">
        <f>IF(ISNUMBER(SEARCH("Pan ",Historic_BCast_BASE[[#This Row],[Broadcast Market]]))=TRUE,"Y","N")</f>
        <v>N</v>
      </c>
      <c r="N491" s="132" t="str">
        <f>VLOOKUP(CONCATENATE(Historic_BCast_BASE[[#This Row],[Broadcast Market]],Historic_BCast_BASE[[#This Row],[Broadcaster]]),Table1[[CC]:[Pay TV vs. Free-to-Air]],3,FALSE)</f>
        <v>Digital</v>
      </c>
      <c r="O491" s="133" t="str">
        <f>VLOOKUP(CONCATENATE(Historic_BCast_BASE[[#This Row],[Broadcast Market]],Historic_BCast_BASE[[#This Row],[Broadcaster]]),Table1[[CC]:[Pay TV vs. Free-to-Air]],2,FALSE)</f>
        <v>-</v>
      </c>
      <c r="P491" s="235">
        <f>Historic_BCast_BASE[[#This Row],[Rolex EXP]]*86400</f>
        <v>34630.375595794001</v>
      </c>
      <c r="Q491" s="19" t="str">
        <f>IF(Historic_BCast_BASE[[#This Row],[Dashboard Rated?]]="No","N","Y")</f>
        <v>Y</v>
      </c>
      <c r="S491" s="22"/>
    </row>
    <row r="492" spans="1:19" x14ac:dyDescent="0.25">
      <c r="A492" s="72" t="s">
        <v>1869</v>
      </c>
      <c r="B492" t="s">
        <v>45</v>
      </c>
      <c r="C492" t="s">
        <v>45</v>
      </c>
      <c r="D492" t="s">
        <v>45</v>
      </c>
      <c r="E492" s="102">
        <v>2.6181712962962962</v>
      </c>
      <c r="F492" s="101">
        <v>21848.540516233075</v>
      </c>
      <c r="G492" s="102">
        <v>0.25014296506708739</v>
      </c>
      <c r="H492" s="101">
        <v>3714.9590328418562</v>
      </c>
      <c r="I492" s="101">
        <v>1067.2380687713764</v>
      </c>
      <c r="J492" s="160"/>
      <c r="K492" t="str">
        <f>VLOOKUP(Historic_BCast_BASE[[#This Row],[Broadcast Market]],Continent_Look_Up[],2,FALSE)</f>
        <v>Digital</v>
      </c>
      <c r="L492" s="132" t="str">
        <f>IF(OR(Historic_BCast_BASE[[#This Row],[Broadcast Continent]]="Digital",Historic_BCast_BASE[[#This Row],[Programme Type]]="Digital"),"Y","N")</f>
        <v>Y</v>
      </c>
      <c r="M492" s="132" t="str">
        <f>IF(ISNUMBER(SEARCH("Pan ",Historic_BCast_BASE[[#This Row],[Broadcast Market]]))=TRUE,"Y","N")</f>
        <v>N</v>
      </c>
      <c r="N492" s="132" t="str">
        <f>VLOOKUP(CONCATENATE(Historic_BCast_BASE[[#This Row],[Broadcast Market]],Historic_BCast_BASE[[#This Row],[Broadcaster]]),Table1[[CC]:[Pay TV vs. Free-to-Air]],3,FALSE)</f>
        <v>Digital</v>
      </c>
      <c r="O492" s="133" t="str">
        <f>VLOOKUP(CONCATENATE(Historic_BCast_BASE[[#This Row],[Broadcast Market]],Historic_BCast_BASE[[#This Row],[Broadcaster]]),Table1[[CC]:[Pay TV vs. Free-to-Air]],2,FALSE)</f>
        <v>-</v>
      </c>
      <c r="P492" s="235">
        <f>Historic_BCast_BASE[[#This Row],[Rolex EXP]]*86400</f>
        <v>21612.352181796352</v>
      </c>
      <c r="Q492" s="19" t="str">
        <f>IF(Historic_BCast_BASE[[#This Row],[Dashboard Rated?]]="No","N","Y")</f>
        <v>Y</v>
      </c>
      <c r="S492" s="22"/>
    </row>
    <row r="493" spans="1:19" x14ac:dyDescent="0.25">
      <c r="A493" s="72" t="s">
        <v>1869</v>
      </c>
      <c r="B493" t="s">
        <v>45</v>
      </c>
      <c r="C493" t="s">
        <v>45</v>
      </c>
      <c r="D493" t="s">
        <v>45</v>
      </c>
      <c r="E493" s="102">
        <v>3.214479166666667</v>
      </c>
      <c r="F493" s="101">
        <v>16732.535340540289</v>
      </c>
      <c r="G493" s="102">
        <v>0.30551033642135189</v>
      </c>
      <c r="H493" s="101">
        <v>13276.960230319024</v>
      </c>
      <c r="I493" s="101">
        <v>3839.3754653571559</v>
      </c>
      <c r="J493" s="160"/>
      <c r="K493" t="str">
        <f>VLOOKUP(Historic_BCast_BASE[[#This Row],[Broadcast Market]],Continent_Look_Up[],2,FALSE)</f>
        <v>Digital</v>
      </c>
      <c r="L493" s="132" t="str">
        <f>IF(OR(Historic_BCast_BASE[[#This Row],[Broadcast Continent]]="Digital",Historic_BCast_BASE[[#This Row],[Programme Type]]="Digital"),"Y","N")</f>
        <v>Y</v>
      </c>
      <c r="M493" s="132" t="str">
        <f>IF(ISNUMBER(SEARCH("Pan ",Historic_BCast_BASE[[#This Row],[Broadcast Market]]))=TRUE,"Y","N")</f>
        <v>N</v>
      </c>
      <c r="N493" s="132" t="str">
        <f>VLOOKUP(CONCATENATE(Historic_BCast_BASE[[#This Row],[Broadcast Market]],Historic_BCast_BASE[[#This Row],[Broadcaster]]),Table1[[CC]:[Pay TV vs. Free-to-Air]],3,FALSE)</f>
        <v>Digital</v>
      </c>
      <c r="O493" s="133" t="str">
        <f>VLOOKUP(CONCATENATE(Historic_BCast_BASE[[#This Row],[Broadcast Market]],Historic_BCast_BASE[[#This Row],[Broadcaster]]),Table1[[CC]:[Pay TV vs. Free-to-Air]],2,FALSE)</f>
        <v>-</v>
      </c>
      <c r="P493" s="235">
        <f>Historic_BCast_BASE[[#This Row],[Rolex EXP]]*86400</f>
        <v>26396.093066804802</v>
      </c>
      <c r="Q493" s="19" t="str">
        <f>IF(Historic_BCast_BASE[[#This Row],[Dashboard Rated?]]="No","N","Y")</f>
        <v>Y</v>
      </c>
      <c r="S493" s="22"/>
    </row>
    <row r="494" spans="1:19" x14ac:dyDescent="0.25">
      <c r="A494" s="72" t="s">
        <v>1869</v>
      </c>
      <c r="B494" t="s">
        <v>45</v>
      </c>
      <c r="C494" t="s">
        <v>45</v>
      </c>
      <c r="D494" t="s">
        <v>45</v>
      </c>
      <c r="E494" s="102">
        <v>0.20833333333333334</v>
      </c>
      <c r="F494" s="101">
        <v>981.9925846568766</v>
      </c>
      <c r="G494" s="102">
        <v>1.58097502594658E-2</v>
      </c>
      <c r="H494" s="101">
        <v>97.507561711198676</v>
      </c>
      <c r="I494" s="101">
        <v>27.895210439027284</v>
      </c>
      <c r="J494" s="160"/>
      <c r="K494" t="str">
        <f>VLOOKUP(Historic_BCast_BASE[[#This Row],[Broadcast Market]],Continent_Look_Up[],2,FALSE)</f>
        <v>Digital</v>
      </c>
      <c r="L494" s="132" t="str">
        <f>IF(OR(Historic_BCast_BASE[[#This Row],[Broadcast Continent]]="Digital",Historic_BCast_BASE[[#This Row],[Programme Type]]="Digital"),"Y","N")</f>
        <v>Y</v>
      </c>
      <c r="M494" s="132" t="str">
        <f>IF(ISNUMBER(SEARCH("Pan ",Historic_BCast_BASE[[#This Row],[Broadcast Market]]))=TRUE,"Y","N")</f>
        <v>N</v>
      </c>
      <c r="N494" s="132" t="str">
        <f>VLOOKUP(CONCATENATE(Historic_BCast_BASE[[#This Row],[Broadcast Market]],Historic_BCast_BASE[[#This Row],[Broadcaster]]),Table1[[CC]:[Pay TV vs. Free-to-Air]],3,FALSE)</f>
        <v>Digital</v>
      </c>
      <c r="O494" s="133" t="str">
        <f>VLOOKUP(CONCATENATE(Historic_BCast_BASE[[#This Row],[Broadcast Market]],Historic_BCast_BASE[[#This Row],[Broadcaster]]),Table1[[CC]:[Pay TV vs. Free-to-Air]],2,FALSE)</f>
        <v>-</v>
      </c>
      <c r="P494" s="235">
        <f>Historic_BCast_BASE[[#This Row],[Rolex EXP]]*86400</f>
        <v>1365.9624224178451</v>
      </c>
      <c r="Q494" s="19" t="str">
        <f>IF(Historic_BCast_BASE[[#This Row],[Dashboard Rated?]]="No","N","Y")</f>
        <v>Y</v>
      </c>
      <c r="S494" s="22"/>
    </row>
    <row r="495" spans="1:19" x14ac:dyDescent="0.25">
      <c r="A495" s="72" t="s">
        <v>1869</v>
      </c>
      <c r="B495" t="s">
        <v>45</v>
      </c>
      <c r="C495" t="s">
        <v>45</v>
      </c>
      <c r="D495" t="s">
        <v>45</v>
      </c>
      <c r="E495" s="102">
        <v>2.5625</v>
      </c>
      <c r="F495" s="101">
        <v>2810.3167192104474</v>
      </c>
      <c r="G495" s="102">
        <v>0.24482406819262259</v>
      </c>
      <c r="H495" s="101">
        <v>3631.5411634589213</v>
      </c>
      <c r="I495" s="101">
        <v>1043.2736791147929</v>
      </c>
      <c r="J495" s="160"/>
      <c r="K495" t="str">
        <f>VLOOKUP(Historic_BCast_BASE[[#This Row],[Broadcast Market]],Continent_Look_Up[],2,FALSE)</f>
        <v>Digital</v>
      </c>
      <c r="L495" s="132" t="str">
        <f>IF(OR(Historic_BCast_BASE[[#This Row],[Broadcast Continent]]="Digital",Historic_BCast_BASE[[#This Row],[Programme Type]]="Digital"),"Y","N")</f>
        <v>Y</v>
      </c>
      <c r="M495" s="132" t="str">
        <f>IF(ISNUMBER(SEARCH("Pan ",Historic_BCast_BASE[[#This Row],[Broadcast Market]]))=TRUE,"Y","N")</f>
        <v>N</v>
      </c>
      <c r="N495" s="132" t="str">
        <f>VLOOKUP(CONCATENATE(Historic_BCast_BASE[[#This Row],[Broadcast Market]],Historic_BCast_BASE[[#This Row],[Broadcaster]]),Table1[[CC]:[Pay TV vs. Free-to-Air]],3,FALSE)</f>
        <v>Digital</v>
      </c>
      <c r="O495" s="133" t="str">
        <f>VLOOKUP(CONCATENATE(Historic_BCast_BASE[[#This Row],[Broadcast Market]],Historic_BCast_BASE[[#This Row],[Broadcaster]]),Table1[[CC]:[Pay TV vs. Free-to-Air]],2,FALSE)</f>
        <v>-</v>
      </c>
      <c r="P495" s="235">
        <f>Historic_BCast_BASE[[#This Row],[Rolex EXP]]*86400</f>
        <v>21152.79949184259</v>
      </c>
      <c r="Q495" s="19" t="str">
        <f>IF(Historic_BCast_BASE[[#This Row],[Dashboard Rated?]]="No","N","Y")</f>
        <v>Y</v>
      </c>
      <c r="S495" s="22"/>
    </row>
    <row r="496" spans="1:19" x14ac:dyDescent="0.25">
      <c r="A496" s="72" t="s">
        <v>1869</v>
      </c>
      <c r="B496" t="s">
        <v>45</v>
      </c>
      <c r="C496" t="s">
        <v>45</v>
      </c>
      <c r="D496" t="s">
        <v>45</v>
      </c>
      <c r="E496" s="102">
        <v>0.50694444444444442</v>
      </c>
      <c r="F496" s="101">
        <v>372.111606826941</v>
      </c>
      <c r="G496" s="102">
        <v>4.8434029750844036E-2</v>
      </c>
      <c r="H496" s="101">
        <v>717.36116859946083</v>
      </c>
      <c r="I496" s="101">
        <v>206.08441208085247</v>
      </c>
      <c r="J496" s="160"/>
      <c r="K496" t="str">
        <f>VLOOKUP(Historic_BCast_BASE[[#This Row],[Broadcast Market]],Continent_Look_Up[],2,FALSE)</f>
        <v>Digital</v>
      </c>
      <c r="L496" s="132" t="str">
        <f>IF(OR(Historic_BCast_BASE[[#This Row],[Broadcast Continent]]="Digital",Historic_BCast_BASE[[#This Row],[Programme Type]]="Digital"),"Y","N")</f>
        <v>Y</v>
      </c>
      <c r="M496" s="132" t="str">
        <f>IF(ISNUMBER(SEARCH("Pan ",Historic_BCast_BASE[[#This Row],[Broadcast Market]]))=TRUE,"Y","N")</f>
        <v>N</v>
      </c>
      <c r="N496" s="132" t="str">
        <f>VLOOKUP(CONCATENATE(Historic_BCast_BASE[[#This Row],[Broadcast Market]],Historic_BCast_BASE[[#This Row],[Broadcaster]]),Table1[[CC]:[Pay TV vs. Free-to-Air]],3,FALSE)</f>
        <v>Digital</v>
      </c>
      <c r="O496" s="133" t="str">
        <f>VLOOKUP(CONCATENATE(Historic_BCast_BASE[[#This Row],[Broadcast Market]],Historic_BCast_BASE[[#This Row],[Broadcaster]]),Table1[[CC]:[Pay TV vs. Free-to-Air]],2,FALSE)</f>
        <v>-</v>
      </c>
      <c r="P496" s="235">
        <f>Historic_BCast_BASE[[#This Row],[Rolex EXP]]*86400</f>
        <v>4184.7001704729246</v>
      </c>
      <c r="Q496" s="19" t="str">
        <f>IF(Historic_BCast_BASE[[#This Row],[Dashboard Rated?]]="No","N","Y")</f>
        <v>Y</v>
      </c>
      <c r="S496" s="22"/>
    </row>
    <row r="497" spans="1:19" x14ac:dyDescent="0.25">
      <c r="A497" s="72" t="s">
        <v>1869</v>
      </c>
      <c r="B497" t="s">
        <v>45</v>
      </c>
      <c r="C497" t="s">
        <v>45</v>
      </c>
      <c r="D497" t="s">
        <v>45</v>
      </c>
      <c r="E497" s="102">
        <v>0.64586805555555549</v>
      </c>
      <c r="F497" s="101">
        <v>27568.894948434096</v>
      </c>
      <c r="G497" s="102">
        <v>5.7362320497240216E-2</v>
      </c>
      <c r="H497" s="101">
        <v>3186.5583426522362</v>
      </c>
      <c r="I497" s="101">
        <v>963.95209497315079</v>
      </c>
      <c r="J497" s="160"/>
      <c r="K497" t="str">
        <f>VLOOKUP(Historic_BCast_BASE[[#This Row],[Broadcast Market]],Continent_Look_Up[],2,FALSE)</f>
        <v>Digital</v>
      </c>
      <c r="L497" s="132" t="str">
        <f>IF(OR(Historic_BCast_BASE[[#This Row],[Broadcast Continent]]="Digital",Historic_BCast_BASE[[#This Row],[Programme Type]]="Digital"),"Y","N")</f>
        <v>Y</v>
      </c>
      <c r="M497" s="132" t="str">
        <f>IF(ISNUMBER(SEARCH("Pan ",Historic_BCast_BASE[[#This Row],[Broadcast Market]]))=TRUE,"Y","N")</f>
        <v>N</v>
      </c>
      <c r="N497" s="132" t="str">
        <f>VLOOKUP(CONCATENATE(Historic_BCast_BASE[[#This Row],[Broadcast Market]],Historic_BCast_BASE[[#This Row],[Broadcaster]]),Table1[[CC]:[Pay TV vs. Free-to-Air]],3,FALSE)</f>
        <v>Digital</v>
      </c>
      <c r="O497" s="133" t="str">
        <f>VLOOKUP(CONCATENATE(Historic_BCast_BASE[[#This Row],[Broadcast Market]],Historic_BCast_BASE[[#This Row],[Broadcaster]]),Table1[[CC]:[Pay TV vs. Free-to-Air]],2,FALSE)</f>
        <v>-</v>
      </c>
      <c r="P497" s="235">
        <f>Historic_BCast_BASE[[#This Row],[Rolex EXP]]*86400</f>
        <v>4956.1044909615548</v>
      </c>
      <c r="Q497" s="19" t="str">
        <f>IF(Historic_BCast_BASE[[#This Row],[Dashboard Rated?]]="No","N","Y")</f>
        <v>Y</v>
      </c>
      <c r="S497" s="22"/>
    </row>
    <row r="498" spans="1:19" x14ac:dyDescent="0.25">
      <c r="A498" s="72" t="s">
        <v>1869</v>
      </c>
      <c r="B498" t="s">
        <v>45</v>
      </c>
      <c r="C498" t="s">
        <v>45</v>
      </c>
      <c r="D498" t="s">
        <v>45</v>
      </c>
      <c r="E498" s="102">
        <v>5.8221643518518507</v>
      </c>
      <c r="F498" s="101">
        <v>440240.02870140597</v>
      </c>
      <c r="G498" s="102">
        <v>0.56096087892382207</v>
      </c>
      <c r="H498" s="101">
        <v>181238.87518788112</v>
      </c>
      <c r="I498" s="101">
        <v>53916.29480891399</v>
      </c>
      <c r="J498" s="160"/>
      <c r="K498" t="str">
        <f>VLOOKUP(Historic_BCast_BASE[[#This Row],[Broadcast Market]],Continent_Look_Up[],2,FALSE)</f>
        <v>Digital</v>
      </c>
      <c r="L498" s="132" t="str">
        <f>IF(OR(Historic_BCast_BASE[[#This Row],[Broadcast Continent]]="Digital",Historic_BCast_BASE[[#This Row],[Programme Type]]="Digital"),"Y","N")</f>
        <v>Y</v>
      </c>
      <c r="M498" s="132" t="str">
        <f>IF(ISNUMBER(SEARCH("Pan ",Historic_BCast_BASE[[#This Row],[Broadcast Market]]))=TRUE,"Y","N")</f>
        <v>N</v>
      </c>
      <c r="N498" s="132" t="str">
        <f>VLOOKUP(CONCATENATE(Historic_BCast_BASE[[#This Row],[Broadcast Market]],Historic_BCast_BASE[[#This Row],[Broadcaster]]),Table1[[CC]:[Pay TV vs. Free-to-Air]],3,FALSE)</f>
        <v>Digital</v>
      </c>
      <c r="O498" s="133" t="str">
        <f>VLOOKUP(CONCATENATE(Historic_BCast_BASE[[#This Row],[Broadcast Market]],Historic_BCast_BASE[[#This Row],[Broadcaster]]),Table1[[CC]:[Pay TV vs. Free-to-Air]],2,FALSE)</f>
        <v>-</v>
      </c>
      <c r="P498" s="235">
        <f>Historic_BCast_BASE[[#This Row],[Rolex EXP]]*86400</f>
        <v>48467.019939018224</v>
      </c>
      <c r="Q498" s="19" t="str">
        <f>IF(Historic_BCast_BASE[[#This Row],[Dashboard Rated?]]="No","N","Y")</f>
        <v>Y</v>
      </c>
      <c r="S498" s="22"/>
    </row>
    <row r="499" spans="1:19" x14ac:dyDescent="0.25">
      <c r="A499" s="72" t="s">
        <v>1869</v>
      </c>
      <c r="B499" t="s">
        <v>45</v>
      </c>
      <c r="C499" t="s">
        <v>45</v>
      </c>
      <c r="D499" t="s">
        <v>45</v>
      </c>
      <c r="E499" s="102">
        <v>2.052835648148148</v>
      </c>
      <c r="F499" s="101">
        <v>80453.864011926707</v>
      </c>
      <c r="G499" s="102">
        <v>0.16543182248450664</v>
      </c>
      <c r="H499" s="101">
        <v>10378.394577201809</v>
      </c>
      <c r="I499" s="101">
        <v>3121.1862869092988</v>
      </c>
      <c r="J499" s="160"/>
      <c r="K499" t="str">
        <f>VLOOKUP(Historic_BCast_BASE[[#This Row],[Broadcast Market]],Continent_Look_Up[],2,FALSE)</f>
        <v>Digital</v>
      </c>
      <c r="L499" s="132" t="str">
        <f>IF(OR(Historic_BCast_BASE[[#This Row],[Broadcast Continent]]="Digital",Historic_BCast_BASE[[#This Row],[Programme Type]]="Digital"),"Y","N")</f>
        <v>Y</v>
      </c>
      <c r="M499" s="132" t="str">
        <f>IF(ISNUMBER(SEARCH("Pan ",Historic_BCast_BASE[[#This Row],[Broadcast Market]]))=TRUE,"Y","N")</f>
        <v>N</v>
      </c>
      <c r="N499" s="132" t="str">
        <f>VLOOKUP(CONCATENATE(Historic_BCast_BASE[[#This Row],[Broadcast Market]],Historic_BCast_BASE[[#This Row],[Broadcaster]]),Table1[[CC]:[Pay TV vs. Free-to-Air]],3,FALSE)</f>
        <v>Digital</v>
      </c>
      <c r="O499" s="133" t="str">
        <f>VLOOKUP(CONCATENATE(Historic_BCast_BASE[[#This Row],[Broadcast Market]],Historic_BCast_BASE[[#This Row],[Broadcaster]]),Table1[[CC]:[Pay TV vs. Free-to-Air]],2,FALSE)</f>
        <v>-</v>
      </c>
      <c r="P499" s="235">
        <f>Historic_BCast_BASE[[#This Row],[Rolex EXP]]*86400</f>
        <v>14293.309462661373</v>
      </c>
      <c r="Q499" s="19" t="str">
        <f>IF(Historic_BCast_BASE[[#This Row],[Dashboard Rated?]]="No","N","Y")</f>
        <v>Y</v>
      </c>
      <c r="S499" s="22"/>
    </row>
    <row r="500" spans="1:19" x14ac:dyDescent="0.25">
      <c r="A500" s="72" t="s">
        <v>1869</v>
      </c>
      <c r="B500" t="s">
        <v>45</v>
      </c>
      <c r="C500" t="s">
        <v>45</v>
      </c>
      <c r="D500" t="s">
        <v>45</v>
      </c>
      <c r="E500" s="102">
        <v>7.6909722222222227E-2</v>
      </c>
      <c r="F500" s="101">
        <v>844.80781251585597</v>
      </c>
      <c r="G500" s="102">
        <v>7.3480394450766784E-3</v>
      </c>
      <c r="H500" s="101">
        <v>123.54476303768102</v>
      </c>
      <c r="I500" s="101">
        <v>35.492093760799456</v>
      </c>
      <c r="J500" s="160"/>
      <c r="K500" t="str">
        <f>VLOOKUP(Historic_BCast_BASE[[#This Row],[Broadcast Market]],Continent_Look_Up[],2,FALSE)</f>
        <v>Digital</v>
      </c>
      <c r="L500" s="132" t="str">
        <f>IF(OR(Historic_BCast_BASE[[#This Row],[Broadcast Continent]]="Digital",Historic_BCast_BASE[[#This Row],[Programme Type]]="Digital"),"Y","N")</f>
        <v>Y</v>
      </c>
      <c r="M500" s="132" t="str">
        <f>IF(ISNUMBER(SEARCH("Pan ",Historic_BCast_BASE[[#This Row],[Broadcast Market]]))=TRUE,"Y","N")</f>
        <v>N</v>
      </c>
      <c r="N500" s="132" t="str">
        <f>VLOOKUP(CONCATENATE(Historic_BCast_BASE[[#This Row],[Broadcast Market]],Historic_BCast_BASE[[#This Row],[Broadcaster]]),Table1[[CC]:[Pay TV vs. Free-to-Air]],3,FALSE)</f>
        <v>Digital</v>
      </c>
      <c r="O500" s="133" t="str">
        <f>VLOOKUP(CONCATENATE(Historic_BCast_BASE[[#This Row],[Broadcast Market]],Historic_BCast_BASE[[#This Row],[Broadcaster]]),Table1[[CC]:[Pay TV vs. Free-to-Air]],2,FALSE)</f>
        <v>-</v>
      </c>
      <c r="P500" s="235">
        <f>Historic_BCast_BASE[[#This Row],[Rolex EXP]]*86400</f>
        <v>634.870608054625</v>
      </c>
      <c r="Q500" s="19" t="str">
        <f>IF(Historic_BCast_BASE[[#This Row],[Dashboard Rated?]]="No","N","Y")</f>
        <v>Y</v>
      </c>
      <c r="S500" s="22"/>
    </row>
    <row r="501" spans="1:19" x14ac:dyDescent="0.25">
      <c r="A501" s="72" t="s">
        <v>1869</v>
      </c>
      <c r="B501" t="s">
        <v>45</v>
      </c>
      <c r="C501" t="s">
        <v>45</v>
      </c>
      <c r="D501" t="s">
        <v>45</v>
      </c>
      <c r="E501" s="102">
        <v>2.7807291666666667</v>
      </c>
      <c r="F501" s="101">
        <v>54103.495583875439</v>
      </c>
      <c r="G501" s="102">
        <v>0.32527002824413848</v>
      </c>
      <c r="H501" s="101">
        <v>20496.061275620195</v>
      </c>
      <c r="I501" s="101">
        <v>6122.6603572630956</v>
      </c>
      <c r="J501" s="160"/>
      <c r="K501" t="str">
        <f>VLOOKUP(Historic_BCast_BASE[[#This Row],[Broadcast Market]],Continent_Look_Up[],2,FALSE)</f>
        <v>Digital</v>
      </c>
      <c r="L501" s="132" t="str">
        <f>IF(OR(Historic_BCast_BASE[[#This Row],[Broadcast Continent]]="Digital",Historic_BCast_BASE[[#This Row],[Programme Type]]="Digital"),"Y","N")</f>
        <v>Y</v>
      </c>
      <c r="M501" s="132" t="str">
        <f>IF(ISNUMBER(SEARCH("Pan ",Historic_BCast_BASE[[#This Row],[Broadcast Market]]))=TRUE,"Y","N")</f>
        <v>N</v>
      </c>
      <c r="N501" s="132" t="str">
        <f>VLOOKUP(CONCATENATE(Historic_BCast_BASE[[#This Row],[Broadcast Market]],Historic_BCast_BASE[[#This Row],[Broadcaster]]),Table1[[CC]:[Pay TV vs. Free-to-Air]],3,FALSE)</f>
        <v>Digital</v>
      </c>
      <c r="O501" s="133" t="str">
        <f>VLOOKUP(CONCATENATE(Historic_BCast_BASE[[#This Row],[Broadcast Market]],Historic_BCast_BASE[[#This Row],[Broadcaster]]),Table1[[CC]:[Pay TV vs. Free-to-Air]],2,FALSE)</f>
        <v>-</v>
      </c>
      <c r="P501" s="235">
        <f>Historic_BCast_BASE[[#This Row],[Rolex EXP]]*86400</f>
        <v>28103.330440293565</v>
      </c>
      <c r="Q501" s="19" t="str">
        <f>IF(Historic_BCast_BASE[[#This Row],[Dashboard Rated?]]="No","N","Y")</f>
        <v>Y</v>
      </c>
      <c r="S501" s="22"/>
    </row>
    <row r="502" spans="1:19" x14ac:dyDescent="0.25">
      <c r="A502" s="72" t="s">
        <v>1869</v>
      </c>
      <c r="B502" t="s">
        <v>45</v>
      </c>
      <c r="C502" t="s">
        <v>45</v>
      </c>
      <c r="D502" t="s">
        <v>45</v>
      </c>
      <c r="E502" s="102">
        <v>4.0528819444444446</v>
      </c>
      <c r="F502" s="101">
        <v>81890.037293203641</v>
      </c>
      <c r="G502" s="102">
        <v>0.38564146452521703</v>
      </c>
      <c r="H502" s="101">
        <v>17889.390958206786</v>
      </c>
      <c r="I502" s="101">
        <v>5303.6281071202811</v>
      </c>
      <c r="J502" s="160"/>
      <c r="K502" t="str">
        <f>VLOOKUP(Historic_BCast_BASE[[#This Row],[Broadcast Market]],Continent_Look_Up[],2,FALSE)</f>
        <v>Digital</v>
      </c>
      <c r="L502" s="132" t="str">
        <f>IF(OR(Historic_BCast_BASE[[#This Row],[Broadcast Continent]]="Digital",Historic_BCast_BASE[[#This Row],[Programme Type]]="Digital"),"Y","N")</f>
        <v>Y</v>
      </c>
      <c r="M502" s="132" t="str">
        <f>IF(ISNUMBER(SEARCH("Pan ",Historic_BCast_BASE[[#This Row],[Broadcast Market]]))=TRUE,"Y","N")</f>
        <v>N</v>
      </c>
      <c r="N502" s="132" t="str">
        <f>VLOOKUP(CONCATENATE(Historic_BCast_BASE[[#This Row],[Broadcast Market]],Historic_BCast_BASE[[#This Row],[Broadcaster]]),Table1[[CC]:[Pay TV vs. Free-to-Air]],3,FALSE)</f>
        <v>Digital</v>
      </c>
      <c r="O502" s="133" t="str">
        <f>VLOOKUP(CONCATENATE(Historic_BCast_BASE[[#This Row],[Broadcast Market]],Historic_BCast_BASE[[#This Row],[Broadcaster]]),Table1[[CC]:[Pay TV vs. Free-to-Air]],2,FALSE)</f>
        <v>-</v>
      </c>
      <c r="P502" s="235">
        <f>Historic_BCast_BASE[[#This Row],[Rolex EXP]]*86400</f>
        <v>33319.422534978752</v>
      </c>
      <c r="Q502" s="19" t="str">
        <f>IF(Historic_BCast_BASE[[#This Row],[Dashboard Rated?]]="No","N","Y")</f>
        <v>Y</v>
      </c>
      <c r="S502" s="22"/>
    </row>
    <row r="503" spans="1:19" x14ac:dyDescent="0.25">
      <c r="A503" s="72" t="s">
        <v>1869</v>
      </c>
      <c r="B503" t="s">
        <v>45</v>
      </c>
      <c r="C503" t="s">
        <v>45</v>
      </c>
      <c r="D503" t="s">
        <v>45</v>
      </c>
      <c r="E503" s="102">
        <v>1.5186805555555558</v>
      </c>
      <c r="F503" s="101">
        <v>37171.543750697652</v>
      </c>
      <c r="G503" s="102">
        <v>0.13950051815626721</v>
      </c>
      <c r="H503" s="101">
        <v>4150.0418177427646</v>
      </c>
      <c r="I503" s="101">
        <v>1262.0103357231092</v>
      </c>
      <c r="J503" s="160"/>
      <c r="K503" t="str">
        <f>VLOOKUP(Historic_BCast_BASE[[#This Row],[Broadcast Market]],Continent_Look_Up[],2,FALSE)</f>
        <v>Digital</v>
      </c>
      <c r="L503" s="132" t="str">
        <f>IF(OR(Historic_BCast_BASE[[#This Row],[Broadcast Continent]]="Digital",Historic_BCast_BASE[[#This Row],[Programme Type]]="Digital"),"Y","N")</f>
        <v>Y</v>
      </c>
      <c r="M503" s="132" t="str">
        <f>IF(ISNUMBER(SEARCH("Pan ",Historic_BCast_BASE[[#This Row],[Broadcast Market]]))=TRUE,"Y","N")</f>
        <v>N</v>
      </c>
      <c r="N503" s="132" t="str">
        <f>VLOOKUP(CONCATENATE(Historic_BCast_BASE[[#This Row],[Broadcast Market]],Historic_BCast_BASE[[#This Row],[Broadcaster]]),Table1[[CC]:[Pay TV vs. Free-to-Air]],3,FALSE)</f>
        <v>Digital</v>
      </c>
      <c r="O503" s="133" t="str">
        <f>VLOOKUP(CONCATENATE(Historic_BCast_BASE[[#This Row],[Broadcast Market]],Historic_BCast_BASE[[#This Row],[Broadcaster]]),Table1[[CC]:[Pay TV vs. Free-to-Air]],2,FALSE)</f>
        <v>-</v>
      </c>
      <c r="P503" s="235">
        <f>Historic_BCast_BASE[[#This Row],[Rolex EXP]]*86400</f>
        <v>12052.844768701487</v>
      </c>
      <c r="Q503" s="19" t="str">
        <f>IF(Historic_BCast_BASE[[#This Row],[Dashboard Rated?]]="No","N","Y")</f>
        <v>Y</v>
      </c>
      <c r="S503" s="22"/>
    </row>
    <row r="504" spans="1:19" x14ac:dyDescent="0.25">
      <c r="A504" s="72" t="s">
        <v>1869</v>
      </c>
      <c r="B504" t="s">
        <v>45</v>
      </c>
      <c r="C504" t="s">
        <v>45</v>
      </c>
      <c r="D504" t="s">
        <v>45</v>
      </c>
      <c r="E504" s="102">
        <v>5.7985995370370373</v>
      </c>
      <c r="F504" s="101">
        <v>197530.24403703617</v>
      </c>
      <c r="G504" s="102">
        <v>0.543626179227927</v>
      </c>
      <c r="H504" s="101">
        <v>67258.002899177707</v>
      </c>
      <c r="I504" s="101">
        <v>20001.967639945768</v>
      </c>
      <c r="J504" s="160"/>
      <c r="K504" t="str">
        <f>VLOOKUP(Historic_BCast_BASE[[#This Row],[Broadcast Market]],Continent_Look_Up[],2,FALSE)</f>
        <v>Digital</v>
      </c>
      <c r="L504" s="132" t="str">
        <f>IF(OR(Historic_BCast_BASE[[#This Row],[Broadcast Continent]]="Digital",Historic_BCast_BASE[[#This Row],[Programme Type]]="Digital"),"Y","N")</f>
        <v>Y</v>
      </c>
      <c r="M504" s="132" t="str">
        <f>IF(ISNUMBER(SEARCH("Pan ",Historic_BCast_BASE[[#This Row],[Broadcast Market]]))=TRUE,"Y","N")</f>
        <v>N</v>
      </c>
      <c r="N504" s="132" t="str">
        <f>VLOOKUP(CONCATENATE(Historic_BCast_BASE[[#This Row],[Broadcast Market]],Historic_BCast_BASE[[#This Row],[Broadcaster]]),Table1[[CC]:[Pay TV vs. Free-to-Air]],3,FALSE)</f>
        <v>Digital</v>
      </c>
      <c r="O504" s="133" t="str">
        <f>VLOOKUP(CONCATENATE(Historic_BCast_BASE[[#This Row],[Broadcast Market]],Historic_BCast_BASE[[#This Row],[Broadcaster]]),Table1[[CC]:[Pay TV vs. Free-to-Air]],2,FALSE)</f>
        <v>-</v>
      </c>
      <c r="P504" s="235">
        <f>Historic_BCast_BASE[[#This Row],[Rolex EXP]]*86400</f>
        <v>46969.301885292894</v>
      </c>
      <c r="Q504" s="19" t="str">
        <f>IF(Historic_BCast_BASE[[#This Row],[Dashboard Rated?]]="No","N","Y")</f>
        <v>Y</v>
      </c>
      <c r="S504" s="22"/>
    </row>
    <row r="505" spans="1:19" x14ac:dyDescent="0.25">
      <c r="A505" s="72" t="s">
        <v>1869</v>
      </c>
      <c r="B505" t="s">
        <v>45</v>
      </c>
      <c r="C505" t="s">
        <v>45</v>
      </c>
      <c r="D505" t="s">
        <v>45</v>
      </c>
      <c r="E505" s="102">
        <v>0.92519675925925926</v>
      </c>
      <c r="F505" s="101">
        <v>7321.6677084707499</v>
      </c>
      <c r="G505" s="102">
        <v>6.3053808264102104E-2</v>
      </c>
      <c r="H505" s="101">
        <v>1201.5398867018384</v>
      </c>
      <c r="I505" s="101">
        <v>334.42007901666614</v>
      </c>
      <c r="J505" s="160"/>
      <c r="K505" t="str">
        <f>VLOOKUP(Historic_BCast_BASE[[#This Row],[Broadcast Market]],Continent_Look_Up[],2,FALSE)</f>
        <v>Digital</v>
      </c>
      <c r="L505" s="132" t="str">
        <f>IF(OR(Historic_BCast_BASE[[#This Row],[Broadcast Continent]]="Digital",Historic_BCast_BASE[[#This Row],[Programme Type]]="Digital"),"Y","N")</f>
        <v>Y</v>
      </c>
      <c r="M505" s="132" t="str">
        <f>IF(ISNUMBER(SEARCH("Pan ",Historic_BCast_BASE[[#This Row],[Broadcast Market]]))=TRUE,"Y","N")</f>
        <v>N</v>
      </c>
      <c r="N505" s="132" t="str">
        <f>VLOOKUP(CONCATENATE(Historic_BCast_BASE[[#This Row],[Broadcast Market]],Historic_BCast_BASE[[#This Row],[Broadcaster]]),Table1[[CC]:[Pay TV vs. Free-to-Air]],3,FALSE)</f>
        <v>Digital</v>
      </c>
      <c r="O505" s="133" t="str">
        <f>VLOOKUP(CONCATENATE(Historic_BCast_BASE[[#This Row],[Broadcast Market]],Historic_BCast_BASE[[#This Row],[Broadcaster]]),Table1[[CC]:[Pay TV vs. Free-to-Air]],2,FALSE)</f>
        <v>-</v>
      </c>
      <c r="P505" s="235">
        <f>Historic_BCast_BASE[[#This Row],[Rolex EXP]]*86400</f>
        <v>5447.8490340184217</v>
      </c>
      <c r="Q505" s="19" t="str">
        <f>IF(Historic_BCast_BASE[[#This Row],[Dashboard Rated?]]="No","N","Y")</f>
        <v>Y</v>
      </c>
      <c r="S505" s="22"/>
    </row>
    <row r="506" spans="1:19" x14ac:dyDescent="0.25">
      <c r="A506" s="72" t="s">
        <v>1869</v>
      </c>
      <c r="B506" t="s">
        <v>45</v>
      </c>
      <c r="C506" t="s">
        <v>45</v>
      </c>
      <c r="D506" t="s">
        <v>45</v>
      </c>
      <c r="E506" s="102">
        <v>1.0657407407407409</v>
      </c>
      <c r="F506" s="101">
        <v>31257.889063086688</v>
      </c>
      <c r="G506" s="102">
        <v>0.10713181347927275</v>
      </c>
      <c r="H506" s="101">
        <v>4506.4609337657157</v>
      </c>
      <c r="I506" s="101">
        <v>1371.1308313103134</v>
      </c>
      <c r="J506" s="160"/>
      <c r="K506" t="str">
        <f>VLOOKUP(Historic_BCast_BASE[[#This Row],[Broadcast Market]],Continent_Look_Up[],2,FALSE)</f>
        <v>Digital</v>
      </c>
      <c r="L506" s="132" t="str">
        <f>IF(OR(Historic_BCast_BASE[[#This Row],[Broadcast Continent]]="Digital",Historic_BCast_BASE[[#This Row],[Programme Type]]="Digital"),"Y","N")</f>
        <v>Y</v>
      </c>
      <c r="M506" s="132" t="str">
        <f>IF(ISNUMBER(SEARCH("Pan ",Historic_BCast_BASE[[#This Row],[Broadcast Market]]))=TRUE,"Y","N")</f>
        <v>N</v>
      </c>
      <c r="N506" s="132" t="str">
        <f>VLOOKUP(CONCATENATE(Historic_BCast_BASE[[#This Row],[Broadcast Market]],Historic_BCast_BASE[[#This Row],[Broadcaster]]),Table1[[CC]:[Pay TV vs. Free-to-Air]],3,FALSE)</f>
        <v>Digital</v>
      </c>
      <c r="O506" s="133" t="str">
        <f>VLOOKUP(CONCATENATE(Historic_BCast_BASE[[#This Row],[Broadcast Market]],Historic_BCast_BASE[[#This Row],[Broadcaster]]),Table1[[CC]:[Pay TV vs. Free-to-Air]],2,FALSE)</f>
        <v>-</v>
      </c>
      <c r="P506" s="235">
        <f>Historic_BCast_BASE[[#This Row],[Rolex EXP]]*86400</f>
        <v>9256.1886846091656</v>
      </c>
      <c r="Q506" s="19" t="str">
        <f>IF(Historic_BCast_BASE[[#This Row],[Dashboard Rated?]]="No","N","Y")</f>
        <v>Y</v>
      </c>
      <c r="S506" s="22"/>
    </row>
    <row r="507" spans="1:19" x14ac:dyDescent="0.25">
      <c r="A507" s="72" t="s">
        <v>1869</v>
      </c>
      <c r="B507" t="s">
        <v>45</v>
      </c>
      <c r="C507" t="s">
        <v>45</v>
      </c>
      <c r="D507" t="s">
        <v>45</v>
      </c>
      <c r="E507" s="102">
        <v>3.0506481481481482</v>
      </c>
      <c r="F507" s="101">
        <v>132448.19582311047</v>
      </c>
      <c r="G507" s="102">
        <v>0.35781344462885029</v>
      </c>
      <c r="H507" s="101">
        <v>36991.845136554148</v>
      </c>
      <c r="I507" s="101">
        <v>10537.207001489242</v>
      </c>
      <c r="J507" s="160"/>
      <c r="K507" t="str">
        <f>VLOOKUP(Historic_BCast_BASE[[#This Row],[Broadcast Market]],Continent_Look_Up[],2,FALSE)</f>
        <v>Digital</v>
      </c>
      <c r="L507" s="132" t="str">
        <f>IF(OR(Historic_BCast_BASE[[#This Row],[Broadcast Continent]]="Digital",Historic_BCast_BASE[[#This Row],[Programme Type]]="Digital"),"Y","N")</f>
        <v>Y</v>
      </c>
      <c r="M507" s="132" t="str">
        <f>IF(ISNUMBER(SEARCH("Pan ",Historic_BCast_BASE[[#This Row],[Broadcast Market]]))=TRUE,"Y","N")</f>
        <v>N</v>
      </c>
      <c r="N507" s="132" t="str">
        <f>VLOOKUP(CONCATENATE(Historic_BCast_BASE[[#This Row],[Broadcast Market]],Historic_BCast_BASE[[#This Row],[Broadcaster]]),Table1[[CC]:[Pay TV vs. Free-to-Air]],3,FALSE)</f>
        <v>Digital</v>
      </c>
      <c r="O507" s="133" t="str">
        <f>VLOOKUP(CONCATENATE(Historic_BCast_BASE[[#This Row],[Broadcast Market]],Historic_BCast_BASE[[#This Row],[Broadcaster]]),Table1[[CC]:[Pay TV vs. Free-to-Air]],2,FALSE)</f>
        <v>-</v>
      </c>
      <c r="P507" s="235">
        <f>Historic_BCast_BASE[[#This Row],[Rolex EXP]]*86400</f>
        <v>30915.081615932664</v>
      </c>
      <c r="Q507" s="19" t="str">
        <f>IF(Historic_BCast_BASE[[#This Row],[Dashboard Rated?]]="No","N","Y")</f>
        <v>Y</v>
      </c>
      <c r="S507" s="22"/>
    </row>
    <row r="508" spans="1:19" x14ac:dyDescent="0.25">
      <c r="A508" s="72" t="s">
        <v>1869</v>
      </c>
      <c r="B508" t="s">
        <v>45</v>
      </c>
      <c r="C508" t="s">
        <v>45</v>
      </c>
      <c r="D508" t="s">
        <v>45</v>
      </c>
      <c r="E508" s="102">
        <v>2.5350925925925925</v>
      </c>
      <c r="F508" s="101">
        <v>35059.524219408027</v>
      </c>
      <c r="G508" s="102">
        <v>0.23658934051131941</v>
      </c>
      <c r="H508" s="101">
        <v>7565.8349822477094</v>
      </c>
      <c r="I508" s="101">
        <v>2225.0607797830739</v>
      </c>
      <c r="J508" s="160"/>
      <c r="K508" t="str">
        <f>VLOOKUP(Historic_BCast_BASE[[#This Row],[Broadcast Market]],Continent_Look_Up[],2,FALSE)</f>
        <v>Digital</v>
      </c>
      <c r="L508" s="132" t="str">
        <f>IF(OR(Historic_BCast_BASE[[#This Row],[Broadcast Continent]]="Digital",Historic_BCast_BASE[[#This Row],[Programme Type]]="Digital"),"Y","N")</f>
        <v>Y</v>
      </c>
      <c r="M508" s="132" t="str">
        <f>IF(ISNUMBER(SEARCH("Pan ",Historic_BCast_BASE[[#This Row],[Broadcast Market]]))=TRUE,"Y","N")</f>
        <v>N</v>
      </c>
      <c r="N508" s="132" t="str">
        <f>VLOOKUP(CONCATENATE(Historic_BCast_BASE[[#This Row],[Broadcast Market]],Historic_BCast_BASE[[#This Row],[Broadcaster]]),Table1[[CC]:[Pay TV vs. Free-to-Air]],3,FALSE)</f>
        <v>Digital</v>
      </c>
      <c r="O508" s="133" t="str">
        <f>VLOOKUP(CONCATENATE(Historic_BCast_BASE[[#This Row],[Broadcast Market]],Historic_BCast_BASE[[#This Row],[Broadcaster]]),Table1[[CC]:[Pay TV vs. Free-to-Air]],2,FALSE)</f>
        <v>-</v>
      </c>
      <c r="P508" s="235">
        <f>Historic_BCast_BASE[[#This Row],[Rolex EXP]]*86400</f>
        <v>20441.319020177998</v>
      </c>
      <c r="Q508" s="19" t="str">
        <f>IF(Historic_BCast_BASE[[#This Row],[Dashboard Rated?]]="No","N","Y")</f>
        <v>Y</v>
      </c>
      <c r="S508" s="22"/>
    </row>
    <row r="509" spans="1:19" x14ac:dyDescent="0.25">
      <c r="A509" s="72" t="s">
        <v>1869</v>
      </c>
      <c r="B509" t="s">
        <v>45</v>
      </c>
      <c r="C509" t="s">
        <v>45</v>
      </c>
      <c r="D509" t="s">
        <v>45</v>
      </c>
      <c r="E509" s="102">
        <v>0.12983796296296296</v>
      </c>
      <c r="F509" s="101">
        <v>19113.694929476002</v>
      </c>
      <c r="G509" s="102">
        <v>1.0428101769989815E-2</v>
      </c>
      <c r="H509" s="101">
        <v>7933.4840744470757</v>
      </c>
      <c r="I509" s="101">
        <v>2601.9593687772581</v>
      </c>
      <c r="J509" s="160"/>
      <c r="K509" t="str">
        <f>VLOOKUP(Historic_BCast_BASE[[#This Row],[Broadcast Market]],Continent_Look_Up[],2,FALSE)</f>
        <v>Digital</v>
      </c>
      <c r="L509" s="132" t="str">
        <f>IF(OR(Historic_BCast_BASE[[#This Row],[Broadcast Continent]]="Digital",Historic_BCast_BASE[[#This Row],[Programme Type]]="Digital"),"Y","N")</f>
        <v>Y</v>
      </c>
      <c r="M509" s="132" t="str">
        <f>IF(ISNUMBER(SEARCH("Pan ",Historic_BCast_BASE[[#This Row],[Broadcast Market]]))=TRUE,"Y","N")</f>
        <v>N</v>
      </c>
      <c r="N509" s="132" t="str">
        <f>VLOOKUP(CONCATENATE(Historic_BCast_BASE[[#This Row],[Broadcast Market]],Historic_BCast_BASE[[#This Row],[Broadcaster]]),Table1[[CC]:[Pay TV vs. Free-to-Air]],3,FALSE)</f>
        <v>Digital</v>
      </c>
      <c r="O509" s="133" t="str">
        <f>VLOOKUP(CONCATENATE(Historic_BCast_BASE[[#This Row],[Broadcast Market]],Historic_BCast_BASE[[#This Row],[Broadcaster]]),Table1[[CC]:[Pay TV vs. Free-to-Air]],2,FALSE)</f>
        <v>-</v>
      </c>
      <c r="P509" s="235">
        <f>Historic_BCast_BASE[[#This Row],[Rolex EXP]]*86400</f>
        <v>900.98799292711999</v>
      </c>
      <c r="Q509" s="19" t="str">
        <f>IF(Historic_BCast_BASE[[#This Row],[Dashboard Rated?]]="No","N","Y")</f>
        <v>Y</v>
      </c>
      <c r="S509" s="22"/>
    </row>
    <row r="510" spans="1:19" x14ac:dyDescent="0.25">
      <c r="A510" s="72" t="s">
        <v>1869</v>
      </c>
      <c r="B510" t="s">
        <v>45</v>
      </c>
      <c r="C510" t="s">
        <v>45</v>
      </c>
      <c r="D510" t="s">
        <v>45</v>
      </c>
      <c r="E510" s="102">
        <v>2.625</v>
      </c>
      <c r="F510" s="101">
        <v>17194.571486618039</v>
      </c>
      <c r="G510" s="102">
        <v>0.25079538692902764</v>
      </c>
      <c r="H510" s="101">
        <v>2118.2313018795512</v>
      </c>
      <c r="I510" s="101">
        <v>608.52813283910132</v>
      </c>
      <c r="J510" s="160"/>
      <c r="K510" t="str">
        <f>VLOOKUP(Historic_BCast_BASE[[#This Row],[Broadcast Market]],Continent_Look_Up[],2,FALSE)</f>
        <v>Digital</v>
      </c>
      <c r="L510" s="132" t="str">
        <f>IF(OR(Historic_BCast_BASE[[#This Row],[Broadcast Continent]]="Digital",Historic_BCast_BASE[[#This Row],[Programme Type]]="Digital"),"Y","N")</f>
        <v>Y</v>
      </c>
      <c r="M510" s="132" t="str">
        <f>IF(ISNUMBER(SEARCH("Pan ",Historic_BCast_BASE[[#This Row],[Broadcast Market]]))=TRUE,"Y","N")</f>
        <v>N</v>
      </c>
      <c r="N510" s="132" t="str">
        <f>VLOOKUP(CONCATENATE(Historic_BCast_BASE[[#This Row],[Broadcast Market]],Historic_BCast_BASE[[#This Row],[Broadcaster]]),Table1[[CC]:[Pay TV vs. Free-to-Air]],3,FALSE)</f>
        <v>Digital</v>
      </c>
      <c r="O510" s="133" t="str">
        <f>VLOOKUP(CONCATENATE(Historic_BCast_BASE[[#This Row],[Broadcast Market]],Historic_BCast_BASE[[#This Row],[Broadcaster]]),Table1[[CC]:[Pay TV vs. Free-to-Air]],2,FALSE)</f>
        <v>-</v>
      </c>
      <c r="P510" s="235">
        <f>Historic_BCast_BASE[[#This Row],[Rolex EXP]]*86400</f>
        <v>21668.721430667989</v>
      </c>
      <c r="Q510" s="19" t="str">
        <f>IF(Historic_BCast_BASE[[#This Row],[Dashboard Rated?]]="No","N","Y")</f>
        <v>Y</v>
      </c>
      <c r="S510" s="22"/>
    </row>
    <row r="511" spans="1:19" x14ac:dyDescent="0.25">
      <c r="A511" s="72" t="s">
        <v>1869</v>
      </c>
      <c r="B511" t="s">
        <v>45</v>
      </c>
      <c r="C511" t="s">
        <v>45</v>
      </c>
      <c r="D511" t="s">
        <v>45</v>
      </c>
      <c r="E511" s="102">
        <v>6.3263888888888893</v>
      </c>
      <c r="F511" s="101">
        <v>10693.418450560133</v>
      </c>
      <c r="G511" s="102">
        <v>0.60249382571817767</v>
      </c>
      <c r="H511" s="101">
        <v>12821.924349266425</v>
      </c>
      <c r="I511" s="101">
        <v>3688.1404098511589</v>
      </c>
      <c r="J511" s="160"/>
      <c r="K511" t="str">
        <f>VLOOKUP(Historic_BCast_BASE[[#This Row],[Broadcast Market]],Continent_Look_Up[],2,FALSE)</f>
        <v>Digital</v>
      </c>
      <c r="L511" s="132" t="str">
        <f>IF(OR(Historic_BCast_BASE[[#This Row],[Broadcast Continent]]="Digital",Historic_BCast_BASE[[#This Row],[Programme Type]]="Digital"),"Y","N")</f>
        <v>Y</v>
      </c>
      <c r="M511" s="132" t="str">
        <f>IF(ISNUMBER(SEARCH("Pan ",Historic_BCast_BASE[[#This Row],[Broadcast Market]]))=TRUE,"Y","N")</f>
        <v>N</v>
      </c>
      <c r="N511" s="132" t="str">
        <f>VLOOKUP(CONCATENATE(Historic_BCast_BASE[[#This Row],[Broadcast Market]],Historic_BCast_BASE[[#This Row],[Broadcaster]]),Table1[[CC]:[Pay TV vs. Free-to-Air]],3,FALSE)</f>
        <v>Digital</v>
      </c>
      <c r="O511" s="133" t="str">
        <f>VLOOKUP(CONCATENATE(Historic_BCast_BASE[[#This Row],[Broadcast Market]],Historic_BCast_BASE[[#This Row],[Broadcaster]]),Table1[[CC]:[Pay TV vs. Free-to-Air]],2,FALSE)</f>
        <v>-</v>
      </c>
      <c r="P511" s="235">
        <f>Historic_BCast_BASE[[#This Row],[Rolex EXP]]*86400</f>
        <v>52055.466542050548</v>
      </c>
      <c r="Q511" s="19" t="str">
        <f>IF(Historic_BCast_BASE[[#This Row],[Dashboard Rated?]]="No","N","Y")</f>
        <v>Y</v>
      </c>
      <c r="S511" s="22"/>
    </row>
    <row r="512" spans="1:19" x14ac:dyDescent="0.25">
      <c r="A512" s="72" t="s">
        <v>1869</v>
      </c>
      <c r="B512" t="s">
        <v>45</v>
      </c>
      <c r="C512" t="s">
        <v>45</v>
      </c>
      <c r="D512" t="s">
        <v>45</v>
      </c>
      <c r="E512" s="102">
        <v>0.58333333333333337</v>
      </c>
      <c r="F512" s="101">
        <v>5304.753981529796</v>
      </c>
      <c r="G512" s="102">
        <v>5.573230820645067E-2</v>
      </c>
      <c r="H512" s="101">
        <v>743.19620927536937</v>
      </c>
      <c r="I512" s="101">
        <v>213.50633481912146</v>
      </c>
      <c r="J512" s="160"/>
      <c r="K512" t="str">
        <f>VLOOKUP(Historic_BCast_BASE[[#This Row],[Broadcast Market]],Continent_Look_Up[],2,FALSE)</f>
        <v>Digital</v>
      </c>
      <c r="L512" s="132" t="str">
        <f>IF(OR(Historic_BCast_BASE[[#This Row],[Broadcast Continent]]="Digital",Historic_BCast_BASE[[#This Row],[Programme Type]]="Digital"),"Y","N")</f>
        <v>Y</v>
      </c>
      <c r="M512" s="132" t="str">
        <f>IF(ISNUMBER(SEARCH("Pan ",Historic_BCast_BASE[[#This Row],[Broadcast Market]]))=TRUE,"Y","N")</f>
        <v>N</v>
      </c>
      <c r="N512" s="132" t="str">
        <f>VLOOKUP(CONCATENATE(Historic_BCast_BASE[[#This Row],[Broadcast Market]],Historic_BCast_BASE[[#This Row],[Broadcaster]]),Table1[[CC]:[Pay TV vs. Free-to-Air]],3,FALSE)</f>
        <v>Digital</v>
      </c>
      <c r="O512" s="133" t="str">
        <f>VLOOKUP(CONCATENATE(Historic_BCast_BASE[[#This Row],[Broadcast Market]],Historic_BCast_BASE[[#This Row],[Broadcaster]]),Table1[[CC]:[Pay TV vs. Free-to-Air]],2,FALSE)</f>
        <v>-</v>
      </c>
      <c r="P512" s="235">
        <f>Historic_BCast_BASE[[#This Row],[Rolex EXP]]*86400</f>
        <v>4815.2714290373378</v>
      </c>
      <c r="Q512" s="19" t="str">
        <f>IF(Historic_BCast_BASE[[#This Row],[Dashboard Rated?]]="No","N","Y")</f>
        <v>Y</v>
      </c>
      <c r="S512" s="22"/>
    </row>
    <row r="513" spans="1:19" x14ac:dyDescent="0.25">
      <c r="A513" s="72" t="s">
        <v>1869</v>
      </c>
      <c r="B513" t="s">
        <v>45</v>
      </c>
      <c r="C513" t="s">
        <v>45</v>
      </c>
      <c r="D513" t="s">
        <v>45</v>
      </c>
      <c r="E513" s="102">
        <v>2.8958333333333335</v>
      </c>
      <c r="F513" s="101">
        <v>5352.0187677083459</v>
      </c>
      <c r="G513" s="102">
        <v>0.27667110145345153</v>
      </c>
      <c r="H513" s="101">
        <v>8419.715752959979</v>
      </c>
      <c r="I513" s="101">
        <v>2418.826452823354</v>
      </c>
      <c r="J513" s="160"/>
      <c r="K513" t="str">
        <f>VLOOKUP(Historic_BCast_BASE[[#This Row],[Broadcast Market]],Continent_Look_Up[],2,FALSE)</f>
        <v>Digital</v>
      </c>
      <c r="L513" s="132" t="str">
        <f>IF(OR(Historic_BCast_BASE[[#This Row],[Broadcast Continent]]="Digital",Historic_BCast_BASE[[#This Row],[Programme Type]]="Digital"),"Y","N")</f>
        <v>Y</v>
      </c>
      <c r="M513" s="132" t="str">
        <f>IF(ISNUMBER(SEARCH("Pan ",Historic_BCast_BASE[[#This Row],[Broadcast Market]]))=TRUE,"Y","N")</f>
        <v>N</v>
      </c>
      <c r="N513" s="132" t="str">
        <f>VLOOKUP(CONCATENATE(Historic_BCast_BASE[[#This Row],[Broadcast Market]],Historic_BCast_BASE[[#This Row],[Broadcaster]]),Table1[[CC]:[Pay TV vs. Free-to-Air]],3,FALSE)</f>
        <v>Digital</v>
      </c>
      <c r="O513" s="133" t="str">
        <f>VLOOKUP(CONCATENATE(Historic_BCast_BASE[[#This Row],[Broadcast Market]],Historic_BCast_BASE[[#This Row],[Broadcaster]]),Table1[[CC]:[Pay TV vs. Free-to-Air]],2,FALSE)</f>
        <v>-</v>
      </c>
      <c r="P513" s="235">
        <f>Historic_BCast_BASE[[#This Row],[Rolex EXP]]*86400</f>
        <v>23904.383165578212</v>
      </c>
      <c r="Q513" s="19" t="str">
        <f>IF(Historic_BCast_BASE[[#This Row],[Dashboard Rated?]]="No","N","Y")</f>
        <v>Y</v>
      </c>
      <c r="S513" s="22"/>
    </row>
    <row r="514" spans="1:19" x14ac:dyDescent="0.25">
      <c r="A514" s="72" t="s">
        <v>1869</v>
      </c>
      <c r="B514" t="s">
        <v>45</v>
      </c>
      <c r="C514" t="s">
        <v>45</v>
      </c>
      <c r="D514" t="s">
        <v>45</v>
      </c>
      <c r="E514" s="102">
        <v>2.0833333333333332E-2</v>
      </c>
      <c r="F514" s="101">
        <v>614.34785975284206</v>
      </c>
      <c r="G514" s="102">
        <v>1.9904395788018095E-3</v>
      </c>
      <c r="H514" s="101">
        <v>48.671798207931509</v>
      </c>
      <c r="I514" s="101">
        <v>13.982494951855964</v>
      </c>
      <c r="J514" s="160"/>
      <c r="K514" t="str">
        <f>VLOOKUP(Historic_BCast_BASE[[#This Row],[Broadcast Market]],Continent_Look_Up[],2,FALSE)</f>
        <v>Digital</v>
      </c>
      <c r="L514" s="132" t="str">
        <f>IF(OR(Historic_BCast_BASE[[#This Row],[Broadcast Continent]]="Digital",Historic_BCast_BASE[[#This Row],[Programme Type]]="Digital"),"Y","N")</f>
        <v>Y</v>
      </c>
      <c r="M514" s="132" t="str">
        <f>IF(ISNUMBER(SEARCH("Pan ",Historic_BCast_BASE[[#This Row],[Broadcast Market]]))=TRUE,"Y","N")</f>
        <v>N</v>
      </c>
      <c r="N514" s="132" t="str">
        <f>VLOOKUP(CONCATENATE(Historic_BCast_BASE[[#This Row],[Broadcast Market]],Historic_BCast_BASE[[#This Row],[Broadcaster]]),Table1[[CC]:[Pay TV vs. Free-to-Air]],3,FALSE)</f>
        <v>Digital</v>
      </c>
      <c r="O514" s="133" t="str">
        <f>VLOOKUP(CONCATENATE(Historic_BCast_BASE[[#This Row],[Broadcast Market]],Historic_BCast_BASE[[#This Row],[Broadcaster]]),Table1[[CC]:[Pay TV vs. Free-to-Air]],2,FALSE)</f>
        <v>-</v>
      </c>
      <c r="P514" s="235">
        <f>Historic_BCast_BASE[[#This Row],[Rolex EXP]]*86400</f>
        <v>171.97397960847636</v>
      </c>
      <c r="Q514" s="19" t="str">
        <f>IF(Historic_BCast_BASE[[#This Row],[Dashboard Rated?]]="No","N","Y")</f>
        <v>Y</v>
      </c>
      <c r="S514" s="22"/>
    </row>
    <row r="515" spans="1:19" x14ac:dyDescent="0.25">
      <c r="A515" s="72" t="s">
        <v>1869</v>
      </c>
      <c r="B515" t="s">
        <v>45</v>
      </c>
      <c r="C515" t="s">
        <v>45</v>
      </c>
      <c r="D515" t="s">
        <v>45</v>
      </c>
      <c r="E515" s="102">
        <v>0.5</v>
      </c>
      <c r="F515" s="101">
        <v>764.57410967262092</v>
      </c>
      <c r="G515" s="102">
        <v>4.7770549891243429E-2</v>
      </c>
      <c r="H515" s="101">
        <v>1453.763871014673</v>
      </c>
      <c r="I515" s="101">
        <v>417.63909976806116</v>
      </c>
      <c r="J515" s="160"/>
      <c r="K515" t="str">
        <f>VLOOKUP(Historic_BCast_BASE[[#This Row],[Broadcast Market]],Continent_Look_Up[],2,FALSE)</f>
        <v>Digital</v>
      </c>
      <c r="L515" s="132" t="str">
        <f>IF(OR(Historic_BCast_BASE[[#This Row],[Broadcast Continent]]="Digital",Historic_BCast_BASE[[#This Row],[Programme Type]]="Digital"),"Y","N")</f>
        <v>Y</v>
      </c>
      <c r="M515" s="132" t="str">
        <f>IF(ISNUMBER(SEARCH("Pan ",Historic_BCast_BASE[[#This Row],[Broadcast Market]]))=TRUE,"Y","N")</f>
        <v>N</v>
      </c>
      <c r="N515" s="132" t="str">
        <f>VLOOKUP(CONCATENATE(Historic_BCast_BASE[[#This Row],[Broadcast Market]],Historic_BCast_BASE[[#This Row],[Broadcaster]]),Table1[[CC]:[Pay TV vs. Free-to-Air]],3,FALSE)</f>
        <v>Digital</v>
      </c>
      <c r="O515" s="133" t="str">
        <f>VLOOKUP(CONCATENATE(Historic_BCast_BASE[[#This Row],[Broadcast Market]],Historic_BCast_BASE[[#This Row],[Broadcaster]]),Table1[[CC]:[Pay TV vs. Free-to-Air]],2,FALSE)</f>
        <v>-</v>
      </c>
      <c r="P515" s="235">
        <f>Historic_BCast_BASE[[#This Row],[Rolex EXP]]*86400</f>
        <v>4127.3755106034323</v>
      </c>
      <c r="Q515" s="19" t="str">
        <f>IF(Historic_BCast_BASE[[#This Row],[Dashboard Rated?]]="No","N","Y")</f>
        <v>Y</v>
      </c>
      <c r="S515" s="22"/>
    </row>
    <row r="516" spans="1:19" x14ac:dyDescent="0.25">
      <c r="A516" s="72" t="s">
        <v>1869</v>
      </c>
      <c r="B516" t="s">
        <v>45</v>
      </c>
      <c r="C516" t="s">
        <v>45</v>
      </c>
      <c r="D516" t="s">
        <v>45</v>
      </c>
      <c r="E516" s="102">
        <v>0.59196759259259257</v>
      </c>
      <c r="F516" s="101">
        <v>2801.9459115109266</v>
      </c>
      <c r="G516" s="102">
        <v>5.6557234831887425E-2</v>
      </c>
      <c r="H516" s="101">
        <v>183.51468189797239</v>
      </c>
      <c r="I516" s="101">
        <v>52.720326918426849</v>
      </c>
      <c r="J516" s="160"/>
      <c r="K516" t="str">
        <f>VLOOKUP(Historic_BCast_BASE[[#This Row],[Broadcast Market]],Continent_Look_Up[],2,FALSE)</f>
        <v>Digital</v>
      </c>
      <c r="L516" s="132" t="str">
        <f>IF(OR(Historic_BCast_BASE[[#This Row],[Broadcast Continent]]="Digital",Historic_BCast_BASE[[#This Row],[Programme Type]]="Digital"),"Y","N")</f>
        <v>Y</v>
      </c>
      <c r="M516" s="132" t="str">
        <f>IF(ISNUMBER(SEARCH("Pan ",Historic_BCast_BASE[[#This Row],[Broadcast Market]]))=TRUE,"Y","N")</f>
        <v>N</v>
      </c>
      <c r="N516" s="132" t="str">
        <f>VLOOKUP(CONCATENATE(Historic_BCast_BASE[[#This Row],[Broadcast Market]],Historic_BCast_BASE[[#This Row],[Broadcaster]]),Table1[[CC]:[Pay TV vs. Free-to-Air]],3,FALSE)</f>
        <v>Digital</v>
      </c>
      <c r="O516" s="133" t="str">
        <f>VLOOKUP(CONCATENATE(Historic_BCast_BASE[[#This Row],[Broadcast Market]],Historic_BCast_BASE[[#This Row],[Broadcaster]]),Table1[[CC]:[Pay TV vs. Free-to-Air]],2,FALSE)</f>
        <v>-</v>
      </c>
      <c r="P516" s="235">
        <f>Historic_BCast_BASE[[#This Row],[Rolex EXP]]*86400</f>
        <v>4886.5450894750738</v>
      </c>
      <c r="Q516" s="19" t="str">
        <f>IF(Historic_BCast_BASE[[#This Row],[Dashboard Rated?]]="No","N","Y")</f>
        <v>Y</v>
      </c>
      <c r="S516" s="22"/>
    </row>
    <row r="517" spans="1:19" x14ac:dyDescent="0.25">
      <c r="A517" s="72" t="s">
        <v>1869</v>
      </c>
      <c r="B517" t="s">
        <v>45</v>
      </c>
      <c r="C517" t="s">
        <v>45</v>
      </c>
      <c r="D517" t="s">
        <v>45</v>
      </c>
      <c r="E517" s="102">
        <v>4.8731712962962961</v>
      </c>
      <c r="F517" s="101">
        <v>7246.7045143349023</v>
      </c>
      <c r="G517" s="102">
        <v>0.45954897261166977</v>
      </c>
      <c r="H517" s="101">
        <v>6812.1387900705895</v>
      </c>
      <c r="I517" s="101">
        <v>1955.9595639710765</v>
      </c>
      <c r="J517" s="160"/>
      <c r="K517" t="str">
        <f>VLOOKUP(Historic_BCast_BASE[[#This Row],[Broadcast Market]],Continent_Look_Up[],2,FALSE)</f>
        <v>Digital</v>
      </c>
      <c r="L517" s="132" t="str">
        <f>IF(OR(Historic_BCast_BASE[[#This Row],[Broadcast Continent]]="Digital",Historic_BCast_BASE[[#This Row],[Programme Type]]="Digital"),"Y","N")</f>
        <v>Y</v>
      </c>
      <c r="M517" s="132" t="str">
        <f>IF(ISNUMBER(SEARCH("Pan ",Historic_BCast_BASE[[#This Row],[Broadcast Market]]))=TRUE,"Y","N")</f>
        <v>N</v>
      </c>
      <c r="N517" s="132" t="str">
        <f>VLOOKUP(CONCATENATE(Historic_BCast_BASE[[#This Row],[Broadcast Market]],Historic_BCast_BASE[[#This Row],[Broadcaster]]),Table1[[CC]:[Pay TV vs. Free-to-Air]],3,FALSE)</f>
        <v>Digital</v>
      </c>
      <c r="O517" s="133" t="str">
        <f>VLOOKUP(CONCATENATE(Historic_BCast_BASE[[#This Row],[Broadcast Market]],Historic_BCast_BASE[[#This Row],[Broadcaster]]),Table1[[CC]:[Pay TV vs. Free-to-Air]],2,FALSE)</f>
        <v>-</v>
      </c>
      <c r="P517" s="235">
        <f>Historic_BCast_BASE[[#This Row],[Rolex EXP]]*86400</f>
        <v>39705.031233648268</v>
      </c>
      <c r="Q517" s="19" t="str">
        <f>IF(Historic_BCast_BASE[[#This Row],[Dashboard Rated?]]="No","N","Y")</f>
        <v>Y</v>
      </c>
      <c r="S517" s="22"/>
    </row>
    <row r="518" spans="1:19" x14ac:dyDescent="0.25">
      <c r="A518" s="72" t="s">
        <v>1869</v>
      </c>
      <c r="B518" t="s">
        <v>45</v>
      </c>
      <c r="C518" t="s">
        <v>45</v>
      </c>
      <c r="D518" t="s">
        <v>45</v>
      </c>
      <c r="E518" s="102">
        <v>9.2476851851851852E-3</v>
      </c>
      <c r="F518" s="101">
        <v>0</v>
      </c>
      <c r="G518" s="102">
        <v>8.8353401303480322E-4</v>
      </c>
      <c r="H518" s="101">
        <v>0</v>
      </c>
      <c r="I518" s="101">
        <v>0</v>
      </c>
      <c r="J518" s="160"/>
      <c r="K518" t="str">
        <f>VLOOKUP(Historic_BCast_BASE[[#This Row],[Broadcast Market]],Continent_Look_Up[],2,FALSE)</f>
        <v>Digital</v>
      </c>
      <c r="L518" s="132" t="str">
        <f>IF(OR(Historic_BCast_BASE[[#This Row],[Broadcast Continent]]="Digital",Historic_BCast_BASE[[#This Row],[Programme Type]]="Digital"),"Y","N")</f>
        <v>Y</v>
      </c>
      <c r="M518" s="132" t="str">
        <f>IF(ISNUMBER(SEARCH("Pan ",Historic_BCast_BASE[[#This Row],[Broadcast Market]]))=TRUE,"Y","N")</f>
        <v>N</v>
      </c>
      <c r="N518" s="132" t="str">
        <f>VLOOKUP(CONCATENATE(Historic_BCast_BASE[[#This Row],[Broadcast Market]],Historic_BCast_BASE[[#This Row],[Broadcaster]]),Table1[[CC]:[Pay TV vs. Free-to-Air]],3,FALSE)</f>
        <v>Digital</v>
      </c>
      <c r="O518" s="133" t="str">
        <f>VLOOKUP(CONCATENATE(Historic_BCast_BASE[[#This Row],[Broadcast Market]],Historic_BCast_BASE[[#This Row],[Broadcaster]]),Table1[[CC]:[Pay TV vs. Free-to-Air]],2,FALSE)</f>
        <v>-</v>
      </c>
      <c r="P518" s="235">
        <f>Historic_BCast_BASE[[#This Row],[Rolex EXP]]*86400</f>
        <v>76.337338726206994</v>
      </c>
      <c r="Q518" s="19" t="str">
        <f>IF(Historic_BCast_BASE[[#This Row],[Dashboard Rated?]]="No","N","Y")</f>
        <v>Y</v>
      </c>
      <c r="S518" s="22"/>
    </row>
    <row r="519" spans="1:19" x14ac:dyDescent="0.25">
      <c r="A519" s="72" t="s">
        <v>1869</v>
      </c>
      <c r="B519" t="s">
        <v>45</v>
      </c>
      <c r="C519" t="s">
        <v>45</v>
      </c>
      <c r="D519" t="s">
        <v>45</v>
      </c>
      <c r="E519" s="102">
        <v>5.6515740740740741</v>
      </c>
      <c r="F519" s="101">
        <v>57700.373594832941</v>
      </c>
      <c r="G519" s="102">
        <v>0.5399576025392272</v>
      </c>
      <c r="H519" s="101">
        <v>6065.4532414881551</v>
      </c>
      <c r="I519" s="101">
        <v>1742.4909794273005</v>
      </c>
      <c r="J519" s="160"/>
      <c r="K519" t="str">
        <f>VLOOKUP(Historic_BCast_BASE[[#This Row],[Broadcast Market]],Continent_Look_Up[],2,FALSE)</f>
        <v>Digital</v>
      </c>
      <c r="L519" s="132" t="str">
        <f>IF(OR(Historic_BCast_BASE[[#This Row],[Broadcast Continent]]="Digital",Historic_BCast_BASE[[#This Row],[Programme Type]]="Digital"),"Y","N")</f>
        <v>Y</v>
      </c>
      <c r="M519" s="132" t="str">
        <f>IF(ISNUMBER(SEARCH("Pan ",Historic_BCast_BASE[[#This Row],[Broadcast Market]]))=TRUE,"Y","N")</f>
        <v>N</v>
      </c>
      <c r="N519" s="132" t="str">
        <f>VLOOKUP(CONCATENATE(Historic_BCast_BASE[[#This Row],[Broadcast Market]],Historic_BCast_BASE[[#This Row],[Broadcaster]]),Table1[[CC]:[Pay TV vs. Free-to-Air]],3,FALSE)</f>
        <v>Digital</v>
      </c>
      <c r="O519" s="133" t="str">
        <f>VLOOKUP(CONCATENATE(Historic_BCast_BASE[[#This Row],[Broadcast Market]],Historic_BCast_BASE[[#This Row],[Broadcaster]]),Table1[[CC]:[Pay TV vs. Free-to-Air]],2,FALSE)</f>
        <v>-</v>
      </c>
      <c r="P519" s="235">
        <f>Historic_BCast_BASE[[#This Row],[Rolex EXP]]*86400</f>
        <v>46652.33685938923</v>
      </c>
      <c r="Q519" s="19" t="str">
        <f>IF(Historic_BCast_BASE[[#This Row],[Dashboard Rated?]]="No","N","Y")</f>
        <v>Y</v>
      </c>
      <c r="S519" s="22"/>
    </row>
    <row r="520" spans="1:19" x14ac:dyDescent="0.25">
      <c r="A520" s="72" t="s">
        <v>1869</v>
      </c>
      <c r="B520" t="s">
        <v>45</v>
      </c>
      <c r="C520" t="s">
        <v>45</v>
      </c>
      <c r="D520" t="s">
        <v>45</v>
      </c>
      <c r="E520" s="102">
        <v>5.0875347222222222</v>
      </c>
      <c r="F520" s="101">
        <v>39103.090184758294</v>
      </c>
      <c r="G520" s="102">
        <v>0.47909632154159981</v>
      </c>
      <c r="H520" s="101">
        <v>13287.066909297662</v>
      </c>
      <c r="I520" s="101">
        <v>3781.4600966141516</v>
      </c>
      <c r="J520" s="160"/>
      <c r="K520" t="str">
        <f>VLOOKUP(Historic_BCast_BASE[[#This Row],[Broadcast Market]],Continent_Look_Up[],2,FALSE)</f>
        <v>Digital</v>
      </c>
      <c r="L520" s="132" t="str">
        <f>IF(OR(Historic_BCast_BASE[[#This Row],[Broadcast Continent]]="Digital",Historic_BCast_BASE[[#This Row],[Programme Type]]="Digital"),"Y","N")</f>
        <v>Y</v>
      </c>
      <c r="M520" s="132" t="str">
        <f>IF(ISNUMBER(SEARCH("Pan ",Historic_BCast_BASE[[#This Row],[Broadcast Market]]))=TRUE,"Y","N")</f>
        <v>N</v>
      </c>
      <c r="N520" s="132" t="str">
        <f>VLOOKUP(CONCATENATE(Historic_BCast_BASE[[#This Row],[Broadcast Market]],Historic_BCast_BASE[[#This Row],[Broadcaster]]),Table1[[CC]:[Pay TV vs. Free-to-Air]],3,FALSE)</f>
        <v>Digital</v>
      </c>
      <c r="O520" s="133" t="str">
        <f>VLOOKUP(CONCATENATE(Historic_BCast_BASE[[#This Row],[Broadcast Market]],Historic_BCast_BASE[[#This Row],[Broadcaster]]),Table1[[CC]:[Pay TV vs. Free-to-Air]],2,FALSE)</f>
        <v>-</v>
      </c>
      <c r="P520" s="235">
        <f>Historic_BCast_BASE[[#This Row],[Rolex EXP]]*86400</f>
        <v>41393.922181194226</v>
      </c>
      <c r="Q520" s="19" t="str">
        <f>IF(Historic_BCast_BASE[[#This Row],[Dashboard Rated?]]="No","N","Y")</f>
        <v>Y</v>
      </c>
      <c r="S520" s="22"/>
    </row>
    <row r="521" spans="1:19" x14ac:dyDescent="0.25">
      <c r="A521" s="72" t="s">
        <v>1869</v>
      </c>
      <c r="B521" t="s">
        <v>45</v>
      </c>
      <c r="C521" t="s">
        <v>45</v>
      </c>
      <c r="D521" t="s">
        <v>45</v>
      </c>
      <c r="E521" s="102">
        <v>1.9991087962962963</v>
      </c>
      <c r="F521" s="101">
        <v>13024.120442952777</v>
      </c>
      <c r="G521" s="102">
        <v>0.19099705298299163</v>
      </c>
      <c r="H521" s="101">
        <v>4023.6593618393867</v>
      </c>
      <c r="I521" s="101">
        <v>1155.9218846724059</v>
      </c>
      <c r="J521" s="160"/>
      <c r="K521" t="str">
        <f>VLOOKUP(Historic_BCast_BASE[[#This Row],[Broadcast Market]],Continent_Look_Up[],2,FALSE)</f>
        <v>Digital</v>
      </c>
      <c r="L521" s="132" t="str">
        <f>IF(OR(Historic_BCast_BASE[[#This Row],[Broadcast Continent]]="Digital",Historic_BCast_BASE[[#This Row],[Programme Type]]="Digital"),"Y","N")</f>
        <v>Y</v>
      </c>
      <c r="M521" s="132" t="str">
        <f>IF(ISNUMBER(SEARCH("Pan ",Historic_BCast_BASE[[#This Row],[Broadcast Market]]))=TRUE,"Y","N")</f>
        <v>N</v>
      </c>
      <c r="N521" s="132" t="str">
        <f>VLOOKUP(CONCATENATE(Historic_BCast_BASE[[#This Row],[Broadcast Market]],Historic_BCast_BASE[[#This Row],[Broadcaster]]),Table1[[CC]:[Pay TV vs. Free-to-Air]],3,FALSE)</f>
        <v>Digital</v>
      </c>
      <c r="O521" s="133" t="str">
        <f>VLOOKUP(CONCATENATE(Historic_BCast_BASE[[#This Row],[Broadcast Market]],Historic_BCast_BASE[[#This Row],[Broadcaster]]),Table1[[CC]:[Pay TV vs. Free-to-Air]],2,FALSE)</f>
        <v>-</v>
      </c>
      <c r="P521" s="235">
        <f>Historic_BCast_BASE[[#This Row],[Rolex EXP]]*86400</f>
        <v>16502.145377730478</v>
      </c>
      <c r="Q521" s="19" t="str">
        <f>IF(Historic_BCast_BASE[[#This Row],[Dashboard Rated?]]="No","N","Y")</f>
        <v>Y</v>
      </c>
      <c r="S521" s="22"/>
    </row>
    <row r="522" spans="1:19" x14ac:dyDescent="0.25">
      <c r="A522" s="72" t="s">
        <v>1869</v>
      </c>
      <c r="B522" t="s">
        <v>45</v>
      </c>
      <c r="C522" t="s">
        <v>45</v>
      </c>
      <c r="D522" t="s">
        <v>45</v>
      </c>
      <c r="E522" s="102">
        <v>0.7107175925925926</v>
      </c>
      <c r="F522" s="101">
        <v>1455.7096325092068</v>
      </c>
      <c r="G522" s="102">
        <v>6.7902740431057734E-2</v>
      </c>
      <c r="H522" s="101">
        <v>2045.0620557563605</v>
      </c>
      <c r="I522" s="101">
        <v>587.50798046712953</v>
      </c>
      <c r="J522" s="160"/>
      <c r="K522" t="str">
        <f>VLOOKUP(Historic_BCast_BASE[[#This Row],[Broadcast Market]],Continent_Look_Up[],2,FALSE)</f>
        <v>Digital</v>
      </c>
      <c r="L522" s="132" t="str">
        <f>IF(OR(Historic_BCast_BASE[[#This Row],[Broadcast Continent]]="Digital",Historic_BCast_BASE[[#This Row],[Programme Type]]="Digital"),"Y","N")</f>
        <v>Y</v>
      </c>
      <c r="M522" s="132" t="str">
        <f>IF(ISNUMBER(SEARCH("Pan ",Historic_BCast_BASE[[#This Row],[Broadcast Market]]))=TRUE,"Y","N")</f>
        <v>N</v>
      </c>
      <c r="N522" s="132" t="str">
        <f>VLOOKUP(CONCATENATE(Historic_BCast_BASE[[#This Row],[Broadcast Market]],Historic_BCast_BASE[[#This Row],[Broadcaster]]),Table1[[CC]:[Pay TV vs. Free-to-Air]],3,FALSE)</f>
        <v>Digital</v>
      </c>
      <c r="O522" s="133" t="str">
        <f>VLOOKUP(CONCATENATE(Historic_BCast_BASE[[#This Row],[Broadcast Market]],Historic_BCast_BASE[[#This Row],[Broadcaster]]),Table1[[CC]:[Pay TV vs. Free-to-Air]],2,FALSE)</f>
        <v>-</v>
      </c>
      <c r="P522" s="235">
        <f>Historic_BCast_BASE[[#This Row],[Rolex EXP]]*86400</f>
        <v>5866.7967732433881</v>
      </c>
      <c r="Q522" s="19" t="str">
        <f>IF(Historic_BCast_BASE[[#This Row],[Dashboard Rated?]]="No","N","Y")</f>
        <v>Y</v>
      </c>
      <c r="S522" s="22"/>
    </row>
    <row r="523" spans="1:19" x14ac:dyDescent="0.25">
      <c r="A523" s="72" t="s">
        <v>1869</v>
      </c>
      <c r="B523" t="s">
        <v>45</v>
      </c>
      <c r="C523" t="s">
        <v>45</v>
      </c>
      <c r="D523" t="s">
        <v>45</v>
      </c>
      <c r="E523" s="102">
        <v>0.27197916666666666</v>
      </c>
      <c r="F523" s="101">
        <v>0</v>
      </c>
      <c r="G523" s="102">
        <v>2.5985188701257628E-2</v>
      </c>
      <c r="H523" s="101">
        <v>0</v>
      </c>
      <c r="I523" s="101">
        <v>0</v>
      </c>
      <c r="J523" s="160"/>
      <c r="K523" t="str">
        <f>VLOOKUP(Historic_BCast_BASE[[#This Row],[Broadcast Market]],Continent_Look_Up[],2,FALSE)</f>
        <v>Digital</v>
      </c>
      <c r="L523" s="132" t="str">
        <f>IF(OR(Historic_BCast_BASE[[#This Row],[Broadcast Continent]]="Digital",Historic_BCast_BASE[[#This Row],[Programme Type]]="Digital"),"Y","N")</f>
        <v>Y</v>
      </c>
      <c r="M523" s="132" t="str">
        <f>IF(ISNUMBER(SEARCH("Pan ",Historic_BCast_BASE[[#This Row],[Broadcast Market]]))=TRUE,"Y","N")</f>
        <v>N</v>
      </c>
      <c r="N523" s="132" t="str">
        <f>VLOOKUP(CONCATENATE(Historic_BCast_BASE[[#This Row],[Broadcast Market]],Historic_BCast_BASE[[#This Row],[Broadcaster]]),Table1[[CC]:[Pay TV vs. Free-to-Air]],3,FALSE)</f>
        <v>Digital</v>
      </c>
      <c r="O523" s="133" t="str">
        <f>VLOOKUP(CONCATENATE(Historic_BCast_BASE[[#This Row],[Broadcast Market]],Historic_BCast_BASE[[#This Row],[Broadcaster]]),Table1[[CC]:[Pay TV vs. Free-to-Air]],2,FALSE)</f>
        <v>-</v>
      </c>
      <c r="P523" s="235">
        <f>Historic_BCast_BASE[[#This Row],[Rolex EXP]]*86400</f>
        <v>2245.1203037886589</v>
      </c>
      <c r="Q523" s="19" t="str">
        <f>IF(Historic_BCast_BASE[[#This Row],[Dashboard Rated?]]="No","N","Y")</f>
        <v>Y</v>
      </c>
      <c r="S523" s="22"/>
    </row>
    <row r="524" spans="1:19" x14ac:dyDescent="0.25">
      <c r="A524" s="72" t="s">
        <v>1869</v>
      </c>
      <c r="B524" t="s">
        <v>45</v>
      </c>
      <c r="C524" t="s">
        <v>45</v>
      </c>
      <c r="D524" t="s">
        <v>45</v>
      </c>
      <c r="E524" s="102">
        <v>0.41671296296296295</v>
      </c>
      <c r="F524" s="101">
        <v>250.20009308752049</v>
      </c>
      <c r="G524" s="102">
        <v>3.9813214775100192E-2</v>
      </c>
      <c r="H524" s="101">
        <v>104.67190425959488</v>
      </c>
      <c r="I524" s="101">
        <v>30.070275329840463</v>
      </c>
      <c r="J524" s="160"/>
      <c r="K524" t="str">
        <f>VLOOKUP(Historic_BCast_BASE[[#This Row],[Broadcast Market]],Continent_Look_Up[],2,FALSE)</f>
        <v>Digital</v>
      </c>
      <c r="L524" s="132" t="str">
        <f>IF(OR(Historic_BCast_BASE[[#This Row],[Broadcast Continent]]="Digital",Historic_BCast_BASE[[#This Row],[Programme Type]]="Digital"),"Y","N")</f>
        <v>Y</v>
      </c>
      <c r="M524" s="132" t="str">
        <f>IF(ISNUMBER(SEARCH("Pan ",Historic_BCast_BASE[[#This Row],[Broadcast Market]]))=TRUE,"Y","N")</f>
        <v>N</v>
      </c>
      <c r="N524" s="132" t="str">
        <f>VLOOKUP(CONCATENATE(Historic_BCast_BASE[[#This Row],[Broadcast Market]],Historic_BCast_BASE[[#This Row],[Broadcaster]]),Table1[[CC]:[Pay TV vs. Free-to-Air]],3,FALSE)</f>
        <v>Digital</v>
      </c>
      <c r="O524" s="133" t="str">
        <f>VLOOKUP(CONCATENATE(Historic_BCast_BASE[[#This Row],[Broadcast Market]],Historic_BCast_BASE[[#This Row],[Broadcaster]]),Table1[[CC]:[Pay TV vs. Free-to-Air]],2,FALSE)</f>
        <v>-</v>
      </c>
      <c r="P524" s="235">
        <f>Historic_BCast_BASE[[#This Row],[Rolex EXP]]*86400</f>
        <v>3439.8617565686568</v>
      </c>
      <c r="Q524" s="19" t="str">
        <f>IF(Historic_BCast_BASE[[#This Row],[Dashboard Rated?]]="No","N","Y")</f>
        <v>Y</v>
      </c>
      <c r="S524" s="22"/>
    </row>
    <row r="525" spans="1:19" x14ac:dyDescent="0.25">
      <c r="A525" s="72" t="s">
        <v>1869</v>
      </c>
      <c r="B525" t="s">
        <v>45</v>
      </c>
      <c r="C525" t="s">
        <v>45</v>
      </c>
      <c r="D525" t="s">
        <v>45</v>
      </c>
      <c r="E525" s="102">
        <v>8.2465277777777776E-2</v>
      </c>
      <c r="F525" s="101">
        <v>0</v>
      </c>
      <c r="G525" s="102">
        <v>7.8788233327571639E-3</v>
      </c>
      <c r="H525" s="101">
        <v>0</v>
      </c>
      <c r="I525" s="101">
        <v>0</v>
      </c>
      <c r="J525" s="160"/>
      <c r="K525" t="str">
        <f>VLOOKUP(Historic_BCast_BASE[[#This Row],[Broadcast Market]],Continent_Look_Up[],2,FALSE)</f>
        <v>Digital</v>
      </c>
      <c r="L525" s="132" t="str">
        <f>IF(OR(Historic_BCast_BASE[[#This Row],[Broadcast Continent]]="Digital",Historic_BCast_BASE[[#This Row],[Programme Type]]="Digital"),"Y","N")</f>
        <v>Y</v>
      </c>
      <c r="M525" s="132" t="str">
        <f>IF(ISNUMBER(SEARCH("Pan ",Historic_BCast_BASE[[#This Row],[Broadcast Market]]))=TRUE,"Y","N")</f>
        <v>N</v>
      </c>
      <c r="N525" s="132" t="str">
        <f>VLOOKUP(CONCATENATE(Historic_BCast_BASE[[#This Row],[Broadcast Market]],Historic_BCast_BASE[[#This Row],[Broadcaster]]),Table1[[CC]:[Pay TV vs. Free-to-Air]],3,FALSE)</f>
        <v>Digital</v>
      </c>
      <c r="O525" s="133" t="str">
        <f>VLOOKUP(CONCATENATE(Historic_BCast_BASE[[#This Row],[Broadcast Market]],Historic_BCast_BASE[[#This Row],[Broadcaster]]),Table1[[CC]:[Pay TV vs. Free-to-Air]],2,FALSE)</f>
        <v>-</v>
      </c>
      <c r="P525" s="235">
        <f>Historic_BCast_BASE[[#This Row],[Rolex EXP]]*86400</f>
        <v>680.730335950219</v>
      </c>
      <c r="Q525" s="19" t="str">
        <f>IF(Historic_BCast_BASE[[#This Row],[Dashboard Rated?]]="No","N","Y")</f>
        <v>Y</v>
      </c>
      <c r="S525" s="22"/>
    </row>
    <row r="526" spans="1:19" x14ac:dyDescent="0.25">
      <c r="A526" s="72" t="s">
        <v>1869</v>
      </c>
      <c r="B526" t="s">
        <v>45</v>
      </c>
      <c r="C526" t="s">
        <v>45</v>
      </c>
      <c r="D526" t="s">
        <v>45</v>
      </c>
      <c r="E526" s="102">
        <v>0.25175925925925929</v>
      </c>
      <c r="F526" s="101">
        <v>9982.8123178956994</v>
      </c>
      <c r="G526" s="102">
        <v>2.4053356510053869E-2</v>
      </c>
      <c r="H526" s="101">
        <v>737.51491952818947</v>
      </c>
      <c r="I526" s="101">
        <v>211.87420680793505</v>
      </c>
      <c r="J526" s="160"/>
      <c r="K526" t="str">
        <f>VLOOKUP(Historic_BCast_BASE[[#This Row],[Broadcast Market]],Continent_Look_Up[],2,FALSE)</f>
        <v>Digital</v>
      </c>
      <c r="L526" s="132" t="str">
        <f>IF(OR(Historic_BCast_BASE[[#This Row],[Broadcast Continent]]="Digital",Historic_BCast_BASE[[#This Row],[Programme Type]]="Digital"),"Y","N")</f>
        <v>Y</v>
      </c>
      <c r="M526" s="132" t="str">
        <f>IF(ISNUMBER(SEARCH("Pan ",Historic_BCast_BASE[[#This Row],[Broadcast Market]]))=TRUE,"Y","N")</f>
        <v>N</v>
      </c>
      <c r="N526" s="132" t="str">
        <f>VLOOKUP(CONCATENATE(Historic_BCast_BASE[[#This Row],[Broadcast Market]],Historic_BCast_BASE[[#This Row],[Broadcaster]]),Table1[[CC]:[Pay TV vs. Free-to-Air]],3,FALSE)</f>
        <v>Digital</v>
      </c>
      <c r="O526" s="133" t="str">
        <f>VLOOKUP(CONCATENATE(Historic_BCast_BASE[[#This Row],[Broadcast Market]],Historic_BCast_BASE[[#This Row],[Broadcaster]]),Table1[[CC]:[Pay TV vs. Free-to-Air]],2,FALSE)</f>
        <v>-</v>
      </c>
      <c r="P526" s="235">
        <f>Historic_BCast_BASE[[#This Row],[Rolex EXP]]*86400</f>
        <v>2078.2100024686542</v>
      </c>
      <c r="Q526" s="19" t="str">
        <f>IF(Historic_BCast_BASE[[#This Row],[Dashboard Rated?]]="No","N","Y")</f>
        <v>Y</v>
      </c>
      <c r="S526" s="22"/>
    </row>
    <row r="527" spans="1:19" x14ac:dyDescent="0.25">
      <c r="A527" s="72" t="s">
        <v>1869</v>
      </c>
      <c r="B527" t="s">
        <v>45</v>
      </c>
      <c r="C527" t="s">
        <v>45</v>
      </c>
      <c r="D527" t="s">
        <v>45</v>
      </c>
      <c r="E527" s="102">
        <v>8.4606481481481494E-3</v>
      </c>
      <c r="F527" s="101">
        <v>858.88794272445398</v>
      </c>
      <c r="G527" s="102">
        <v>8.083396289467349E-4</v>
      </c>
      <c r="H527" s="101">
        <v>27.634042429902596</v>
      </c>
      <c r="I527" s="101">
        <v>7.9387422080600354</v>
      </c>
      <c r="J527" s="160"/>
      <c r="K527" t="str">
        <f>VLOOKUP(Historic_BCast_BASE[[#This Row],[Broadcast Market]],Continent_Look_Up[],2,FALSE)</f>
        <v>Digital</v>
      </c>
      <c r="L527" s="132" t="str">
        <f>IF(OR(Historic_BCast_BASE[[#This Row],[Broadcast Continent]]="Digital",Historic_BCast_BASE[[#This Row],[Programme Type]]="Digital"),"Y","N")</f>
        <v>Y</v>
      </c>
      <c r="M527" s="132" t="str">
        <f>IF(ISNUMBER(SEARCH("Pan ",Historic_BCast_BASE[[#This Row],[Broadcast Market]]))=TRUE,"Y","N")</f>
        <v>N</v>
      </c>
      <c r="N527" s="132" t="str">
        <f>VLOOKUP(CONCATENATE(Historic_BCast_BASE[[#This Row],[Broadcast Market]],Historic_BCast_BASE[[#This Row],[Broadcaster]]),Table1[[CC]:[Pay TV vs. Free-to-Air]],3,FALSE)</f>
        <v>Digital</v>
      </c>
      <c r="O527" s="133" t="str">
        <f>VLOOKUP(CONCATENATE(Historic_BCast_BASE[[#This Row],[Broadcast Market]],Historic_BCast_BASE[[#This Row],[Broadcaster]]),Table1[[CC]:[Pay TV vs. Free-to-Air]],2,FALSE)</f>
        <v>-</v>
      </c>
      <c r="P527" s="235">
        <f>Historic_BCast_BASE[[#This Row],[Rolex EXP]]*86400</f>
        <v>69.84054394099789</v>
      </c>
      <c r="Q527" s="19" t="str">
        <f>IF(Historic_BCast_BASE[[#This Row],[Dashboard Rated?]]="No","N","Y")</f>
        <v>Y</v>
      </c>
      <c r="S527" s="22"/>
    </row>
    <row r="528" spans="1:19" x14ac:dyDescent="0.25">
      <c r="A528" s="72" t="s">
        <v>1869</v>
      </c>
      <c r="B528" t="s">
        <v>45</v>
      </c>
      <c r="C528" t="s">
        <v>45</v>
      </c>
      <c r="D528" t="s">
        <v>45</v>
      </c>
      <c r="E528" s="102">
        <v>3.7668055555555555</v>
      </c>
      <c r="F528" s="101">
        <v>4640.0744536231023</v>
      </c>
      <c r="G528" s="102">
        <v>0.35988474544455912</v>
      </c>
      <c r="H528" s="101">
        <v>5629.6845908631112</v>
      </c>
      <c r="I528" s="101">
        <v>1617.3028174549154</v>
      </c>
      <c r="J528" s="160"/>
      <c r="K528" t="str">
        <f>VLOOKUP(Historic_BCast_BASE[[#This Row],[Broadcast Market]],Continent_Look_Up[],2,FALSE)</f>
        <v>Digital</v>
      </c>
      <c r="L528" s="132" t="str">
        <f>IF(OR(Historic_BCast_BASE[[#This Row],[Broadcast Continent]]="Digital",Historic_BCast_BASE[[#This Row],[Programme Type]]="Digital"),"Y","N")</f>
        <v>Y</v>
      </c>
      <c r="M528" s="132" t="str">
        <f>IF(ISNUMBER(SEARCH("Pan ",Historic_BCast_BASE[[#This Row],[Broadcast Market]]))=TRUE,"Y","N")</f>
        <v>N</v>
      </c>
      <c r="N528" s="132" t="str">
        <f>VLOOKUP(CONCATENATE(Historic_BCast_BASE[[#This Row],[Broadcast Market]],Historic_BCast_BASE[[#This Row],[Broadcaster]]),Table1[[CC]:[Pay TV vs. Free-to-Air]],3,FALSE)</f>
        <v>Digital</v>
      </c>
      <c r="O528" s="133" t="str">
        <f>VLOOKUP(CONCATENATE(Historic_BCast_BASE[[#This Row],[Broadcast Market]],Historic_BCast_BASE[[#This Row],[Broadcaster]]),Table1[[CC]:[Pay TV vs. Free-to-Air]],2,FALSE)</f>
        <v>-</v>
      </c>
      <c r="P528" s="235">
        <f>Historic_BCast_BASE[[#This Row],[Rolex EXP]]*86400</f>
        <v>31094.042006409909</v>
      </c>
      <c r="Q528" s="19" t="str">
        <f>IF(Historic_BCast_BASE[[#This Row],[Dashboard Rated?]]="No","N","Y")</f>
        <v>Y</v>
      </c>
      <c r="S528" s="22"/>
    </row>
    <row r="529" spans="1:19" x14ac:dyDescent="0.25">
      <c r="A529" s="72" t="s">
        <v>1869</v>
      </c>
      <c r="B529" t="s">
        <v>45</v>
      </c>
      <c r="C529" t="s">
        <v>45</v>
      </c>
      <c r="D529" t="s">
        <v>45</v>
      </c>
      <c r="E529" s="102">
        <v>1.0440046296296297</v>
      </c>
      <c r="F529" s="101">
        <v>63226.698798584614</v>
      </c>
      <c r="G529" s="102">
        <v>9.9745350492822668E-2</v>
      </c>
      <c r="H529" s="101">
        <v>9150.3687792197161</v>
      </c>
      <c r="I529" s="101">
        <v>2628.7293663666269</v>
      </c>
      <c r="J529" s="160"/>
      <c r="K529" t="str">
        <f>VLOOKUP(Historic_BCast_BASE[[#This Row],[Broadcast Market]],Continent_Look_Up[],2,FALSE)</f>
        <v>Digital</v>
      </c>
      <c r="L529" s="132" t="str">
        <f>IF(OR(Historic_BCast_BASE[[#This Row],[Broadcast Continent]]="Digital",Historic_BCast_BASE[[#This Row],[Programme Type]]="Digital"),"Y","N")</f>
        <v>Y</v>
      </c>
      <c r="M529" s="132" t="str">
        <f>IF(ISNUMBER(SEARCH("Pan ",Historic_BCast_BASE[[#This Row],[Broadcast Market]]))=TRUE,"Y","N")</f>
        <v>N</v>
      </c>
      <c r="N529" s="132" t="str">
        <f>VLOOKUP(CONCATENATE(Historic_BCast_BASE[[#This Row],[Broadcast Market]],Historic_BCast_BASE[[#This Row],[Broadcaster]]),Table1[[CC]:[Pay TV vs. Free-to-Air]],3,FALSE)</f>
        <v>Digital</v>
      </c>
      <c r="O529" s="133" t="str">
        <f>VLOOKUP(CONCATENATE(Historic_BCast_BASE[[#This Row],[Broadcast Market]],Historic_BCast_BASE[[#This Row],[Broadcaster]]),Table1[[CC]:[Pay TV vs. Free-to-Air]],2,FALSE)</f>
        <v>-</v>
      </c>
      <c r="P529" s="235">
        <f>Historic_BCast_BASE[[#This Row],[Rolex EXP]]*86400</f>
        <v>8617.9982825798779</v>
      </c>
      <c r="Q529" s="19" t="str">
        <f>IF(Historic_BCast_BASE[[#This Row],[Dashboard Rated?]]="No","N","Y")</f>
        <v>Y</v>
      </c>
      <c r="S529" s="22"/>
    </row>
    <row r="530" spans="1:19" x14ac:dyDescent="0.25">
      <c r="A530" s="72" t="s">
        <v>1869</v>
      </c>
      <c r="B530" t="s">
        <v>45</v>
      </c>
      <c r="C530" t="s">
        <v>45</v>
      </c>
      <c r="D530" t="s">
        <v>45</v>
      </c>
      <c r="E530" s="102">
        <v>2.8823726851851852</v>
      </c>
      <c r="F530" s="101">
        <v>195362.18961451016</v>
      </c>
      <c r="G530" s="102">
        <v>0.27133131896389762</v>
      </c>
      <c r="H530" s="101">
        <v>80801.162720615641</v>
      </c>
      <c r="I530" s="101">
        <v>24870.062553160369</v>
      </c>
      <c r="J530" s="160"/>
      <c r="K530" t="str">
        <f>VLOOKUP(Historic_BCast_BASE[[#This Row],[Broadcast Market]],Continent_Look_Up[],2,FALSE)</f>
        <v>Digital</v>
      </c>
      <c r="L530" s="132" t="str">
        <f>IF(OR(Historic_BCast_BASE[[#This Row],[Broadcast Continent]]="Digital",Historic_BCast_BASE[[#This Row],[Programme Type]]="Digital"),"Y","N")</f>
        <v>Y</v>
      </c>
      <c r="M530" s="132" t="str">
        <f>IF(ISNUMBER(SEARCH("Pan ",Historic_BCast_BASE[[#This Row],[Broadcast Market]]))=TRUE,"Y","N")</f>
        <v>N</v>
      </c>
      <c r="N530" s="132" t="str">
        <f>VLOOKUP(CONCATENATE(Historic_BCast_BASE[[#This Row],[Broadcast Market]],Historic_BCast_BASE[[#This Row],[Broadcaster]]),Table1[[CC]:[Pay TV vs. Free-to-Air]],3,FALSE)</f>
        <v>Digital</v>
      </c>
      <c r="O530" s="133" t="str">
        <f>VLOOKUP(CONCATENATE(Historic_BCast_BASE[[#This Row],[Broadcast Market]],Historic_BCast_BASE[[#This Row],[Broadcaster]]),Table1[[CC]:[Pay TV vs. Free-to-Air]],2,FALSE)</f>
        <v>-</v>
      </c>
      <c r="P530" s="235">
        <f>Historic_BCast_BASE[[#This Row],[Rolex EXP]]*86400</f>
        <v>23443.025958480754</v>
      </c>
      <c r="Q530" s="19" t="str">
        <f>IF(Historic_BCast_BASE[[#This Row],[Dashboard Rated?]]="No","N","Y")</f>
        <v>Y</v>
      </c>
      <c r="S530" s="22"/>
    </row>
    <row r="531" spans="1:19" x14ac:dyDescent="0.25">
      <c r="A531" s="72" t="s">
        <v>1869</v>
      </c>
      <c r="B531" t="s">
        <v>45</v>
      </c>
      <c r="C531" t="s">
        <v>45</v>
      </c>
      <c r="D531" t="s">
        <v>45</v>
      </c>
      <c r="E531" s="102">
        <v>3.3859953703703702</v>
      </c>
      <c r="F531" s="101">
        <v>137421.81955797481</v>
      </c>
      <c r="G531" s="102">
        <v>0.32390699118990812</v>
      </c>
      <c r="H531" s="101">
        <v>43678.096191358454</v>
      </c>
      <c r="I531" s="101">
        <v>13142.712889973576</v>
      </c>
      <c r="J531" s="160"/>
      <c r="K531" t="str">
        <f>VLOOKUP(Historic_BCast_BASE[[#This Row],[Broadcast Market]],Continent_Look_Up[],2,FALSE)</f>
        <v>Digital</v>
      </c>
      <c r="L531" s="132" t="str">
        <f>IF(OR(Historic_BCast_BASE[[#This Row],[Broadcast Continent]]="Digital",Historic_BCast_BASE[[#This Row],[Programme Type]]="Digital"),"Y","N")</f>
        <v>Y</v>
      </c>
      <c r="M531" s="132" t="str">
        <f>IF(ISNUMBER(SEARCH("Pan ",Historic_BCast_BASE[[#This Row],[Broadcast Market]]))=TRUE,"Y","N")</f>
        <v>N</v>
      </c>
      <c r="N531" s="132" t="str">
        <f>VLOOKUP(CONCATENATE(Historic_BCast_BASE[[#This Row],[Broadcast Market]],Historic_BCast_BASE[[#This Row],[Broadcaster]]),Table1[[CC]:[Pay TV vs. Free-to-Air]],3,FALSE)</f>
        <v>Digital</v>
      </c>
      <c r="O531" s="133" t="str">
        <f>VLOOKUP(CONCATENATE(Historic_BCast_BASE[[#This Row],[Broadcast Market]],Historic_BCast_BASE[[#This Row],[Broadcaster]]),Table1[[CC]:[Pay TV vs. Free-to-Air]],2,FALSE)</f>
        <v>-</v>
      </c>
      <c r="P531" s="235">
        <f>Historic_BCast_BASE[[#This Row],[Rolex EXP]]*86400</f>
        <v>27985.564038808061</v>
      </c>
      <c r="Q531" s="19" t="str">
        <f>IF(Historic_BCast_BASE[[#This Row],[Dashboard Rated?]]="No","N","Y")</f>
        <v>Y</v>
      </c>
      <c r="S531" s="22"/>
    </row>
    <row r="532" spans="1:19" x14ac:dyDescent="0.25">
      <c r="A532" s="72" t="s">
        <v>1869</v>
      </c>
      <c r="B532" t="s">
        <v>45</v>
      </c>
      <c r="C532" t="s">
        <v>45</v>
      </c>
      <c r="D532" t="s">
        <v>45</v>
      </c>
      <c r="E532" s="102">
        <v>1.5007291666666669</v>
      </c>
      <c r="F532" s="101">
        <v>73359.036572357305</v>
      </c>
      <c r="G532" s="102">
        <v>0.13640572273385179</v>
      </c>
      <c r="H532" s="101">
        <v>1314.2922994010075</v>
      </c>
      <c r="I532" s="101">
        <v>399.29070731126478</v>
      </c>
      <c r="J532" s="160"/>
      <c r="K532" t="str">
        <f>VLOOKUP(Historic_BCast_BASE[[#This Row],[Broadcast Market]],Continent_Look_Up[],2,FALSE)</f>
        <v>Digital</v>
      </c>
      <c r="L532" s="132" t="str">
        <f>IF(OR(Historic_BCast_BASE[[#This Row],[Broadcast Continent]]="Digital",Historic_BCast_BASE[[#This Row],[Programme Type]]="Digital"),"Y","N")</f>
        <v>Y</v>
      </c>
      <c r="M532" s="132" t="str">
        <f>IF(ISNUMBER(SEARCH("Pan ",Historic_BCast_BASE[[#This Row],[Broadcast Market]]))=TRUE,"Y","N")</f>
        <v>N</v>
      </c>
      <c r="N532" s="132" t="str">
        <f>VLOOKUP(CONCATENATE(Historic_BCast_BASE[[#This Row],[Broadcast Market]],Historic_BCast_BASE[[#This Row],[Broadcaster]]),Table1[[CC]:[Pay TV vs. Free-to-Air]],3,FALSE)</f>
        <v>Digital</v>
      </c>
      <c r="O532" s="133" t="str">
        <f>VLOOKUP(CONCATENATE(Historic_BCast_BASE[[#This Row],[Broadcast Market]],Historic_BCast_BASE[[#This Row],[Broadcaster]]),Table1[[CC]:[Pay TV vs. Free-to-Air]],2,FALSE)</f>
        <v>-</v>
      </c>
      <c r="P532" s="235">
        <f>Historic_BCast_BASE[[#This Row],[Rolex EXP]]*86400</f>
        <v>11785.454444204795</v>
      </c>
      <c r="Q532" s="19" t="str">
        <f>IF(Historic_BCast_BASE[[#This Row],[Dashboard Rated?]]="No","N","Y")</f>
        <v>Y</v>
      </c>
      <c r="S532" s="22"/>
    </row>
    <row r="533" spans="1:19" x14ac:dyDescent="0.25">
      <c r="A533" s="72" t="s">
        <v>1869</v>
      </c>
      <c r="B533" t="s">
        <v>45</v>
      </c>
      <c r="C533" t="s">
        <v>45</v>
      </c>
      <c r="D533" t="s">
        <v>45</v>
      </c>
      <c r="E533" s="102">
        <v>4.8977314814814816</v>
      </c>
      <c r="F533" s="101">
        <v>114679.73432747681</v>
      </c>
      <c r="G533" s="102">
        <v>0.4613359368119308</v>
      </c>
      <c r="H533" s="101">
        <v>40123.543938000163</v>
      </c>
      <c r="I533" s="101">
        <v>12213.390288719333</v>
      </c>
      <c r="J533" s="160"/>
      <c r="K533" t="str">
        <f>VLOOKUP(Historic_BCast_BASE[[#This Row],[Broadcast Market]],Continent_Look_Up[],2,FALSE)</f>
        <v>Digital</v>
      </c>
      <c r="L533" s="132" t="str">
        <f>IF(OR(Historic_BCast_BASE[[#This Row],[Broadcast Continent]]="Digital",Historic_BCast_BASE[[#This Row],[Programme Type]]="Digital"),"Y","N")</f>
        <v>Y</v>
      </c>
      <c r="M533" s="132" t="str">
        <f>IF(ISNUMBER(SEARCH("Pan ",Historic_BCast_BASE[[#This Row],[Broadcast Market]]))=TRUE,"Y","N")</f>
        <v>N</v>
      </c>
      <c r="N533" s="132" t="str">
        <f>VLOOKUP(CONCATENATE(Historic_BCast_BASE[[#This Row],[Broadcast Market]],Historic_BCast_BASE[[#This Row],[Broadcaster]]),Table1[[CC]:[Pay TV vs. Free-to-Air]],3,FALSE)</f>
        <v>Digital</v>
      </c>
      <c r="O533" s="133" t="str">
        <f>VLOOKUP(CONCATENATE(Historic_BCast_BASE[[#This Row],[Broadcast Market]],Historic_BCast_BASE[[#This Row],[Broadcaster]]),Table1[[CC]:[Pay TV vs. Free-to-Air]],2,FALSE)</f>
        <v>-</v>
      </c>
      <c r="P533" s="235">
        <f>Historic_BCast_BASE[[#This Row],[Rolex EXP]]*86400</f>
        <v>39859.424940550824</v>
      </c>
      <c r="Q533" s="19" t="str">
        <f>IF(Historic_BCast_BASE[[#This Row],[Dashboard Rated?]]="No","N","Y")</f>
        <v>Y</v>
      </c>
      <c r="S533" s="22"/>
    </row>
    <row r="534" spans="1:19" x14ac:dyDescent="0.25">
      <c r="A534" s="72" t="s">
        <v>1869</v>
      </c>
      <c r="B534" t="s">
        <v>45</v>
      </c>
      <c r="C534" t="s">
        <v>45</v>
      </c>
      <c r="D534" t="s">
        <v>45</v>
      </c>
      <c r="E534" s="102">
        <v>1.7285879629629628</v>
      </c>
      <c r="F534" s="101">
        <v>9238.0571148275249</v>
      </c>
      <c r="G534" s="102">
        <v>0.13438996815553228</v>
      </c>
      <c r="H534" s="101">
        <v>1164.5036917983086</v>
      </c>
      <c r="I534" s="101">
        <v>342.67067643277204</v>
      </c>
      <c r="J534" s="160"/>
      <c r="K534" t="str">
        <f>VLOOKUP(Historic_BCast_BASE[[#This Row],[Broadcast Market]],Continent_Look_Up[],2,FALSE)</f>
        <v>Digital</v>
      </c>
      <c r="L534" s="132" t="str">
        <f>IF(OR(Historic_BCast_BASE[[#This Row],[Broadcast Continent]]="Digital",Historic_BCast_BASE[[#This Row],[Programme Type]]="Digital"),"Y","N")</f>
        <v>Y</v>
      </c>
      <c r="M534" s="132" t="str">
        <f>IF(ISNUMBER(SEARCH("Pan ",Historic_BCast_BASE[[#This Row],[Broadcast Market]]))=TRUE,"Y","N")</f>
        <v>N</v>
      </c>
      <c r="N534" s="132" t="str">
        <f>VLOOKUP(CONCATENATE(Historic_BCast_BASE[[#This Row],[Broadcast Market]],Historic_BCast_BASE[[#This Row],[Broadcaster]]),Table1[[CC]:[Pay TV vs. Free-to-Air]],3,FALSE)</f>
        <v>Digital</v>
      </c>
      <c r="O534" s="133" t="str">
        <f>VLOOKUP(CONCATENATE(Historic_BCast_BASE[[#This Row],[Broadcast Market]],Historic_BCast_BASE[[#This Row],[Broadcaster]]),Table1[[CC]:[Pay TV vs. Free-to-Air]],2,FALSE)</f>
        <v>-</v>
      </c>
      <c r="P534" s="235">
        <f>Historic_BCast_BASE[[#This Row],[Rolex EXP]]*86400</f>
        <v>11611.293248637989</v>
      </c>
      <c r="Q534" s="19" t="str">
        <f>IF(Historic_BCast_BASE[[#This Row],[Dashboard Rated?]]="No","N","Y")</f>
        <v>Y</v>
      </c>
      <c r="S534" s="22"/>
    </row>
    <row r="535" spans="1:19" x14ac:dyDescent="0.25">
      <c r="A535" s="72" t="s">
        <v>1869</v>
      </c>
      <c r="B535" t="s">
        <v>45</v>
      </c>
      <c r="C535" t="s">
        <v>45</v>
      </c>
      <c r="D535" t="s">
        <v>45</v>
      </c>
      <c r="E535" s="102">
        <v>1.0801967592592592</v>
      </c>
      <c r="F535" s="101">
        <v>22709.93966752067</v>
      </c>
      <c r="G535" s="102">
        <v>9.8297024002557756E-2</v>
      </c>
      <c r="H535" s="101">
        <v>417.7127374436572</v>
      </c>
      <c r="I535" s="101">
        <v>126.11110323513685</v>
      </c>
      <c r="J535" s="160"/>
      <c r="K535" t="str">
        <f>VLOOKUP(Historic_BCast_BASE[[#This Row],[Broadcast Market]],Continent_Look_Up[],2,FALSE)</f>
        <v>Digital</v>
      </c>
      <c r="L535" s="132" t="str">
        <f>IF(OR(Historic_BCast_BASE[[#This Row],[Broadcast Continent]]="Digital",Historic_BCast_BASE[[#This Row],[Programme Type]]="Digital"),"Y","N")</f>
        <v>Y</v>
      </c>
      <c r="M535" s="132" t="str">
        <f>IF(ISNUMBER(SEARCH("Pan ",Historic_BCast_BASE[[#This Row],[Broadcast Market]]))=TRUE,"Y","N")</f>
        <v>N</v>
      </c>
      <c r="N535" s="132" t="str">
        <f>VLOOKUP(CONCATENATE(Historic_BCast_BASE[[#This Row],[Broadcast Market]],Historic_BCast_BASE[[#This Row],[Broadcaster]]),Table1[[CC]:[Pay TV vs. Free-to-Air]],3,FALSE)</f>
        <v>Digital</v>
      </c>
      <c r="O535" s="133" t="str">
        <f>VLOOKUP(CONCATENATE(Historic_BCast_BASE[[#This Row],[Broadcast Market]],Historic_BCast_BASE[[#This Row],[Broadcaster]]),Table1[[CC]:[Pay TV vs. Free-to-Air]],2,FALSE)</f>
        <v>-</v>
      </c>
      <c r="P535" s="235">
        <f>Historic_BCast_BASE[[#This Row],[Rolex EXP]]*86400</f>
        <v>8492.86287382099</v>
      </c>
      <c r="Q535" s="19" t="str">
        <f>IF(Historic_BCast_BASE[[#This Row],[Dashboard Rated?]]="No","N","Y")</f>
        <v>Y</v>
      </c>
      <c r="S535" s="22"/>
    </row>
    <row r="536" spans="1:19" x14ac:dyDescent="0.25">
      <c r="A536" s="72" t="s">
        <v>1869</v>
      </c>
      <c r="B536" t="s">
        <v>45</v>
      </c>
      <c r="C536" t="s">
        <v>45</v>
      </c>
      <c r="D536" t="s">
        <v>45</v>
      </c>
      <c r="E536" s="102">
        <v>2.5856481481481484</v>
      </c>
      <c r="F536" s="101">
        <v>51133.896467913924</v>
      </c>
      <c r="G536" s="102">
        <v>0.32213148892730642</v>
      </c>
      <c r="H536" s="101">
        <v>13822.140125955942</v>
      </c>
      <c r="I536" s="101">
        <v>3890.8441674142018</v>
      </c>
      <c r="J536" s="160"/>
      <c r="K536" t="str">
        <f>VLOOKUP(Historic_BCast_BASE[[#This Row],[Broadcast Market]],Continent_Look_Up[],2,FALSE)</f>
        <v>Digital</v>
      </c>
      <c r="L536" s="132" t="str">
        <f>IF(OR(Historic_BCast_BASE[[#This Row],[Broadcast Continent]]="Digital",Historic_BCast_BASE[[#This Row],[Programme Type]]="Digital"),"Y","N")</f>
        <v>Y</v>
      </c>
      <c r="M536" s="132" t="str">
        <f>IF(ISNUMBER(SEARCH("Pan ",Historic_BCast_BASE[[#This Row],[Broadcast Market]]))=TRUE,"Y","N")</f>
        <v>N</v>
      </c>
      <c r="N536" s="132" t="str">
        <f>VLOOKUP(CONCATENATE(Historic_BCast_BASE[[#This Row],[Broadcast Market]],Historic_BCast_BASE[[#This Row],[Broadcaster]]),Table1[[CC]:[Pay TV vs. Free-to-Air]],3,FALSE)</f>
        <v>Digital</v>
      </c>
      <c r="O536" s="133" t="str">
        <f>VLOOKUP(CONCATENATE(Historic_BCast_BASE[[#This Row],[Broadcast Market]],Historic_BCast_BASE[[#This Row],[Broadcaster]]),Table1[[CC]:[Pay TV vs. Free-to-Air]],2,FALSE)</f>
        <v>-</v>
      </c>
      <c r="P536" s="235">
        <f>Historic_BCast_BASE[[#This Row],[Rolex EXP]]*86400</f>
        <v>27832.160643319276</v>
      </c>
      <c r="Q536" s="19" t="str">
        <f>IF(Historic_BCast_BASE[[#This Row],[Dashboard Rated?]]="No","N","Y")</f>
        <v>Y</v>
      </c>
      <c r="S536" s="22"/>
    </row>
    <row r="537" spans="1:19" x14ac:dyDescent="0.25">
      <c r="A537" s="72" t="s">
        <v>1869</v>
      </c>
      <c r="B537" t="s">
        <v>45</v>
      </c>
      <c r="C537" t="s">
        <v>45</v>
      </c>
      <c r="D537" t="s">
        <v>45</v>
      </c>
      <c r="E537" s="102">
        <v>2.954606481481481</v>
      </c>
      <c r="F537" s="101">
        <v>7847.2352318571848</v>
      </c>
      <c r="G537" s="102">
        <v>0.2787270981393799</v>
      </c>
      <c r="H537" s="101">
        <v>1542.9463077106011</v>
      </c>
      <c r="I537" s="101">
        <v>446.66379112763741</v>
      </c>
      <c r="J537" s="160"/>
      <c r="K537" t="str">
        <f>VLOOKUP(Historic_BCast_BASE[[#This Row],[Broadcast Market]],Continent_Look_Up[],2,FALSE)</f>
        <v>Digital</v>
      </c>
      <c r="L537" s="132" t="str">
        <f>IF(OR(Historic_BCast_BASE[[#This Row],[Broadcast Continent]]="Digital",Historic_BCast_BASE[[#This Row],[Programme Type]]="Digital"),"Y","N")</f>
        <v>Y</v>
      </c>
      <c r="M537" s="132" t="str">
        <f>IF(ISNUMBER(SEARCH("Pan ",Historic_BCast_BASE[[#This Row],[Broadcast Market]]))=TRUE,"Y","N")</f>
        <v>N</v>
      </c>
      <c r="N537" s="132" t="str">
        <f>VLOOKUP(CONCATENATE(Historic_BCast_BASE[[#This Row],[Broadcast Market]],Historic_BCast_BASE[[#This Row],[Broadcaster]]),Table1[[CC]:[Pay TV vs. Free-to-Air]],3,FALSE)</f>
        <v>Digital</v>
      </c>
      <c r="O537" s="133" t="str">
        <f>VLOOKUP(CONCATENATE(Historic_BCast_BASE[[#This Row],[Broadcast Market]],Historic_BCast_BASE[[#This Row],[Broadcaster]]),Table1[[CC]:[Pay TV vs. Free-to-Air]],2,FALSE)</f>
        <v>-</v>
      </c>
      <c r="P537" s="235">
        <f>Historic_BCast_BASE[[#This Row],[Rolex EXP]]*86400</f>
        <v>24082.021279242424</v>
      </c>
      <c r="Q537" s="19" t="str">
        <f>IF(Historic_BCast_BASE[[#This Row],[Dashboard Rated?]]="No","N","Y")</f>
        <v>Y</v>
      </c>
      <c r="S537" s="22"/>
    </row>
    <row r="538" spans="1:19" x14ac:dyDescent="0.25">
      <c r="A538" s="72" t="s">
        <v>1869</v>
      </c>
      <c r="B538" t="s">
        <v>45</v>
      </c>
      <c r="C538" t="s">
        <v>45</v>
      </c>
      <c r="D538" t="s">
        <v>45</v>
      </c>
      <c r="E538" s="102">
        <v>0.39140046296296299</v>
      </c>
      <c r="F538" s="101">
        <v>1540.8124781926354</v>
      </c>
      <c r="G538" s="102">
        <v>3.8787319058569386E-2</v>
      </c>
      <c r="H538" s="101">
        <v>38.811727934780336</v>
      </c>
      <c r="I538" s="101">
        <v>11.787150957740764</v>
      </c>
      <c r="J538" s="160"/>
      <c r="K538" t="str">
        <f>VLOOKUP(Historic_BCast_BASE[[#This Row],[Broadcast Market]],Continent_Look_Up[],2,FALSE)</f>
        <v>Digital</v>
      </c>
      <c r="L538" s="132" t="str">
        <f>IF(OR(Historic_BCast_BASE[[#This Row],[Broadcast Continent]]="Digital",Historic_BCast_BASE[[#This Row],[Programme Type]]="Digital"),"Y","N")</f>
        <v>Y</v>
      </c>
      <c r="M538" s="132" t="str">
        <f>IF(ISNUMBER(SEARCH("Pan ",Historic_BCast_BASE[[#This Row],[Broadcast Market]]))=TRUE,"Y","N")</f>
        <v>N</v>
      </c>
      <c r="N538" s="132" t="str">
        <f>VLOOKUP(CONCATENATE(Historic_BCast_BASE[[#This Row],[Broadcast Market]],Historic_BCast_BASE[[#This Row],[Broadcaster]]),Table1[[CC]:[Pay TV vs. Free-to-Air]],3,FALSE)</f>
        <v>Digital</v>
      </c>
      <c r="O538" s="133" t="str">
        <f>VLOOKUP(CONCATENATE(Historic_BCast_BASE[[#This Row],[Broadcast Market]],Historic_BCast_BASE[[#This Row],[Broadcaster]]),Table1[[CC]:[Pay TV vs. Free-to-Air]],2,FALSE)</f>
        <v>-</v>
      </c>
      <c r="P538" s="235">
        <f>Historic_BCast_BASE[[#This Row],[Rolex EXP]]*86400</f>
        <v>3351.2243666603949</v>
      </c>
      <c r="Q538" s="19" t="str">
        <f>IF(Historic_BCast_BASE[[#This Row],[Dashboard Rated?]]="No","N","Y")</f>
        <v>Y</v>
      </c>
      <c r="S538" s="22"/>
    </row>
    <row r="539" spans="1:19" x14ac:dyDescent="0.25">
      <c r="A539" s="72" t="s">
        <v>1869</v>
      </c>
      <c r="B539" t="s">
        <v>45</v>
      </c>
      <c r="C539" t="s">
        <v>45</v>
      </c>
      <c r="D539" t="s">
        <v>45</v>
      </c>
      <c r="E539" s="102">
        <v>2.3991435185185188</v>
      </c>
      <c r="F539" s="101">
        <v>4530.2730361278473</v>
      </c>
      <c r="G539" s="102">
        <v>0.24666723081008793</v>
      </c>
      <c r="H539" s="101">
        <v>1302.0140778222249</v>
      </c>
      <c r="I539" s="101">
        <v>396.3769892960492</v>
      </c>
      <c r="J539" s="160"/>
      <c r="K539" t="str">
        <f>VLOOKUP(Historic_BCast_BASE[[#This Row],[Broadcast Market]],Continent_Look_Up[],2,FALSE)</f>
        <v>Digital</v>
      </c>
      <c r="L539" s="132" t="str">
        <f>IF(OR(Historic_BCast_BASE[[#This Row],[Broadcast Continent]]="Digital",Historic_BCast_BASE[[#This Row],[Programme Type]]="Digital"),"Y","N")</f>
        <v>Y</v>
      </c>
      <c r="M539" s="132" t="str">
        <f>IF(ISNUMBER(SEARCH("Pan ",Historic_BCast_BASE[[#This Row],[Broadcast Market]]))=TRUE,"Y","N")</f>
        <v>N</v>
      </c>
      <c r="N539" s="132" t="str">
        <f>VLOOKUP(CONCATENATE(Historic_BCast_BASE[[#This Row],[Broadcast Market]],Historic_BCast_BASE[[#This Row],[Broadcaster]]),Table1[[CC]:[Pay TV vs. Free-to-Air]],3,FALSE)</f>
        <v>Digital</v>
      </c>
      <c r="O539" s="133" t="str">
        <f>VLOOKUP(CONCATENATE(Historic_BCast_BASE[[#This Row],[Broadcast Market]],Historic_BCast_BASE[[#This Row],[Broadcaster]]),Table1[[CC]:[Pay TV vs. Free-to-Air]],2,FALSE)</f>
        <v>-</v>
      </c>
      <c r="P539" s="235">
        <f>Historic_BCast_BASE[[#This Row],[Rolex EXP]]*86400</f>
        <v>21312.048741991595</v>
      </c>
      <c r="Q539" s="19" t="str">
        <f>IF(Historic_BCast_BASE[[#This Row],[Dashboard Rated?]]="No","N","Y")</f>
        <v>Y</v>
      </c>
      <c r="S539" s="22"/>
    </row>
    <row r="540" spans="1:19" x14ac:dyDescent="0.25">
      <c r="A540" s="72" t="s">
        <v>1869</v>
      </c>
      <c r="B540" t="s">
        <v>45</v>
      </c>
      <c r="C540" t="s">
        <v>45</v>
      </c>
      <c r="D540" t="s">
        <v>45</v>
      </c>
      <c r="E540" s="102">
        <v>2.6249999999999999E-2</v>
      </c>
      <c r="F540" s="101">
        <v>0</v>
      </c>
      <c r="G540" s="102">
        <v>3.4722940123537265E-3</v>
      </c>
      <c r="H540" s="101">
        <v>0</v>
      </c>
      <c r="I540" s="101">
        <v>0</v>
      </c>
      <c r="J540" s="160"/>
      <c r="K540" t="str">
        <f>VLOOKUP(Historic_BCast_BASE[[#This Row],[Broadcast Market]],Continent_Look_Up[],2,FALSE)</f>
        <v>Digital</v>
      </c>
      <c r="L540" s="132" t="str">
        <f>IF(OR(Historic_BCast_BASE[[#This Row],[Broadcast Continent]]="Digital",Historic_BCast_BASE[[#This Row],[Programme Type]]="Digital"),"Y","N")</f>
        <v>Y</v>
      </c>
      <c r="M540" s="132" t="str">
        <f>IF(ISNUMBER(SEARCH("Pan ",Historic_BCast_BASE[[#This Row],[Broadcast Market]]))=TRUE,"Y","N")</f>
        <v>N</v>
      </c>
      <c r="N540" s="132" t="str">
        <f>VLOOKUP(CONCATENATE(Historic_BCast_BASE[[#This Row],[Broadcast Market]],Historic_BCast_BASE[[#This Row],[Broadcaster]]),Table1[[CC]:[Pay TV vs. Free-to-Air]],3,FALSE)</f>
        <v>Digital</v>
      </c>
      <c r="O540" s="133" t="str">
        <f>VLOOKUP(CONCATENATE(Historic_BCast_BASE[[#This Row],[Broadcast Market]],Historic_BCast_BASE[[#This Row],[Broadcaster]]),Table1[[CC]:[Pay TV vs. Free-to-Air]],2,FALSE)</f>
        <v>-</v>
      </c>
      <c r="P540" s="235">
        <f>Historic_BCast_BASE[[#This Row],[Rolex EXP]]*86400</f>
        <v>300.00620266736195</v>
      </c>
      <c r="Q540" s="19" t="str">
        <f>IF(Historic_BCast_BASE[[#This Row],[Dashboard Rated?]]="No","N","Y")</f>
        <v>Y</v>
      </c>
      <c r="S540" s="22"/>
    </row>
    <row r="541" spans="1:19" x14ac:dyDescent="0.25">
      <c r="A541" s="72" t="s">
        <v>1869</v>
      </c>
      <c r="B541" t="s">
        <v>45</v>
      </c>
      <c r="C541" t="s">
        <v>45</v>
      </c>
      <c r="D541" t="s">
        <v>45</v>
      </c>
      <c r="E541" s="102">
        <v>1.6472337962962964</v>
      </c>
      <c r="F541" s="101">
        <v>27353.675739176535</v>
      </c>
      <c r="G541" s="102">
        <v>0.14996715077333198</v>
      </c>
      <c r="H541" s="101">
        <v>3039.8008752405517</v>
      </c>
      <c r="I541" s="101">
        <v>914.37318096791728</v>
      </c>
      <c r="J541" s="160"/>
      <c r="K541" t="str">
        <f>VLOOKUP(Historic_BCast_BASE[[#This Row],[Broadcast Market]],Continent_Look_Up[],2,FALSE)</f>
        <v>Digital</v>
      </c>
      <c r="L541" s="132" t="str">
        <f>IF(OR(Historic_BCast_BASE[[#This Row],[Broadcast Continent]]="Digital",Historic_BCast_BASE[[#This Row],[Programme Type]]="Digital"),"Y","N")</f>
        <v>Y</v>
      </c>
      <c r="M541" s="132" t="str">
        <f>IF(ISNUMBER(SEARCH("Pan ",Historic_BCast_BASE[[#This Row],[Broadcast Market]]))=TRUE,"Y","N")</f>
        <v>N</v>
      </c>
      <c r="N541" s="132" t="str">
        <f>VLOOKUP(CONCATENATE(Historic_BCast_BASE[[#This Row],[Broadcast Market]],Historic_BCast_BASE[[#This Row],[Broadcaster]]),Table1[[CC]:[Pay TV vs. Free-to-Air]],3,FALSE)</f>
        <v>Digital</v>
      </c>
      <c r="O541" s="133" t="str">
        <f>VLOOKUP(CONCATENATE(Historic_BCast_BASE[[#This Row],[Broadcast Market]],Historic_BCast_BASE[[#This Row],[Broadcaster]]),Table1[[CC]:[Pay TV vs. Free-to-Air]],2,FALSE)</f>
        <v>-</v>
      </c>
      <c r="P541" s="235">
        <f>Historic_BCast_BASE[[#This Row],[Rolex EXP]]*86400</f>
        <v>12957.161826815882</v>
      </c>
      <c r="Q541" s="19" t="str">
        <f>IF(Historic_BCast_BASE[[#This Row],[Dashboard Rated?]]="No","N","Y")</f>
        <v>Y</v>
      </c>
      <c r="S541" s="22"/>
    </row>
    <row r="542" spans="1:19" x14ac:dyDescent="0.25">
      <c r="A542" s="72" t="s">
        <v>1869</v>
      </c>
      <c r="B542" t="s">
        <v>45</v>
      </c>
      <c r="C542" t="s">
        <v>45</v>
      </c>
      <c r="D542" t="s">
        <v>45</v>
      </c>
      <c r="E542" s="102">
        <v>5.6700462962962961</v>
      </c>
      <c r="F542" s="101">
        <v>110071.0630640742</v>
      </c>
      <c r="G542" s="102">
        <v>0.53315954661086218</v>
      </c>
      <c r="H542" s="101">
        <v>36576.082978766994</v>
      </c>
      <c r="I542" s="101">
        <v>10973.585241337074</v>
      </c>
      <c r="J542" s="160"/>
      <c r="K542" t="str">
        <f>VLOOKUP(Historic_BCast_BASE[[#This Row],[Broadcast Market]],Continent_Look_Up[],2,FALSE)</f>
        <v>Digital</v>
      </c>
      <c r="L542" s="132" t="str">
        <f>IF(OR(Historic_BCast_BASE[[#This Row],[Broadcast Continent]]="Digital",Historic_BCast_BASE[[#This Row],[Programme Type]]="Digital"),"Y","N")</f>
        <v>Y</v>
      </c>
      <c r="M542" s="132" t="str">
        <f>IF(ISNUMBER(SEARCH("Pan ",Historic_BCast_BASE[[#This Row],[Broadcast Market]]))=TRUE,"Y","N")</f>
        <v>N</v>
      </c>
      <c r="N542" s="132" t="str">
        <f>VLOOKUP(CONCATENATE(Historic_BCast_BASE[[#This Row],[Broadcast Market]],Historic_BCast_BASE[[#This Row],[Broadcaster]]),Table1[[CC]:[Pay TV vs. Free-to-Air]],3,FALSE)</f>
        <v>Digital</v>
      </c>
      <c r="O542" s="133" t="str">
        <f>VLOOKUP(CONCATENATE(Historic_BCast_BASE[[#This Row],[Broadcast Market]],Historic_BCast_BASE[[#This Row],[Broadcaster]]),Table1[[CC]:[Pay TV vs. Free-to-Air]],2,FALSE)</f>
        <v>-</v>
      </c>
      <c r="P542" s="235">
        <f>Historic_BCast_BASE[[#This Row],[Rolex EXP]]*86400</f>
        <v>46064.984827178494</v>
      </c>
      <c r="Q542" s="19" t="str">
        <f>IF(Historic_BCast_BASE[[#This Row],[Dashboard Rated?]]="No","N","Y")</f>
        <v>Y</v>
      </c>
      <c r="S542" s="22"/>
    </row>
    <row r="543" spans="1:19" x14ac:dyDescent="0.25">
      <c r="A543" s="72" t="s">
        <v>1869</v>
      </c>
      <c r="B543" t="s">
        <v>45</v>
      </c>
      <c r="C543" t="s">
        <v>45</v>
      </c>
      <c r="D543" t="s">
        <v>45</v>
      </c>
      <c r="E543" s="102">
        <v>0.92519675925925926</v>
      </c>
      <c r="F543" s="101">
        <v>9767.8239328787786</v>
      </c>
      <c r="G543" s="102">
        <v>6.3053808264102104E-2</v>
      </c>
      <c r="H543" s="101">
        <v>1593.8279887878125</v>
      </c>
      <c r="I543" s="101">
        <v>451.19779724977468</v>
      </c>
      <c r="J543" s="160"/>
      <c r="K543" t="str">
        <f>VLOOKUP(Historic_BCast_BASE[[#This Row],[Broadcast Market]],Continent_Look_Up[],2,FALSE)</f>
        <v>Digital</v>
      </c>
      <c r="L543" s="132" t="str">
        <f>IF(OR(Historic_BCast_BASE[[#This Row],[Broadcast Continent]]="Digital",Historic_BCast_BASE[[#This Row],[Programme Type]]="Digital"),"Y","N")</f>
        <v>Y</v>
      </c>
      <c r="M543" s="132" t="str">
        <f>IF(ISNUMBER(SEARCH("Pan ",Historic_BCast_BASE[[#This Row],[Broadcast Market]]))=TRUE,"Y","N")</f>
        <v>N</v>
      </c>
      <c r="N543" s="132" t="str">
        <f>VLOOKUP(CONCATENATE(Historic_BCast_BASE[[#This Row],[Broadcast Market]],Historic_BCast_BASE[[#This Row],[Broadcaster]]),Table1[[CC]:[Pay TV vs. Free-to-Air]],3,FALSE)</f>
        <v>Digital</v>
      </c>
      <c r="O543" s="133" t="str">
        <f>VLOOKUP(CONCATENATE(Historic_BCast_BASE[[#This Row],[Broadcast Market]],Historic_BCast_BASE[[#This Row],[Broadcaster]]),Table1[[CC]:[Pay TV vs. Free-to-Air]],2,FALSE)</f>
        <v>-</v>
      </c>
      <c r="P543" s="235">
        <f>Historic_BCast_BASE[[#This Row],[Rolex EXP]]*86400</f>
        <v>5447.8490340184217</v>
      </c>
      <c r="Q543" s="19" t="str">
        <f>IF(Historic_BCast_BASE[[#This Row],[Dashboard Rated?]]="No","N","Y")</f>
        <v>Y</v>
      </c>
      <c r="S543" s="22"/>
    </row>
    <row r="544" spans="1:19" x14ac:dyDescent="0.25">
      <c r="A544" s="72" t="s">
        <v>1869</v>
      </c>
      <c r="B544" t="s">
        <v>45</v>
      </c>
      <c r="C544" t="s">
        <v>45</v>
      </c>
      <c r="D544" t="s">
        <v>45</v>
      </c>
      <c r="E544" s="102">
        <v>1.1555555555555557</v>
      </c>
      <c r="F544" s="101">
        <v>14206.020335032201</v>
      </c>
      <c r="G544" s="102">
        <v>0.11839960800836978</v>
      </c>
      <c r="H544" s="101">
        <v>1625.227256865116</v>
      </c>
      <c r="I544" s="101">
        <v>500.49359953296869</v>
      </c>
      <c r="J544" s="160"/>
      <c r="K544" t="str">
        <f>VLOOKUP(Historic_BCast_BASE[[#This Row],[Broadcast Market]],Continent_Look_Up[],2,FALSE)</f>
        <v>Digital</v>
      </c>
      <c r="L544" s="132" t="str">
        <f>IF(OR(Historic_BCast_BASE[[#This Row],[Broadcast Continent]]="Digital",Historic_BCast_BASE[[#This Row],[Programme Type]]="Digital"),"Y","N")</f>
        <v>Y</v>
      </c>
      <c r="M544" s="132" t="str">
        <f>IF(ISNUMBER(SEARCH("Pan ",Historic_BCast_BASE[[#This Row],[Broadcast Market]]))=TRUE,"Y","N")</f>
        <v>N</v>
      </c>
      <c r="N544" s="132" t="str">
        <f>VLOOKUP(CONCATENATE(Historic_BCast_BASE[[#This Row],[Broadcast Market]],Historic_BCast_BASE[[#This Row],[Broadcaster]]),Table1[[CC]:[Pay TV vs. Free-to-Air]],3,FALSE)</f>
        <v>Digital</v>
      </c>
      <c r="O544" s="133" t="str">
        <f>VLOOKUP(CONCATENATE(Historic_BCast_BASE[[#This Row],[Broadcast Market]],Historic_BCast_BASE[[#This Row],[Broadcaster]]),Table1[[CC]:[Pay TV vs. Free-to-Air]],2,FALSE)</f>
        <v>-</v>
      </c>
      <c r="P544" s="235">
        <f>Historic_BCast_BASE[[#This Row],[Rolex EXP]]*86400</f>
        <v>10229.726131923149</v>
      </c>
      <c r="Q544" s="19" t="str">
        <f>IF(Historic_BCast_BASE[[#This Row],[Dashboard Rated?]]="No","N","Y")</f>
        <v>Y</v>
      </c>
      <c r="S544" s="22"/>
    </row>
    <row r="545" spans="1:19" x14ac:dyDescent="0.25">
      <c r="A545" s="72" t="s">
        <v>1869</v>
      </c>
      <c r="B545" t="s">
        <v>45</v>
      </c>
      <c r="C545" t="s">
        <v>45</v>
      </c>
      <c r="D545" t="s">
        <v>45</v>
      </c>
      <c r="E545" s="102">
        <v>2.9608333333333334</v>
      </c>
      <c r="F545" s="101">
        <v>66026.295768784068</v>
      </c>
      <c r="G545" s="102">
        <v>0.34654565009975324</v>
      </c>
      <c r="H545" s="101">
        <v>19190.475156161283</v>
      </c>
      <c r="I545" s="101">
        <v>5554.6790616961989</v>
      </c>
      <c r="J545" s="160"/>
      <c r="K545" t="str">
        <f>VLOOKUP(Historic_BCast_BASE[[#This Row],[Broadcast Market]],Continent_Look_Up[],2,FALSE)</f>
        <v>Digital</v>
      </c>
      <c r="L545" s="132" t="str">
        <f>IF(OR(Historic_BCast_BASE[[#This Row],[Broadcast Continent]]="Digital",Historic_BCast_BASE[[#This Row],[Programme Type]]="Digital"),"Y","N")</f>
        <v>Y</v>
      </c>
      <c r="M545" s="132" t="str">
        <f>IF(ISNUMBER(SEARCH("Pan ",Historic_BCast_BASE[[#This Row],[Broadcast Market]]))=TRUE,"Y","N")</f>
        <v>N</v>
      </c>
      <c r="N545" s="132" t="str">
        <f>VLOOKUP(CONCATENATE(Historic_BCast_BASE[[#This Row],[Broadcast Market]],Historic_BCast_BASE[[#This Row],[Broadcaster]]),Table1[[CC]:[Pay TV vs. Free-to-Air]],3,FALSE)</f>
        <v>Digital</v>
      </c>
      <c r="O545" s="133" t="str">
        <f>VLOOKUP(CONCATENATE(Historic_BCast_BASE[[#This Row],[Broadcast Market]],Historic_BCast_BASE[[#This Row],[Broadcaster]]),Table1[[CC]:[Pay TV vs. Free-to-Air]],2,FALSE)</f>
        <v>-</v>
      </c>
      <c r="P545" s="235">
        <f>Historic_BCast_BASE[[#This Row],[Rolex EXP]]*86400</f>
        <v>29941.544168618679</v>
      </c>
      <c r="Q545" s="19" t="str">
        <f>IF(Historic_BCast_BASE[[#This Row],[Dashboard Rated?]]="No","N","Y")</f>
        <v>Y</v>
      </c>
      <c r="S545" s="22"/>
    </row>
    <row r="546" spans="1:19" x14ac:dyDescent="0.25">
      <c r="A546" s="72" t="s">
        <v>1869</v>
      </c>
      <c r="B546" t="s">
        <v>45</v>
      </c>
      <c r="C546" t="s">
        <v>45</v>
      </c>
      <c r="D546" t="s">
        <v>45</v>
      </c>
      <c r="E546" s="102">
        <v>2.5350925925925925</v>
      </c>
      <c r="F546" s="101">
        <v>17415.103034815384</v>
      </c>
      <c r="G546" s="102">
        <v>0.23658934051131941</v>
      </c>
      <c r="H546" s="101">
        <v>3687.0404507455601</v>
      </c>
      <c r="I546" s="101">
        <v>1087.9224651940449</v>
      </c>
      <c r="J546" s="160"/>
      <c r="K546" t="str">
        <f>VLOOKUP(Historic_BCast_BASE[[#This Row],[Broadcast Market]],Continent_Look_Up[],2,FALSE)</f>
        <v>Digital</v>
      </c>
      <c r="L546" s="132" t="str">
        <f>IF(OR(Historic_BCast_BASE[[#This Row],[Broadcast Continent]]="Digital",Historic_BCast_BASE[[#This Row],[Programme Type]]="Digital"),"Y","N")</f>
        <v>Y</v>
      </c>
      <c r="M546" s="132" t="str">
        <f>IF(ISNUMBER(SEARCH("Pan ",Historic_BCast_BASE[[#This Row],[Broadcast Market]]))=TRUE,"Y","N")</f>
        <v>N</v>
      </c>
      <c r="N546" s="132" t="str">
        <f>VLOOKUP(CONCATENATE(Historic_BCast_BASE[[#This Row],[Broadcast Market]],Historic_BCast_BASE[[#This Row],[Broadcaster]]),Table1[[CC]:[Pay TV vs. Free-to-Air]],3,FALSE)</f>
        <v>Digital</v>
      </c>
      <c r="O546" s="133" t="str">
        <f>VLOOKUP(CONCATENATE(Historic_BCast_BASE[[#This Row],[Broadcast Market]],Historic_BCast_BASE[[#This Row],[Broadcaster]]),Table1[[CC]:[Pay TV vs. Free-to-Air]],2,FALSE)</f>
        <v>-</v>
      </c>
      <c r="P546" s="235">
        <f>Historic_BCast_BASE[[#This Row],[Rolex EXP]]*86400</f>
        <v>20441.319020177998</v>
      </c>
      <c r="Q546" s="19" t="str">
        <f>IF(Historic_BCast_BASE[[#This Row],[Dashboard Rated?]]="No","N","Y")</f>
        <v>Y</v>
      </c>
      <c r="S546" s="22"/>
    </row>
    <row r="547" spans="1:19" x14ac:dyDescent="0.25">
      <c r="A547" s="72" t="s">
        <v>1869</v>
      </c>
      <c r="B547" t="s">
        <v>45</v>
      </c>
      <c r="C547" t="s">
        <v>45</v>
      </c>
      <c r="D547" t="s">
        <v>45</v>
      </c>
      <c r="E547" s="102">
        <v>5.8368055555555555E-2</v>
      </c>
      <c r="F547" s="101">
        <v>3151.2801366544236</v>
      </c>
      <c r="G547" s="102">
        <v>5.0652757008840471E-3</v>
      </c>
      <c r="H547" s="101">
        <v>47.099739657050613</v>
      </c>
      <c r="I547" s="101">
        <v>14.407427198765884</v>
      </c>
      <c r="J547" s="160"/>
      <c r="K547" t="str">
        <f>VLOOKUP(Historic_BCast_BASE[[#This Row],[Broadcast Market]],Continent_Look_Up[],2,FALSE)</f>
        <v>Digital</v>
      </c>
      <c r="L547" s="132" t="str">
        <f>IF(OR(Historic_BCast_BASE[[#This Row],[Broadcast Continent]]="Digital",Historic_BCast_BASE[[#This Row],[Programme Type]]="Digital"),"Y","N")</f>
        <v>Y</v>
      </c>
      <c r="M547" s="132" t="str">
        <f>IF(ISNUMBER(SEARCH("Pan ",Historic_BCast_BASE[[#This Row],[Broadcast Market]]))=TRUE,"Y","N")</f>
        <v>N</v>
      </c>
      <c r="N547" s="132" t="str">
        <f>VLOOKUP(CONCATENATE(Historic_BCast_BASE[[#This Row],[Broadcast Market]],Historic_BCast_BASE[[#This Row],[Broadcaster]]),Table1[[CC]:[Pay TV vs. Free-to-Air]],3,FALSE)</f>
        <v>Digital</v>
      </c>
      <c r="O547" s="133" t="str">
        <f>VLOOKUP(CONCATENATE(Historic_BCast_BASE[[#This Row],[Broadcast Market]],Historic_BCast_BASE[[#This Row],[Broadcaster]]),Table1[[CC]:[Pay TV vs. Free-to-Air]],2,FALSE)</f>
        <v>-</v>
      </c>
      <c r="P547" s="235">
        <f>Historic_BCast_BASE[[#This Row],[Rolex EXP]]*86400</f>
        <v>437.63982055638166</v>
      </c>
      <c r="Q547" s="19" t="str">
        <f>IF(Historic_BCast_BASE[[#This Row],[Dashboard Rated?]]="No","N","Y")</f>
        <v>Y</v>
      </c>
      <c r="S547" s="22"/>
    </row>
    <row r="548" spans="1:19" x14ac:dyDescent="0.25">
      <c r="A548" s="72" t="s">
        <v>1869</v>
      </c>
      <c r="B548" t="s">
        <v>45</v>
      </c>
      <c r="C548" t="s">
        <v>45</v>
      </c>
      <c r="D548" t="s">
        <v>45</v>
      </c>
      <c r="E548" s="102">
        <v>0.92663194444444441</v>
      </c>
      <c r="F548" s="101">
        <v>3790.1401245833185</v>
      </c>
      <c r="G548" s="102">
        <v>8.6527885472439961E-2</v>
      </c>
      <c r="H548" s="101">
        <v>1386.5150349110754</v>
      </c>
      <c r="I548" s="101">
        <v>417.17794097679615</v>
      </c>
      <c r="J548" s="160"/>
      <c r="K548" t="str">
        <f>VLOOKUP(Historic_BCast_BASE[[#This Row],[Broadcast Market]],Continent_Look_Up[],2,FALSE)</f>
        <v>Digital</v>
      </c>
      <c r="L548" s="132" t="str">
        <f>IF(OR(Historic_BCast_BASE[[#This Row],[Broadcast Continent]]="Digital",Historic_BCast_BASE[[#This Row],[Programme Type]]="Digital"),"Y","N")</f>
        <v>Y</v>
      </c>
      <c r="M548" s="132" t="str">
        <f>IF(ISNUMBER(SEARCH("Pan ",Historic_BCast_BASE[[#This Row],[Broadcast Market]]))=TRUE,"Y","N")</f>
        <v>N</v>
      </c>
      <c r="N548" s="132" t="str">
        <f>VLOOKUP(CONCATENATE(Historic_BCast_BASE[[#This Row],[Broadcast Market]],Historic_BCast_BASE[[#This Row],[Broadcaster]]),Table1[[CC]:[Pay TV vs. Free-to-Air]],3,FALSE)</f>
        <v>Digital</v>
      </c>
      <c r="O548" s="133" t="str">
        <f>VLOOKUP(CONCATENATE(Historic_BCast_BASE[[#This Row],[Broadcast Market]],Historic_BCast_BASE[[#This Row],[Broadcaster]]),Table1[[CC]:[Pay TV vs. Free-to-Air]],2,FALSE)</f>
        <v>-</v>
      </c>
      <c r="P548" s="235">
        <f>Historic_BCast_BASE[[#This Row],[Rolex EXP]]*86400</f>
        <v>7476.0093048188128</v>
      </c>
      <c r="Q548" s="19" t="str">
        <f>IF(Historic_BCast_BASE[[#This Row],[Dashboard Rated?]]="No","N","Y")</f>
        <v>Y</v>
      </c>
      <c r="S548" s="22"/>
    </row>
    <row r="549" spans="1:19" x14ac:dyDescent="0.25">
      <c r="A549" s="72" t="s">
        <v>1869</v>
      </c>
      <c r="B549" t="s">
        <v>45</v>
      </c>
      <c r="C549" t="s">
        <v>45</v>
      </c>
      <c r="D549" t="s">
        <v>45</v>
      </c>
      <c r="E549" s="102">
        <v>7.273148148148148E-2</v>
      </c>
      <c r="F549" s="101">
        <v>57.802563128772597</v>
      </c>
      <c r="G549" s="102">
        <v>6.7444398685694686E-3</v>
      </c>
      <c r="H549" s="101">
        <v>8.4531524402618263</v>
      </c>
      <c r="I549" s="101">
        <v>2.6949887823642182</v>
      </c>
      <c r="J549" s="160"/>
      <c r="K549" t="str">
        <f>VLOOKUP(Historic_BCast_BASE[[#This Row],[Broadcast Market]],Continent_Look_Up[],2,FALSE)</f>
        <v>Digital</v>
      </c>
      <c r="L549" s="132" t="str">
        <f>IF(OR(Historic_BCast_BASE[[#This Row],[Broadcast Continent]]="Digital",Historic_BCast_BASE[[#This Row],[Programme Type]]="Digital"),"Y","N")</f>
        <v>Y</v>
      </c>
      <c r="M549" s="132" t="str">
        <f>IF(ISNUMBER(SEARCH("Pan ",Historic_BCast_BASE[[#This Row],[Broadcast Market]]))=TRUE,"Y","N")</f>
        <v>N</v>
      </c>
      <c r="N549" s="132" t="str">
        <f>VLOOKUP(CONCATENATE(Historic_BCast_BASE[[#This Row],[Broadcast Market]],Historic_BCast_BASE[[#This Row],[Broadcaster]]),Table1[[CC]:[Pay TV vs. Free-to-Air]],3,FALSE)</f>
        <v>Digital</v>
      </c>
      <c r="O549" s="133" t="str">
        <f>VLOOKUP(CONCATENATE(Historic_BCast_BASE[[#This Row],[Broadcast Market]],Historic_BCast_BASE[[#This Row],[Broadcaster]]),Table1[[CC]:[Pay TV vs. Free-to-Air]],2,FALSE)</f>
        <v>-</v>
      </c>
      <c r="P549" s="235">
        <f>Historic_BCast_BASE[[#This Row],[Rolex EXP]]*86400</f>
        <v>582.71960464440212</v>
      </c>
      <c r="Q549" s="19" t="str">
        <f>IF(Historic_BCast_BASE[[#This Row],[Dashboard Rated?]]="No","N","Y")</f>
        <v>Y</v>
      </c>
      <c r="S549" s="22"/>
    </row>
    <row r="550" spans="1:19" x14ac:dyDescent="0.25">
      <c r="A550" s="72" t="s">
        <v>1869</v>
      </c>
      <c r="B550" t="s">
        <v>45</v>
      </c>
      <c r="C550" t="s">
        <v>45</v>
      </c>
      <c r="D550" t="s">
        <v>45</v>
      </c>
      <c r="E550" s="102">
        <v>0.15835648148148149</v>
      </c>
      <c r="F550" s="101">
        <v>14439.8895054512</v>
      </c>
      <c r="G550" s="102">
        <v>1.2912051115028737E-2</v>
      </c>
      <c r="H550" s="101">
        <v>458.4104125554307</v>
      </c>
      <c r="I550" s="101">
        <v>136.35955180418503</v>
      </c>
      <c r="J550" s="160"/>
      <c r="K550" t="str">
        <f>VLOOKUP(Historic_BCast_BASE[[#This Row],[Broadcast Market]],Continent_Look_Up[],2,FALSE)</f>
        <v>Digital</v>
      </c>
      <c r="L550" s="132" t="str">
        <f>IF(OR(Historic_BCast_BASE[[#This Row],[Broadcast Continent]]="Digital",Historic_BCast_BASE[[#This Row],[Programme Type]]="Digital"),"Y","N")</f>
        <v>Y</v>
      </c>
      <c r="M550" s="132" t="str">
        <f>IF(ISNUMBER(SEARCH("Pan ",Historic_BCast_BASE[[#This Row],[Broadcast Market]]))=TRUE,"Y","N")</f>
        <v>N</v>
      </c>
      <c r="N550" s="132" t="str">
        <f>VLOOKUP(CONCATENATE(Historic_BCast_BASE[[#This Row],[Broadcast Market]],Historic_BCast_BASE[[#This Row],[Broadcaster]]),Table1[[CC]:[Pay TV vs. Free-to-Air]],3,FALSE)</f>
        <v>Digital</v>
      </c>
      <c r="O550" s="133" t="str">
        <f>VLOOKUP(CONCATENATE(Historic_BCast_BASE[[#This Row],[Broadcast Market]],Historic_BCast_BASE[[#This Row],[Broadcaster]]),Table1[[CC]:[Pay TV vs. Free-to-Air]],2,FALSE)</f>
        <v>-</v>
      </c>
      <c r="P550" s="235">
        <f>Historic_BCast_BASE[[#This Row],[Rolex EXP]]*86400</f>
        <v>1115.6012163384828</v>
      </c>
      <c r="Q550" s="19" t="str">
        <f>IF(Historic_BCast_BASE[[#This Row],[Dashboard Rated?]]="No","N","Y")</f>
        <v>Y</v>
      </c>
      <c r="S550" s="22"/>
    </row>
    <row r="551" spans="1:19" x14ac:dyDescent="0.25">
      <c r="A551" s="72" t="s">
        <v>1869</v>
      </c>
      <c r="B551" t="s">
        <v>45</v>
      </c>
      <c r="C551" t="s">
        <v>45</v>
      </c>
      <c r="D551" t="s">
        <v>45</v>
      </c>
      <c r="E551" s="102">
        <v>1.248136574074074</v>
      </c>
      <c r="F551" s="101">
        <v>20924.430941923456</v>
      </c>
      <c r="G551" s="102">
        <v>0.11248931114588738</v>
      </c>
      <c r="H551" s="101">
        <v>7944.1035712802068</v>
      </c>
      <c r="I551" s="101">
        <v>2375.9590050480806</v>
      </c>
      <c r="J551" s="160"/>
      <c r="K551" t="str">
        <f>VLOOKUP(Historic_BCast_BASE[[#This Row],[Broadcast Market]],Continent_Look_Up[],2,FALSE)</f>
        <v>Digital</v>
      </c>
      <c r="L551" s="132" t="str">
        <f>IF(OR(Historic_BCast_BASE[[#This Row],[Broadcast Continent]]="Digital",Historic_BCast_BASE[[#This Row],[Programme Type]]="Digital"),"Y","N")</f>
        <v>Y</v>
      </c>
      <c r="M551" s="132" t="str">
        <f>IF(ISNUMBER(SEARCH("Pan ",Historic_BCast_BASE[[#This Row],[Broadcast Market]]))=TRUE,"Y","N")</f>
        <v>N</v>
      </c>
      <c r="N551" s="132" t="str">
        <f>VLOOKUP(CONCATENATE(Historic_BCast_BASE[[#This Row],[Broadcast Market]],Historic_BCast_BASE[[#This Row],[Broadcaster]]),Table1[[CC]:[Pay TV vs. Free-to-Air]],3,FALSE)</f>
        <v>Digital</v>
      </c>
      <c r="O551" s="133" t="str">
        <f>VLOOKUP(CONCATENATE(Historic_BCast_BASE[[#This Row],[Broadcast Market]],Historic_BCast_BASE[[#This Row],[Broadcaster]]),Table1[[CC]:[Pay TV vs. Free-to-Air]],2,FALSE)</f>
        <v>-</v>
      </c>
      <c r="P551" s="235">
        <f>Historic_BCast_BASE[[#This Row],[Rolex EXP]]*86400</f>
        <v>9719.0764830046701</v>
      </c>
      <c r="Q551" s="19" t="str">
        <f>IF(Historic_BCast_BASE[[#This Row],[Dashboard Rated?]]="No","N","Y")</f>
        <v>Y</v>
      </c>
      <c r="S551" s="22"/>
    </row>
    <row r="552" spans="1:19" x14ac:dyDescent="0.25">
      <c r="A552" s="72" t="s">
        <v>1869</v>
      </c>
      <c r="B552" t="s">
        <v>45</v>
      </c>
      <c r="C552" t="s">
        <v>45</v>
      </c>
      <c r="D552" t="s">
        <v>45</v>
      </c>
      <c r="E552" s="102">
        <v>0.95370370370370372</v>
      </c>
      <c r="F552" s="101">
        <v>3456.5932751006026</v>
      </c>
      <c r="G552" s="102">
        <v>8.1689273880346233E-2</v>
      </c>
      <c r="H552" s="101">
        <v>916.95907380651568</v>
      </c>
      <c r="I552" s="101">
        <v>275.15389224504605</v>
      </c>
      <c r="J552" s="160"/>
      <c r="K552" t="str">
        <f>VLOOKUP(Historic_BCast_BASE[[#This Row],[Broadcast Market]],Continent_Look_Up[],2,FALSE)</f>
        <v>Digital</v>
      </c>
      <c r="L552" s="132" t="str">
        <f>IF(OR(Historic_BCast_BASE[[#This Row],[Broadcast Continent]]="Digital",Historic_BCast_BASE[[#This Row],[Programme Type]]="Digital"),"Y","N")</f>
        <v>Y</v>
      </c>
      <c r="M552" s="132" t="str">
        <f>IF(ISNUMBER(SEARCH("Pan ",Historic_BCast_BASE[[#This Row],[Broadcast Market]]))=TRUE,"Y","N")</f>
        <v>N</v>
      </c>
      <c r="N552" s="132" t="str">
        <f>VLOOKUP(CONCATENATE(Historic_BCast_BASE[[#This Row],[Broadcast Market]],Historic_BCast_BASE[[#This Row],[Broadcaster]]),Table1[[CC]:[Pay TV vs. Free-to-Air]],3,FALSE)</f>
        <v>Digital</v>
      </c>
      <c r="O552" s="133" t="str">
        <f>VLOOKUP(CONCATENATE(Historic_BCast_BASE[[#This Row],[Broadcast Market]],Historic_BCast_BASE[[#This Row],[Broadcaster]]),Table1[[CC]:[Pay TV vs. Free-to-Air]],2,FALSE)</f>
        <v>-</v>
      </c>
      <c r="P552" s="235">
        <f>Historic_BCast_BASE[[#This Row],[Rolex EXP]]*86400</f>
        <v>7057.9532632619148</v>
      </c>
      <c r="Q552" s="19" t="str">
        <f>IF(Historic_BCast_BASE[[#This Row],[Dashboard Rated?]]="No","N","Y")</f>
        <v>Y</v>
      </c>
      <c r="S552" s="22"/>
    </row>
    <row r="553" spans="1:19" x14ac:dyDescent="0.25">
      <c r="A553" s="72" t="s">
        <v>1869</v>
      </c>
      <c r="B553" t="s">
        <v>45</v>
      </c>
      <c r="C553" t="s">
        <v>45</v>
      </c>
      <c r="D553" t="s">
        <v>45</v>
      </c>
      <c r="E553" s="102">
        <v>8.8067129629629634E-2</v>
      </c>
      <c r="F553" s="101">
        <v>26859.00140392052</v>
      </c>
      <c r="G553" s="102">
        <v>6.7935761586079878E-3</v>
      </c>
      <c r="H553" s="101">
        <v>525.53976988258569</v>
      </c>
      <c r="I553" s="101">
        <v>152.27905981597556</v>
      </c>
      <c r="J553" s="160"/>
      <c r="K553" t="str">
        <f>VLOOKUP(Historic_BCast_BASE[[#This Row],[Broadcast Market]],Continent_Look_Up[],2,FALSE)</f>
        <v>Digital</v>
      </c>
      <c r="L553" s="132" t="str">
        <f>IF(OR(Historic_BCast_BASE[[#This Row],[Broadcast Continent]]="Digital",Historic_BCast_BASE[[#This Row],[Programme Type]]="Digital"),"Y","N")</f>
        <v>Y</v>
      </c>
      <c r="M553" s="132" t="str">
        <f>IF(ISNUMBER(SEARCH("Pan ",Historic_BCast_BASE[[#This Row],[Broadcast Market]]))=TRUE,"Y","N")</f>
        <v>N</v>
      </c>
      <c r="N553" s="132" t="str">
        <f>VLOOKUP(CONCATENATE(Historic_BCast_BASE[[#This Row],[Broadcast Market]],Historic_BCast_BASE[[#This Row],[Broadcaster]]),Table1[[CC]:[Pay TV vs. Free-to-Air]],3,FALSE)</f>
        <v>Digital</v>
      </c>
      <c r="O553" s="133" t="str">
        <f>VLOOKUP(CONCATENATE(Historic_BCast_BASE[[#This Row],[Broadcast Market]],Historic_BCast_BASE[[#This Row],[Broadcaster]]),Table1[[CC]:[Pay TV vs. Free-to-Air]],2,FALSE)</f>
        <v>-</v>
      </c>
      <c r="P553" s="235">
        <f>Historic_BCast_BASE[[#This Row],[Rolex EXP]]*86400</f>
        <v>586.96498010373011</v>
      </c>
      <c r="Q553" s="19" t="str">
        <f>IF(Historic_BCast_BASE[[#This Row],[Dashboard Rated?]]="No","N","Y")</f>
        <v>Y</v>
      </c>
      <c r="S553" s="22"/>
    </row>
    <row r="554" spans="1:19" x14ac:dyDescent="0.25">
      <c r="A554" s="72" t="s">
        <v>1869</v>
      </c>
      <c r="B554" t="s">
        <v>45</v>
      </c>
      <c r="C554" t="s">
        <v>45</v>
      </c>
      <c r="D554" t="s">
        <v>45</v>
      </c>
      <c r="E554" s="102">
        <v>0.96932870370370372</v>
      </c>
      <c r="F554" s="101">
        <v>35224.384019338009</v>
      </c>
      <c r="G554" s="102">
        <v>7.924913141018014E-2</v>
      </c>
      <c r="H554" s="101">
        <v>11037.446165088211</v>
      </c>
      <c r="I554" s="101">
        <v>3329.1501627376506</v>
      </c>
      <c r="J554" s="160"/>
      <c r="K554" t="str">
        <f>VLOOKUP(Historic_BCast_BASE[[#This Row],[Broadcast Market]],Continent_Look_Up[],2,FALSE)</f>
        <v>Digital</v>
      </c>
      <c r="L554" s="132" t="str">
        <f>IF(OR(Historic_BCast_BASE[[#This Row],[Broadcast Continent]]="Digital",Historic_BCast_BASE[[#This Row],[Programme Type]]="Digital"),"Y","N")</f>
        <v>Y</v>
      </c>
      <c r="M554" s="132" t="str">
        <f>IF(ISNUMBER(SEARCH("Pan ",Historic_BCast_BASE[[#This Row],[Broadcast Market]]))=TRUE,"Y","N")</f>
        <v>N</v>
      </c>
      <c r="N554" s="132" t="str">
        <f>VLOOKUP(CONCATENATE(Historic_BCast_BASE[[#This Row],[Broadcast Market]],Historic_BCast_BASE[[#This Row],[Broadcaster]]),Table1[[CC]:[Pay TV vs. Free-to-Air]],3,FALSE)</f>
        <v>Digital</v>
      </c>
      <c r="O554" s="133" t="str">
        <f>VLOOKUP(CONCATENATE(Historic_BCast_BASE[[#This Row],[Broadcast Market]],Historic_BCast_BASE[[#This Row],[Broadcaster]]),Table1[[CC]:[Pay TV vs. Free-to-Air]],2,FALSE)</f>
        <v>-</v>
      </c>
      <c r="P554" s="235">
        <f>Historic_BCast_BASE[[#This Row],[Rolex EXP]]*86400</f>
        <v>6847.1249538395641</v>
      </c>
      <c r="Q554" s="19" t="str">
        <f>IF(Historic_BCast_BASE[[#This Row],[Dashboard Rated?]]="No","N","Y")</f>
        <v>Y</v>
      </c>
      <c r="S554" s="22"/>
    </row>
    <row r="555" spans="1:19" x14ac:dyDescent="0.25">
      <c r="A555" s="72" t="s">
        <v>1869</v>
      </c>
      <c r="B555" t="s">
        <v>45</v>
      </c>
      <c r="C555" t="s">
        <v>45</v>
      </c>
      <c r="D555" t="s">
        <v>45</v>
      </c>
      <c r="E555" s="102">
        <v>0.3552777777777778</v>
      </c>
      <c r="F555" s="101">
        <v>1306.3379267102619</v>
      </c>
      <c r="G555" s="102">
        <v>2.7200971121977908E-2</v>
      </c>
      <c r="H555" s="101">
        <v>486.13465932930382</v>
      </c>
      <c r="I555" s="101">
        <v>147.16646549059149</v>
      </c>
      <c r="J555" s="160"/>
      <c r="K555" t="str">
        <f>VLOOKUP(Historic_BCast_BASE[[#This Row],[Broadcast Market]],Continent_Look_Up[],2,FALSE)</f>
        <v>Digital</v>
      </c>
      <c r="L555" s="132" t="str">
        <f>IF(OR(Historic_BCast_BASE[[#This Row],[Broadcast Continent]]="Digital",Historic_BCast_BASE[[#This Row],[Programme Type]]="Digital"),"Y","N")</f>
        <v>Y</v>
      </c>
      <c r="M555" s="132" t="str">
        <f>IF(ISNUMBER(SEARCH("Pan ",Historic_BCast_BASE[[#This Row],[Broadcast Market]]))=TRUE,"Y","N")</f>
        <v>N</v>
      </c>
      <c r="N555" s="132" t="str">
        <f>VLOOKUP(CONCATENATE(Historic_BCast_BASE[[#This Row],[Broadcast Market]],Historic_BCast_BASE[[#This Row],[Broadcaster]]),Table1[[CC]:[Pay TV vs. Free-to-Air]],3,FALSE)</f>
        <v>Digital</v>
      </c>
      <c r="O555" s="133" t="str">
        <f>VLOOKUP(CONCATENATE(Historic_BCast_BASE[[#This Row],[Broadcast Market]],Historic_BCast_BASE[[#This Row],[Broadcaster]]),Table1[[CC]:[Pay TV vs. Free-to-Air]],2,FALSE)</f>
        <v>-</v>
      </c>
      <c r="P555" s="235">
        <f>Historic_BCast_BASE[[#This Row],[Rolex EXP]]*86400</f>
        <v>2350.1639049388914</v>
      </c>
      <c r="Q555" s="19" t="str">
        <f>IF(Historic_BCast_BASE[[#This Row],[Dashboard Rated?]]="No","N","Y")</f>
        <v>Y</v>
      </c>
      <c r="S555" s="22"/>
    </row>
    <row r="556" spans="1:19" x14ac:dyDescent="0.25">
      <c r="A556" s="72" t="s">
        <v>1869</v>
      </c>
      <c r="B556" t="s">
        <v>45</v>
      </c>
      <c r="C556" t="s">
        <v>45</v>
      </c>
      <c r="D556" t="s">
        <v>45</v>
      </c>
      <c r="E556" s="102">
        <v>0.64583333333333337</v>
      </c>
      <c r="F556" s="101">
        <v>100167.64843834657</v>
      </c>
      <c r="G556" s="102">
        <v>6.1703626942856062E-2</v>
      </c>
      <c r="H556" s="101">
        <v>7935.7964618215183</v>
      </c>
      <c r="I556" s="101">
        <v>2279.8055147322139</v>
      </c>
      <c r="J556" s="160"/>
      <c r="K556" t="str">
        <f>VLOOKUP(Historic_BCast_BASE[[#This Row],[Broadcast Market]],Continent_Look_Up[],2,FALSE)</f>
        <v>Digital</v>
      </c>
      <c r="L556" s="132" t="str">
        <f>IF(OR(Historic_BCast_BASE[[#This Row],[Broadcast Continent]]="Digital",Historic_BCast_BASE[[#This Row],[Programme Type]]="Digital"),"Y","N")</f>
        <v>Y</v>
      </c>
      <c r="M556" s="132" t="str">
        <f>IF(ISNUMBER(SEARCH("Pan ",Historic_BCast_BASE[[#This Row],[Broadcast Market]]))=TRUE,"Y","N")</f>
        <v>N</v>
      </c>
      <c r="N556" s="132" t="str">
        <f>VLOOKUP(CONCATENATE(Historic_BCast_BASE[[#This Row],[Broadcast Market]],Historic_BCast_BASE[[#This Row],[Broadcaster]]),Table1[[CC]:[Pay TV vs. Free-to-Air]],3,FALSE)</f>
        <v>Digital</v>
      </c>
      <c r="O556" s="133" t="str">
        <f>VLOOKUP(CONCATENATE(Historic_BCast_BASE[[#This Row],[Broadcast Market]],Historic_BCast_BASE[[#This Row],[Broadcaster]]),Table1[[CC]:[Pay TV vs. Free-to-Air]],2,FALSE)</f>
        <v>-</v>
      </c>
      <c r="P556" s="235">
        <f>Historic_BCast_BASE[[#This Row],[Rolex EXP]]*86400</f>
        <v>5331.1933678627638</v>
      </c>
      <c r="Q556" s="19" t="str">
        <f>IF(Historic_BCast_BASE[[#This Row],[Dashboard Rated?]]="No","N","Y")</f>
        <v>Y</v>
      </c>
      <c r="S556" s="22"/>
    </row>
    <row r="557" spans="1:19" x14ac:dyDescent="0.25">
      <c r="A557" s="72" t="s">
        <v>1869</v>
      </c>
      <c r="B557" t="s">
        <v>45</v>
      </c>
      <c r="C557" t="s">
        <v>45</v>
      </c>
      <c r="D557" t="s">
        <v>45</v>
      </c>
      <c r="E557" s="102">
        <v>5.958333333333333</v>
      </c>
      <c r="F557" s="101">
        <v>124997.43521467182</v>
      </c>
      <c r="G557" s="102">
        <v>0.56312375124448888</v>
      </c>
      <c r="H557" s="101">
        <v>103766.03599428521</v>
      </c>
      <c r="I557" s="101">
        <v>29803.697414251561</v>
      </c>
      <c r="J557" s="160"/>
      <c r="K557" t="str">
        <f>VLOOKUP(Historic_BCast_BASE[[#This Row],[Broadcast Market]],Continent_Look_Up[],2,FALSE)</f>
        <v>Digital</v>
      </c>
      <c r="L557" s="132" t="str">
        <f>IF(OR(Historic_BCast_BASE[[#This Row],[Broadcast Continent]]="Digital",Historic_BCast_BASE[[#This Row],[Programme Type]]="Digital"),"Y","N")</f>
        <v>Y</v>
      </c>
      <c r="M557" s="132" t="str">
        <f>IF(ISNUMBER(SEARCH("Pan ",Historic_BCast_BASE[[#This Row],[Broadcast Market]]))=TRUE,"Y","N")</f>
        <v>N</v>
      </c>
      <c r="N557" s="132" t="str">
        <f>VLOOKUP(CONCATENATE(Historic_BCast_BASE[[#This Row],[Broadcast Market]],Historic_BCast_BASE[[#This Row],[Broadcaster]]),Table1[[CC]:[Pay TV vs. Free-to-Air]],3,FALSE)</f>
        <v>Digital</v>
      </c>
      <c r="O557" s="133" t="str">
        <f>VLOOKUP(CONCATENATE(Historic_BCast_BASE[[#This Row],[Broadcast Market]],Historic_BCast_BASE[[#This Row],[Broadcaster]]),Table1[[CC]:[Pay TV vs. Free-to-Air]],2,FALSE)</f>
        <v>-</v>
      </c>
      <c r="P557" s="235">
        <f>Historic_BCast_BASE[[#This Row],[Rolex EXP]]*86400</f>
        <v>48653.89210752384</v>
      </c>
      <c r="Q557" s="19" t="str">
        <f>IF(Historic_BCast_BASE[[#This Row],[Dashboard Rated?]]="No","N","Y")</f>
        <v>Y</v>
      </c>
      <c r="S557" s="22"/>
    </row>
    <row r="558" spans="1:19" x14ac:dyDescent="0.25">
      <c r="A558" s="72" t="s">
        <v>1869</v>
      </c>
      <c r="B558" t="s">
        <v>45</v>
      </c>
      <c r="C558" t="s">
        <v>45</v>
      </c>
      <c r="D558" t="s">
        <v>45</v>
      </c>
      <c r="E558" s="102">
        <v>1.7083333333333333</v>
      </c>
      <c r="F558" s="101">
        <v>40722.473635978</v>
      </c>
      <c r="G558" s="102">
        <v>0.16321604546174839</v>
      </c>
      <c r="H558" s="101">
        <v>13227.599885438907</v>
      </c>
      <c r="I558" s="101">
        <v>3800.0414086443175</v>
      </c>
      <c r="J558" s="160"/>
      <c r="K558" t="str">
        <f>VLOOKUP(Historic_BCast_BASE[[#This Row],[Broadcast Market]],Continent_Look_Up[],2,FALSE)</f>
        <v>Digital</v>
      </c>
      <c r="L558" s="132" t="str">
        <f>IF(OR(Historic_BCast_BASE[[#This Row],[Broadcast Continent]]="Digital",Historic_BCast_BASE[[#This Row],[Programme Type]]="Digital"),"Y","N")</f>
        <v>Y</v>
      </c>
      <c r="M558" s="132" t="str">
        <f>IF(ISNUMBER(SEARCH("Pan ",Historic_BCast_BASE[[#This Row],[Broadcast Market]]))=TRUE,"Y","N")</f>
        <v>N</v>
      </c>
      <c r="N558" s="132" t="str">
        <f>VLOOKUP(CONCATENATE(Historic_BCast_BASE[[#This Row],[Broadcast Market]],Historic_BCast_BASE[[#This Row],[Broadcaster]]),Table1[[CC]:[Pay TV vs. Free-to-Air]],3,FALSE)</f>
        <v>Digital</v>
      </c>
      <c r="O558" s="133" t="str">
        <f>VLOOKUP(CONCATENATE(Historic_BCast_BASE[[#This Row],[Broadcast Market]],Historic_BCast_BASE[[#This Row],[Broadcaster]]),Table1[[CC]:[Pay TV vs. Free-to-Air]],2,FALSE)</f>
        <v>-</v>
      </c>
      <c r="P558" s="235">
        <f>Historic_BCast_BASE[[#This Row],[Rolex EXP]]*86400</f>
        <v>14101.866327895061</v>
      </c>
      <c r="Q558" s="19" t="str">
        <f>IF(Historic_BCast_BASE[[#This Row],[Dashboard Rated?]]="No","N","Y")</f>
        <v>Y</v>
      </c>
      <c r="S558" s="22"/>
    </row>
    <row r="559" spans="1:19" x14ac:dyDescent="0.25">
      <c r="A559" s="72" t="s">
        <v>1869</v>
      </c>
      <c r="B559" t="s">
        <v>45</v>
      </c>
      <c r="C559" t="s">
        <v>45</v>
      </c>
      <c r="D559" t="s">
        <v>45</v>
      </c>
      <c r="E559" s="102">
        <v>8.3333333333333329E-2</v>
      </c>
      <c r="F559" s="101">
        <v>18789.803384126797</v>
      </c>
      <c r="G559" s="102">
        <v>7.9617583152072381E-3</v>
      </c>
      <c r="H559" s="101">
        <v>1488.6248957501909</v>
      </c>
      <c r="I559" s="101">
        <v>427.65401847516307</v>
      </c>
      <c r="J559" s="160"/>
      <c r="K559" t="str">
        <f>VLOOKUP(Historic_BCast_BASE[[#This Row],[Broadcast Market]],Continent_Look_Up[],2,FALSE)</f>
        <v>Digital</v>
      </c>
      <c r="L559" s="132" t="str">
        <f>IF(OR(Historic_BCast_BASE[[#This Row],[Broadcast Continent]]="Digital",Historic_BCast_BASE[[#This Row],[Programme Type]]="Digital"),"Y","N")</f>
        <v>Y</v>
      </c>
      <c r="M559" s="132" t="str">
        <f>IF(ISNUMBER(SEARCH("Pan ",Historic_BCast_BASE[[#This Row],[Broadcast Market]]))=TRUE,"Y","N")</f>
        <v>N</v>
      </c>
      <c r="N559" s="132" t="str">
        <f>VLOOKUP(CONCATENATE(Historic_BCast_BASE[[#This Row],[Broadcast Market]],Historic_BCast_BASE[[#This Row],[Broadcaster]]),Table1[[CC]:[Pay TV vs. Free-to-Air]],3,FALSE)</f>
        <v>Digital</v>
      </c>
      <c r="O559" s="133" t="str">
        <f>VLOOKUP(CONCATENATE(Historic_BCast_BASE[[#This Row],[Broadcast Market]],Historic_BCast_BASE[[#This Row],[Broadcaster]]),Table1[[CC]:[Pay TV vs. Free-to-Air]],2,FALSE)</f>
        <v>-</v>
      </c>
      <c r="P559" s="235">
        <f>Historic_BCast_BASE[[#This Row],[Rolex EXP]]*86400</f>
        <v>687.89591843390542</v>
      </c>
      <c r="Q559" s="19" t="str">
        <f>IF(Historic_BCast_BASE[[#This Row],[Dashboard Rated?]]="No","N","Y")</f>
        <v>Y</v>
      </c>
      <c r="S559" s="22"/>
    </row>
    <row r="560" spans="1:19" x14ac:dyDescent="0.25">
      <c r="A560" s="72" t="s">
        <v>1869</v>
      </c>
      <c r="B560" t="s">
        <v>45</v>
      </c>
      <c r="C560" t="s">
        <v>45</v>
      </c>
      <c r="D560" t="s">
        <v>45</v>
      </c>
      <c r="E560" s="102">
        <v>0.16666666666666666</v>
      </c>
      <c r="F560" s="101">
        <v>4057.4671394267998</v>
      </c>
      <c r="G560" s="102">
        <v>1.5923516630414473E-2</v>
      </c>
      <c r="H560" s="101">
        <v>1285.8136881925054</v>
      </c>
      <c r="I560" s="101">
        <v>369.39016157511071</v>
      </c>
      <c r="J560" s="160"/>
      <c r="K560" t="str">
        <f>VLOOKUP(Historic_BCast_BASE[[#This Row],[Broadcast Market]],Continent_Look_Up[],2,FALSE)</f>
        <v>Digital</v>
      </c>
      <c r="L560" s="132" t="str">
        <f>IF(OR(Historic_BCast_BASE[[#This Row],[Broadcast Continent]]="Digital",Historic_BCast_BASE[[#This Row],[Programme Type]]="Digital"),"Y","N")</f>
        <v>Y</v>
      </c>
      <c r="M560" s="132" t="str">
        <f>IF(ISNUMBER(SEARCH("Pan ",Historic_BCast_BASE[[#This Row],[Broadcast Market]]))=TRUE,"Y","N")</f>
        <v>N</v>
      </c>
      <c r="N560" s="132" t="str">
        <f>VLOOKUP(CONCATENATE(Historic_BCast_BASE[[#This Row],[Broadcast Market]],Historic_BCast_BASE[[#This Row],[Broadcaster]]),Table1[[CC]:[Pay TV vs. Free-to-Air]],3,FALSE)</f>
        <v>Digital</v>
      </c>
      <c r="O560" s="133" t="str">
        <f>VLOOKUP(CONCATENATE(Historic_BCast_BASE[[#This Row],[Broadcast Market]],Historic_BCast_BASE[[#This Row],[Broadcaster]]),Table1[[CC]:[Pay TV vs. Free-to-Air]],2,FALSE)</f>
        <v>-</v>
      </c>
      <c r="P560" s="235">
        <f>Historic_BCast_BASE[[#This Row],[Rolex EXP]]*86400</f>
        <v>1375.7918368678104</v>
      </c>
      <c r="Q560" s="19" t="str">
        <f>IF(Historic_BCast_BASE[[#This Row],[Dashboard Rated?]]="No","N","Y")</f>
        <v>Y</v>
      </c>
      <c r="S560" s="22"/>
    </row>
    <row r="561" spans="1:19" x14ac:dyDescent="0.25">
      <c r="A561" s="72" t="s">
        <v>1869</v>
      </c>
      <c r="B561" t="s">
        <v>45</v>
      </c>
      <c r="C561" t="s">
        <v>45</v>
      </c>
      <c r="D561" t="s">
        <v>45</v>
      </c>
      <c r="E561" s="102">
        <v>0.58333333333333337</v>
      </c>
      <c r="F561" s="101">
        <v>92434.339547588461</v>
      </c>
      <c r="G561" s="102">
        <v>5.5732308206450643E-2</v>
      </c>
      <c r="H561" s="101">
        <v>7323.1239443946515</v>
      </c>
      <c r="I561" s="101">
        <v>2103.7961890552774</v>
      </c>
      <c r="J561" s="160"/>
      <c r="K561" t="str">
        <f>VLOOKUP(Historic_BCast_BASE[[#This Row],[Broadcast Market]],Continent_Look_Up[],2,FALSE)</f>
        <v>Digital</v>
      </c>
      <c r="L561" s="132" t="str">
        <f>IF(OR(Historic_BCast_BASE[[#This Row],[Broadcast Continent]]="Digital",Historic_BCast_BASE[[#This Row],[Programme Type]]="Digital"),"Y","N")</f>
        <v>Y</v>
      </c>
      <c r="M561" s="132" t="str">
        <f>IF(ISNUMBER(SEARCH("Pan ",Historic_BCast_BASE[[#This Row],[Broadcast Market]]))=TRUE,"Y","N")</f>
        <v>N</v>
      </c>
      <c r="N561" s="132" t="str">
        <f>VLOOKUP(CONCATENATE(Historic_BCast_BASE[[#This Row],[Broadcast Market]],Historic_BCast_BASE[[#This Row],[Broadcaster]]),Table1[[CC]:[Pay TV vs. Free-to-Air]],3,FALSE)</f>
        <v>Digital</v>
      </c>
      <c r="O561" s="133" t="str">
        <f>VLOOKUP(CONCATENATE(Historic_BCast_BASE[[#This Row],[Broadcast Market]],Historic_BCast_BASE[[#This Row],[Broadcaster]]),Table1[[CC]:[Pay TV vs. Free-to-Air]],2,FALSE)</f>
        <v>-</v>
      </c>
      <c r="P561" s="235">
        <f>Historic_BCast_BASE[[#This Row],[Rolex EXP]]*86400</f>
        <v>4815.2714290373351</v>
      </c>
      <c r="Q561" s="19" t="str">
        <f>IF(Historic_BCast_BASE[[#This Row],[Dashboard Rated?]]="No","N","Y")</f>
        <v>Y</v>
      </c>
      <c r="S561" s="22"/>
    </row>
    <row r="562" spans="1:19" x14ac:dyDescent="0.25">
      <c r="A562" s="72" t="s">
        <v>1869</v>
      </c>
      <c r="B562" t="s">
        <v>45</v>
      </c>
      <c r="C562" t="s">
        <v>45</v>
      </c>
      <c r="D562" t="s">
        <v>45</v>
      </c>
      <c r="E562" s="102">
        <v>5.875</v>
      </c>
      <c r="F562" s="101">
        <v>119936.60323253338</v>
      </c>
      <c r="G562" s="102">
        <v>0.5551619929292817</v>
      </c>
      <c r="H562" s="101">
        <v>101932.38042352955</v>
      </c>
      <c r="I562" s="101">
        <v>29276.945266183451</v>
      </c>
      <c r="J562" s="160"/>
      <c r="K562" t="str">
        <f>VLOOKUP(Historic_BCast_BASE[[#This Row],[Broadcast Market]],Continent_Look_Up[],2,FALSE)</f>
        <v>Digital</v>
      </c>
      <c r="L562" s="132" t="str">
        <f>IF(OR(Historic_BCast_BASE[[#This Row],[Broadcast Continent]]="Digital",Historic_BCast_BASE[[#This Row],[Programme Type]]="Digital"),"Y","N")</f>
        <v>Y</v>
      </c>
      <c r="M562" s="132" t="str">
        <f>IF(ISNUMBER(SEARCH("Pan ",Historic_BCast_BASE[[#This Row],[Broadcast Market]]))=TRUE,"Y","N")</f>
        <v>N</v>
      </c>
      <c r="N562" s="132" t="str">
        <f>VLOOKUP(CONCATENATE(Historic_BCast_BASE[[#This Row],[Broadcast Market]],Historic_BCast_BASE[[#This Row],[Broadcaster]]),Table1[[CC]:[Pay TV vs. Free-to-Air]],3,FALSE)</f>
        <v>Digital</v>
      </c>
      <c r="O562" s="133" t="str">
        <f>VLOOKUP(CONCATENATE(Historic_BCast_BASE[[#This Row],[Broadcast Market]],Historic_BCast_BASE[[#This Row],[Broadcaster]]),Table1[[CC]:[Pay TV vs. Free-to-Air]],2,FALSE)</f>
        <v>-</v>
      </c>
      <c r="P562" s="235">
        <f>Historic_BCast_BASE[[#This Row],[Rolex EXP]]*86400</f>
        <v>47965.996189089936</v>
      </c>
      <c r="Q562" s="19" t="str">
        <f>IF(Historic_BCast_BASE[[#This Row],[Dashboard Rated?]]="No","N","Y")</f>
        <v>Y</v>
      </c>
      <c r="S562" s="22"/>
    </row>
    <row r="563" spans="1:19" x14ac:dyDescent="0.25">
      <c r="A563" s="72" t="s">
        <v>1869</v>
      </c>
      <c r="B563" t="s">
        <v>45</v>
      </c>
      <c r="C563" t="s">
        <v>45</v>
      </c>
      <c r="D563" t="s">
        <v>45</v>
      </c>
      <c r="E563" s="102">
        <v>1.4131944444444444</v>
      </c>
      <c r="F563" s="101">
        <v>74717.284833793907</v>
      </c>
      <c r="G563" s="102">
        <v>0.13501815142872273</v>
      </c>
      <c r="H563" s="101">
        <v>24853.561101000938</v>
      </c>
      <c r="I563" s="101">
        <v>7139.9620606940834</v>
      </c>
      <c r="J563" s="160"/>
      <c r="K563" t="str">
        <f>VLOOKUP(Historic_BCast_BASE[[#This Row],[Broadcast Market]],Continent_Look_Up[],2,FALSE)</f>
        <v>Digital</v>
      </c>
      <c r="L563" s="132" t="str">
        <f>IF(OR(Historic_BCast_BASE[[#This Row],[Broadcast Continent]]="Digital",Historic_BCast_BASE[[#This Row],[Programme Type]]="Digital"),"Y","N")</f>
        <v>Y</v>
      </c>
      <c r="M563" s="132" t="str">
        <f>IF(ISNUMBER(SEARCH("Pan ",Historic_BCast_BASE[[#This Row],[Broadcast Market]]))=TRUE,"Y","N")</f>
        <v>N</v>
      </c>
      <c r="N563" s="132" t="str">
        <f>VLOOKUP(CONCATENATE(Historic_BCast_BASE[[#This Row],[Broadcast Market]],Historic_BCast_BASE[[#This Row],[Broadcaster]]),Table1[[CC]:[Pay TV vs. Free-to-Air]],3,FALSE)</f>
        <v>Digital</v>
      </c>
      <c r="O563" s="133" t="str">
        <f>VLOOKUP(CONCATENATE(Historic_BCast_BASE[[#This Row],[Broadcast Market]],Historic_BCast_BASE[[#This Row],[Broadcaster]]),Table1[[CC]:[Pay TV vs. Free-to-Air]],2,FALSE)</f>
        <v>-</v>
      </c>
      <c r="P563" s="235">
        <f>Historic_BCast_BASE[[#This Row],[Rolex EXP]]*86400</f>
        <v>11665.568283441644</v>
      </c>
      <c r="Q563" s="19" t="str">
        <f>IF(Historic_BCast_BASE[[#This Row],[Dashboard Rated?]]="No","N","Y")</f>
        <v>Y</v>
      </c>
      <c r="S563" s="22"/>
    </row>
    <row r="564" spans="1:19" x14ac:dyDescent="0.25">
      <c r="A564" s="72" t="s">
        <v>1869</v>
      </c>
      <c r="B564" t="s">
        <v>45</v>
      </c>
      <c r="C564" t="s">
        <v>45</v>
      </c>
      <c r="D564" t="s">
        <v>45</v>
      </c>
      <c r="E564" s="102">
        <v>6.0465277777777784</v>
      </c>
      <c r="F564" s="101">
        <v>690794</v>
      </c>
      <c r="G564" s="102">
        <v>0.56095749042645304</v>
      </c>
      <c r="H564" s="101">
        <v>585239.67433398392</v>
      </c>
      <c r="I564" s="101">
        <v>172300.36563112237</v>
      </c>
      <c r="J564" s="160"/>
      <c r="K564" t="str">
        <f>VLOOKUP(Historic_BCast_BASE[[#This Row],[Broadcast Market]],Continent_Look_Up[],2,FALSE)</f>
        <v>Digital</v>
      </c>
      <c r="L564" s="132" t="str">
        <f>IF(OR(Historic_BCast_BASE[[#This Row],[Broadcast Continent]]="Digital",Historic_BCast_BASE[[#This Row],[Programme Type]]="Digital"),"Y","N")</f>
        <v>Y</v>
      </c>
      <c r="M564" s="132" t="str">
        <f>IF(ISNUMBER(SEARCH("Pan ",Historic_BCast_BASE[[#This Row],[Broadcast Market]]))=TRUE,"Y","N")</f>
        <v>N</v>
      </c>
      <c r="N564" s="132" t="str">
        <f>VLOOKUP(CONCATENATE(Historic_BCast_BASE[[#This Row],[Broadcast Market]],Historic_BCast_BASE[[#This Row],[Broadcaster]]),Table1[[CC]:[Pay TV vs. Free-to-Air]],3,FALSE)</f>
        <v>Digital</v>
      </c>
      <c r="O564" s="133" t="str">
        <f>VLOOKUP(CONCATENATE(Historic_BCast_BASE[[#This Row],[Broadcast Market]],Historic_BCast_BASE[[#This Row],[Broadcaster]]),Table1[[CC]:[Pay TV vs. Free-to-Air]],2,FALSE)</f>
        <v>-</v>
      </c>
      <c r="P564" s="235">
        <f>Historic_BCast_BASE[[#This Row],[Rolex EXP]]*86400</f>
        <v>48466.727172845545</v>
      </c>
      <c r="Q564" s="19" t="str">
        <f>IF(Historic_BCast_BASE[[#This Row],[Dashboard Rated?]]="No","N","Y")</f>
        <v>Y</v>
      </c>
      <c r="S564" s="22"/>
    </row>
    <row r="565" spans="1:19" x14ac:dyDescent="0.25">
      <c r="A565" s="72" t="s">
        <v>1869</v>
      </c>
      <c r="B565" t="s">
        <v>45</v>
      </c>
      <c r="C565" t="s">
        <v>45</v>
      </c>
      <c r="D565" t="s">
        <v>45</v>
      </c>
      <c r="E565" s="102">
        <v>9.7222222222222224E-3</v>
      </c>
      <c r="F565" s="101">
        <v>100425.097206762</v>
      </c>
      <c r="G565" s="102">
        <v>7.9978337824272239E-4</v>
      </c>
      <c r="H565" s="101">
        <v>3196.8972510036747</v>
      </c>
      <c r="I565" s="101">
        <v>976.53421304600772</v>
      </c>
      <c r="J565" s="160"/>
      <c r="K565" t="str">
        <f>VLOOKUP(Historic_BCast_BASE[[#This Row],[Broadcast Market]],Continent_Look_Up[],2,FALSE)</f>
        <v>Digital</v>
      </c>
      <c r="L565" s="132" t="str">
        <f>IF(OR(Historic_BCast_BASE[[#This Row],[Broadcast Continent]]="Digital",Historic_BCast_BASE[[#This Row],[Programme Type]]="Digital"),"Y","N")</f>
        <v>Y</v>
      </c>
      <c r="M565" s="132" t="str">
        <f>IF(ISNUMBER(SEARCH("Pan ",Historic_BCast_BASE[[#This Row],[Broadcast Market]]))=TRUE,"Y","N")</f>
        <v>N</v>
      </c>
      <c r="N565" s="132" t="str">
        <f>VLOOKUP(CONCATENATE(Historic_BCast_BASE[[#This Row],[Broadcast Market]],Historic_BCast_BASE[[#This Row],[Broadcaster]]),Table1[[CC]:[Pay TV vs. Free-to-Air]],3,FALSE)</f>
        <v>Digital</v>
      </c>
      <c r="O565" s="133" t="str">
        <f>VLOOKUP(CONCATENATE(Historic_BCast_BASE[[#This Row],[Broadcast Market]],Historic_BCast_BASE[[#This Row],[Broadcaster]]),Table1[[CC]:[Pay TV vs. Free-to-Air]],2,FALSE)</f>
        <v>-</v>
      </c>
      <c r="P565" s="235">
        <f>Historic_BCast_BASE[[#This Row],[Rolex EXP]]*86400</f>
        <v>69.101283880171209</v>
      </c>
      <c r="Q565" s="19" t="str">
        <f>IF(Historic_BCast_BASE[[#This Row],[Dashboard Rated?]]="No","N","Y")</f>
        <v>Y</v>
      </c>
      <c r="S565" s="22"/>
    </row>
    <row r="566" spans="1:19" x14ac:dyDescent="0.25">
      <c r="A566" s="72" t="s">
        <v>1869</v>
      </c>
      <c r="B566" t="s">
        <v>45</v>
      </c>
      <c r="C566" t="s">
        <v>45</v>
      </c>
      <c r="D566" t="s">
        <v>45</v>
      </c>
      <c r="E566" s="102">
        <v>3.8416666666666668</v>
      </c>
      <c r="F566" s="101">
        <v>2191622.0682643703</v>
      </c>
      <c r="G566" s="102">
        <v>0.35865416172395487</v>
      </c>
      <c r="H566" s="101">
        <v>1691091.6639073766</v>
      </c>
      <c r="I566" s="101">
        <v>503272.78831698926</v>
      </c>
      <c r="J566" s="160"/>
      <c r="K566" t="str">
        <f>VLOOKUP(Historic_BCast_BASE[[#This Row],[Broadcast Market]],Continent_Look_Up[],2,FALSE)</f>
        <v>Digital</v>
      </c>
      <c r="L566" s="132" t="str">
        <f>IF(OR(Historic_BCast_BASE[[#This Row],[Broadcast Continent]]="Digital",Historic_BCast_BASE[[#This Row],[Programme Type]]="Digital"),"Y","N")</f>
        <v>Y</v>
      </c>
      <c r="M566" s="132" t="str">
        <f>IF(ISNUMBER(SEARCH("Pan ",Historic_BCast_BASE[[#This Row],[Broadcast Market]]))=TRUE,"Y","N")</f>
        <v>N</v>
      </c>
      <c r="N566" s="132" t="str">
        <f>VLOOKUP(CONCATENATE(Historic_BCast_BASE[[#This Row],[Broadcast Market]],Historic_BCast_BASE[[#This Row],[Broadcaster]]),Table1[[CC]:[Pay TV vs. Free-to-Air]],3,FALSE)</f>
        <v>Digital</v>
      </c>
      <c r="O566" s="133" t="str">
        <f>VLOOKUP(CONCATENATE(Historic_BCast_BASE[[#This Row],[Broadcast Market]],Historic_BCast_BASE[[#This Row],[Broadcaster]]),Table1[[CC]:[Pay TV vs. Free-to-Air]],2,FALSE)</f>
        <v>-</v>
      </c>
      <c r="P566" s="235">
        <f>Historic_BCast_BASE[[#This Row],[Rolex EXP]]*86400</f>
        <v>30987.7195729497</v>
      </c>
      <c r="Q566" s="19" t="str">
        <f>IF(Historic_BCast_BASE[[#This Row],[Dashboard Rated?]]="No","N","Y")</f>
        <v>Y</v>
      </c>
      <c r="S566" s="22"/>
    </row>
    <row r="567" spans="1:19" x14ac:dyDescent="0.25">
      <c r="A567" s="72" t="s">
        <v>1869</v>
      </c>
      <c r="B567" t="s">
        <v>45</v>
      </c>
      <c r="C567" t="s">
        <v>45</v>
      </c>
      <c r="D567" t="s">
        <v>45</v>
      </c>
      <c r="E567" s="102">
        <v>3.6805555555555557E-2</v>
      </c>
      <c r="F567" s="101">
        <v>15527.30015929921</v>
      </c>
      <c r="G567" s="102">
        <v>3.0277513604903064E-3</v>
      </c>
      <c r="H567" s="101">
        <v>936.03689406051478</v>
      </c>
      <c r="I567" s="101">
        <v>285.92475139338262</v>
      </c>
      <c r="J567" s="160"/>
      <c r="K567" t="str">
        <f>VLOOKUP(Historic_BCast_BASE[[#This Row],[Broadcast Market]],Continent_Look_Up[],2,FALSE)</f>
        <v>Digital</v>
      </c>
      <c r="L567" s="132" t="str">
        <f>IF(OR(Historic_BCast_BASE[[#This Row],[Broadcast Continent]]="Digital",Historic_BCast_BASE[[#This Row],[Programme Type]]="Digital"),"Y","N")</f>
        <v>Y</v>
      </c>
      <c r="M567" s="132" t="str">
        <f>IF(ISNUMBER(SEARCH("Pan ",Historic_BCast_BASE[[#This Row],[Broadcast Market]]))=TRUE,"Y","N")</f>
        <v>N</v>
      </c>
      <c r="N567" s="132" t="str">
        <f>VLOOKUP(CONCATENATE(Historic_BCast_BASE[[#This Row],[Broadcast Market]],Historic_BCast_BASE[[#This Row],[Broadcaster]]),Table1[[CC]:[Pay TV vs. Free-to-Air]],3,FALSE)</f>
        <v>Digital</v>
      </c>
      <c r="O567" s="133" t="str">
        <f>VLOOKUP(CONCATENATE(Historic_BCast_BASE[[#This Row],[Broadcast Market]],Historic_BCast_BASE[[#This Row],[Broadcaster]]),Table1[[CC]:[Pay TV vs. Free-to-Air]],2,FALSE)</f>
        <v>-</v>
      </c>
      <c r="P567" s="235">
        <f>Historic_BCast_BASE[[#This Row],[Rolex EXP]]*86400</f>
        <v>261.59771754636245</v>
      </c>
      <c r="Q567" s="19" t="str">
        <f>IF(Historic_BCast_BASE[[#This Row],[Dashboard Rated?]]="No","N","Y")</f>
        <v>Y</v>
      </c>
      <c r="S567" s="22"/>
    </row>
    <row r="568" spans="1:19" x14ac:dyDescent="0.25">
      <c r="A568" s="72" t="s">
        <v>1869</v>
      </c>
      <c r="B568" t="s">
        <v>45</v>
      </c>
      <c r="C568" t="s">
        <v>45</v>
      </c>
      <c r="D568" t="s">
        <v>45</v>
      </c>
      <c r="E568" s="102">
        <v>2.4402777777777778</v>
      </c>
      <c r="F568" s="101">
        <v>1243098.5040136001</v>
      </c>
      <c r="G568" s="102">
        <v>0.22479529594295847</v>
      </c>
      <c r="H568" s="101">
        <v>769061.57790154917</v>
      </c>
      <c r="I568" s="101">
        <v>220812.90001603178</v>
      </c>
      <c r="J568" s="160"/>
      <c r="K568" t="str">
        <f>VLOOKUP(Historic_BCast_BASE[[#This Row],[Broadcast Market]],Continent_Look_Up[],2,FALSE)</f>
        <v>Digital</v>
      </c>
      <c r="L568" s="132" t="str">
        <f>IF(OR(Historic_BCast_BASE[[#This Row],[Broadcast Continent]]="Digital",Historic_BCast_BASE[[#This Row],[Programme Type]]="Digital"),"Y","N")</f>
        <v>Y</v>
      </c>
      <c r="M568" s="132" t="str">
        <f>IF(ISNUMBER(SEARCH("Pan ",Historic_BCast_BASE[[#This Row],[Broadcast Market]]))=TRUE,"Y","N")</f>
        <v>N</v>
      </c>
      <c r="N568" s="132" t="str">
        <f>VLOOKUP(CONCATENATE(Historic_BCast_BASE[[#This Row],[Broadcast Market]],Historic_BCast_BASE[[#This Row],[Broadcaster]]),Table1[[CC]:[Pay TV vs. Free-to-Air]],3,FALSE)</f>
        <v>Digital</v>
      </c>
      <c r="O568" s="133" t="str">
        <f>VLOOKUP(CONCATENATE(Historic_BCast_BASE[[#This Row],[Broadcast Market]],Historic_BCast_BASE[[#This Row],[Broadcaster]]),Table1[[CC]:[Pay TV vs. Free-to-Air]],2,FALSE)</f>
        <v>-</v>
      </c>
      <c r="P568" s="235">
        <f>Historic_BCast_BASE[[#This Row],[Rolex EXP]]*86400</f>
        <v>19422.313569471611</v>
      </c>
      <c r="Q568" s="19" t="str">
        <f>IF(Historic_BCast_BASE[[#This Row],[Dashboard Rated?]]="No","N","Y")</f>
        <v>Y</v>
      </c>
      <c r="S568" s="22"/>
    </row>
    <row r="569" spans="1:19" x14ac:dyDescent="0.25">
      <c r="A569" s="72" t="s">
        <v>1869</v>
      </c>
      <c r="B569" t="s">
        <v>45</v>
      </c>
      <c r="C569" t="s">
        <v>45</v>
      </c>
      <c r="D569" t="s">
        <v>45</v>
      </c>
      <c r="E569" s="102">
        <v>6.0465277777777784</v>
      </c>
      <c r="F569" s="101">
        <v>79104.325952857427</v>
      </c>
      <c r="G569" s="102">
        <v>0.56095749042645304</v>
      </c>
      <c r="H569" s="101">
        <v>65010.488448191703</v>
      </c>
      <c r="I569" s="101">
        <v>19134.262301868876</v>
      </c>
      <c r="J569" s="160"/>
      <c r="K569" t="str">
        <f>VLOOKUP(Historic_BCast_BASE[[#This Row],[Broadcast Market]],Continent_Look_Up[],2,FALSE)</f>
        <v>Digital</v>
      </c>
      <c r="L569" s="132" t="str">
        <f>IF(OR(Historic_BCast_BASE[[#This Row],[Broadcast Continent]]="Digital",Historic_BCast_BASE[[#This Row],[Programme Type]]="Digital"),"Y","N")</f>
        <v>Y</v>
      </c>
      <c r="M569" s="132" t="str">
        <f>IF(ISNUMBER(SEARCH("Pan ",Historic_BCast_BASE[[#This Row],[Broadcast Market]]))=TRUE,"Y","N")</f>
        <v>N</v>
      </c>
      <c r="N569" s="132" t="str">
        <f>VLOOKUP(CONCATENATE(Historic_BCast_BASE[[#This Row],[Broadcast Market]],Historic_BCast_BASE[[#This Row],[Broadcaster]]),Table1[[CC]:[Pay TV vs. Free-to-Air]],3,FALSE)</f>
        <v>Digital</v>
      </c>
      <c r="O569" s="133" t="str">
        <f>VLOOKUP(CONCATENATE(Historic_BCast_BASE[[#This Row],[Broadcast Market]],Historic_BCast_BASE[[#This Row],[Broadcaster]]),Table1[[CC]:[Pay TV vs. Free-to-Air]],2,FALSE)</f>
        <v>-</v>
      </c>
      <c r="P569" s="235">
        <f>Historic_BCast_BASE[[#This Row],[Rolex EXP]]*86400</f>
        <v>48466.727172845545</v>
      </c>
      <c r="Q569" s="19" t="str">
        <f>IF(Historic_BCast_BASE[[#This Row],[Dashboard Rated?]]="No","N","Y")</f>
        <v>Y</v>
      </c>
      <c r="S569" s="22"/>
    </row>
    <row r="570" spans="1:19" x14ac:dyDescent="0.25">
      <c r="A570" s="72" t="s">
        <v>1869</v>
      </c>
      <c r="B570" t="s">
        <v>45</v>
      </c>
      <c r="C570" t="s">
        <v>45</v>
      </c>
      <c r="D570" t="s">
        <v>45</v>
      </c>
      <c r="E570" s="102">
        <v>2.2916666666666669E-2</v>
      </c>
      <c r="F570" s="101">
        <v>1887.63256838539</v>
      </c>
      <c r="G570" s="102">
        <v>1.8852036772864171E-3</v>
      </c>
      <c r="H570" s="101">
        <v>141.64126064993815</v>
      </c>
      <c r="I570" s="101">
        <v>43.266181595359868</v>
      </c>
      <c r="J570" s="160"/>
      <c r="K570" t="str">
        <f>VLOOKUP(Historic_BCast_BASE[[#This Row],[Broadcast Market]],Continent_Look_Up[],2,FALSE)</f>
        <v>Digital</v>
      </c>
      <c r="L570" s="132" t="str">
        <f>IF(OR(Historic_BCast_BASE[[#This Row],[Broadcast Continent]]="Digital",Historic_BCast_BASE[[#This Row],[Programme Type]]="Digital"),"Y","N")</f>
        <v>Y</v>
      </c>
      <c r="M570" s="132" t="str">
        <f>IF(ISNUMBER(SEARCH("Pan ",Historic_BCast_BASE[[#This Row],[Broadcast Market]]))=TRUE,"Y","N")</f>
        <v>N</v>
      </c>
      <c r="N570" s="132" t="str">
        <f>VLOOKUP(CONCATENATE(Historic_BCast_BASE[[#This Row],[Broadcast Market]],Historic_BCast_BASE[[#This Row],[Broadcaster]]),Table1[[CC]:[Pay TV vs. Free-to-Air]],3,FALSE)</f>
        <v>Digital</v>
      </c>
      <c r="O570" s="133" t="str">
        <f>VLOOKUP(CONCATENATE(Historic_BCast_BASE[[#This Row],[Broadcast Market]],Historic_BCast_BASE[[#This Row],[Broadcaster]]),Table1[[CC]:[Pay TV vs. Free-to-Air]],2,FALSE)</f>
        <v>-</v>
      </c>
      <c r="P570" s="235">
        <f>Historic_BCast_BASE[[#This Row],[Rolex EXP]]*86400</f>
        <v>162.88159771754644</v>
      </c>
      <c r="Q570" s="19" t="str">
        <f>IF(Historic_BCast_BASE[[#This Row],[Dashboard Rated?]]="No","N","Y")</f>
        <v>Y</v>
      </c>
      <c r="S570" s="22"/>
    </row>
    <row r="571" spans="1:19" x14ac:dyDescent="0.25">
      <c r="A571" s="72" t="s">
        <v>1869</v>
      </c>
      <c r="B571" t="s">
        <v>45</v>
      </c>
      <c r="C571" t="s">
        <v>45</v>
      </c>
      <c r="D571" t="s">
        <v>45</v>
      </c>
      <c r="E571" s="102">
        <v>3.3874999999999997</v>
      </c>
      <c r="F571" s="101">
        <v>30332.315742201434</v>
      </c>
      <c r="G571" s="102">
        <v>0.3152733064481929</v>
      </c>
      <c r="H571" s="101">
        <v>17672.009973546501</v>
      </c>
      <c r="I571" s="101">
        <v>5218.0931874560874</v>
      </c>
      <c r="J571" s="160"/>
      <c r="K571" t="str">
        <f>VLOOKUP(Historic_BCast_BASE[[#This Row],[Broadcast Market]],Continent_Look_Up[],2,FALSE)</f>
        <v>Digital</v>
      </c>
      <c r="L571" s="132" t="str">
        <f>IF(OR(Historic_BCast_BASE[[#This Row],[Broadcast Continent]]="Digital",Historic_BCast_BASE[[#This Row],[Programme Type]]="Digital"),"Y","N")</f>
        <v>Y</v>
      </c>
      <c r="M571" s="132" t="str">
        <f>IF(ISNUMBER(SEARCH("Pan ",Historic_BCast_BASE[[#This Row],[Broadcast Market]]))=TRUE,"Y","N")</f>
        <v>N</v>
      </c>
      <c r="N571" s="132" t="str">
        <f>VLOOKUP(CONCATENATE(Historic_BCast_BASE[[#This Row],[Broadcast Market]],Historic_BCast_BASE[[#This Row],[Broadcaster]]),Table1[[CC]:[Pay TV vs. Free-to-Air]],3,FALSE)</f>
        <v>Digital</v>
      </c>
      <c r="O571" s="133" t="str">
        <f>VLOOKUP(CONCATENATE(Historic_BCast_BASE[[#This Row],[Broadcast Market]],Historic_BCast_BASE[[#This Row],[Broadcaster]]),Table1[[CC]:[Pay TV vs. Free-to-Air]],2,FALSE)</f>
        <v>-</v>
      </c>
      <c r="P571" s="235">
        <f>Historic_BCast_BASE[[#This Row],[Rolex EXP]]*86400</f>
        <v>27239.613677123867</v>
      </c>
      <c r="Q571" s="19" t="str">
        <f>IF(Historic_BCast_BASE[[#This Row],[Dashboard Rated?]]="No","N","Y")</f>
        <v>Y</v>
      </c>
      <c r="S571" s="22"/>
    </row>
    <row r="572" spans="1:19" x14ac:dyDescent="0.25">
      <c r="A572" s="72" t="s">
        <v>1869</v>
      </c>
      <c r="B572" t="s">
        <v>45</v>
      </c>
      <c r="C572" t="s">
        <v>45</v>
      </c>
      <c r="D572" t="s">
        <v>45</v>
      </c>
      <c r="E572" s="102">
        <v>1.7402777777777778</v>
      </c>
      <c r="F572" s="101">
        <v>281848.50792294071</v>
      </c>
      <c r="G572" s="102">
        <v>0.16091792390640938</v>
      </c>
      <c r="H572" s="101">
        <v>31644.790384320117</v>
      </c>
      <c r="I572" s="101">
        <v>9123.5069701496705</v>
      </c>
      <c r="J572" s="160"/>
      <c r="K572" t="str">
        <f>VLOOKUP(Historic_BCast_BASE[[#This Row],[Broadcast Market]],Continent_Look_Up[],2,FALSE)</f>
        <v>Digital</v>
      </c>
      <c r="L572" s="132" t="str">
        <f>IF(OR(Historic_BCast_BASE[[#This Row],[Broadcast Continent]]="Digital",Historic_BCast_BASE[[#This Row],[Programme Type]]="Digital"),"Y","N")</f>
        <v>Y</v>
      </c>
      <c r="M572" s="132" t="str">
        <f>IF(ISNUMBER(SEARCH("Pan ",Historic_BCast_BASE[[#This Row],[Broadcast Market]]))=TRUE,"Y","N")</f>
        <v>N</v>
      </c>
      <c r="N572" s="132" t="str">
        <f>VLOOKUP(CONCATENATE(Historic_BCast_BASE[[#This Row],[Broadcast Market]],Historic_BCast_BASE[[#This Row],[Broadcaster]]),Table1[[CC]:[Pay TV vs. Free-to-Air]],3,FALSE)</f>
        <v>Digital</v>
      </c>
      <c r="O572" s="133" t="str">
        <f>VLOOKUP(CONCATENATE(Historic_BCast_BASE[[#This Row],[Broadcast Market]],Historic_BCast_BASE[[#This Row],[Broadcaster]]),Table1[[CC]:[Pay TV vs. Free-to-Air]],2,FALSE)</f>
        <v>-</v>
      </c>
      <c r="P572" s="235">
        <f>Historic_BCast_BASE[[#This Row],[Rolex EXP]]*86400</f>
        <v>13903.308625513771</v>
      </c>
      <c r="Q572" s="19" t="str">
        <f>IF(Historic_BCast_BASE[[#This Row],[Dashboard Rated?]]="No","N","Y")</f>
        <v>Y</v>
      </c>
      <c r="S572" s="22"/>
    </row>
    <row r="573" spans="1:19" x14ac:dyDescent="0.25">
      <c r="A573" s="72" t="s">
        <v>1869</v>
      </c>
      <c r="B573" t="s">
        <v>45</v>
      </c>
      <c r="C573" t="s">
        <v>45</v>
      </c>
      <c r="D573" t="s">
        <v>45</v>
      </c>
      <c r="E573" s="102">
        <v>0.29930555555555555</v>
      </c>
      <c r="F573" s="101">
        <v>27700.108658906782</v>
      </c>
      <c r="G573" s="102">
        <v>2.2395222942085496E-2</v>
      </c>
      <c r="H573" s="101">
        <v>9658.0103790211888</v>
      </c>
      <c r="I573" s="101">
        <v>2723.6554507876344</v>
      </c>
      <c r="J573" s="160"/>
      <c r="K573" t="str">
        <f>VLOOKUP(Historic_BCast_BASE[[#This Row],[Broadcast Market]],Continent_Look_Up[],2,FALSE)</f>
        <v>Digital</v>
      </c>
      <c r="L573" s="132" t="str">
        <f>IF(OR(Historic_BCast_BASE[[#This Row],[Broadcast Continent]]="Digital",Historic_BCast_BASE[[#This Row],[Programme Type]]="Digital"),"Y","N")</f>
        <v>Y</v>
      </c>
      <c r="M573" s="132" t="str">
        <f>IF(ISNUMBER(SEARCH("Pan ",Historic_BCast_BASE[[#This Row],[Broadcast Market]]))=TRUE,"Y","N")</f>
        <v>N</v>
      </c>
      <c r="N573" s="132" t="str">
        <f>VLOOKUP(CONCATENATE(Historic_BCast_BASE[[#This Row],[Broadcast Market]],Historic_BCast_BASE[[#This Row],[Broadcaster]]),Table1[[CC]:[Pay TV vs. Free-to-Air]],3,FALSE)</f>
        <v>Digital</v>
      </c>
      <c r="O573" s="133" t="str">
        <f>VLOOKUP(CONCATENATE(Historic_BCast_BASE[[#This Row],[Broadcast Market]],Historic_BCast_BASE[[#This Row],[Broadcaster]]),Table1[[CC]:[Pay TV vs. Free-to-Air]],2,FALSE)</f>
        <v>-</v>
      </c>
      <c r="P573" s="235">
        <f>Historic_BCast_BASE[[#This Row],[Rolex EXP]]*86400</f>
        <v>1934.9472621961868</v>
      </c>
      <c r="Q573" s="19" t="str">
        <f>IF(Historic_BCast_BASE[[#This Row],[Dashboard Rated?]]="No","N","Y")</f>
        <v>Y</v>
      </c>
      <c r="S573" s="22"/>
    </row>
    <row r="574" spans="1:19" x14ac:dyDescent="0.25">
      <c r="A574" s="72" t="s">
        <v>1869</v>
      </c>
      <c r="B574" t="s">
        <v>45</v>
      </c>
      <c r="C574" t="s">
        <v>45</v>
      </c>
      <c r="D574" t="s">
        <v>45</v>
      </c>
      <c r="E574" s="102">
        <v>3.4027777777777781</v>
      </c>
      <c r="F574" s="101">
        <v>235169.02901953208</v>
      </c>
      <c r="G574" s="102">
        <v>0.31028870942472692</v>
      </c>
      <c r="H574" s="101">
        <v>61472.798368519347</v>
      </c>
      <c r="I574" s="101">
        <v>17843.127134199589</v>
      </c>
      <c r="J574" s="160"/>
      <c r="K574" t="str">
        <f>VLOOKUP(Historic_BCast_BASE[[#This Row],[Broadcast Market]],Continent_Look_Up[],2,FALSE)</f>
        <v>Digital</v>
      </c>
      <c r="L574" s="132" t="str">
        <f>IF(OR(Historic_BCast_BASE[[#This Row],[Broadcast Continent]]="Digital",Historic_BCast_BASE[[#This Row],[Programme Type]]="Digital"),"Y","N")</f>
        <v>Y</v>
      </c>
      <c r="M574" s="132" t="str">
        <f>IF(ISNUMBER(SEARCH("Pan ",Historic_BCast_BASE[[#This Row],[Broadcast Market]]))=TRUE,"Y","N")</f>
        <v>N</v>
      </c>
      <c r="N574" s="132" t="str">
        <f>VLOOKUP(CONCATENATE(Historic_BCast_BASE[[#This Row],[Broadcast Market]],Historic_BCast_BASE[[#This Row],[Broadcaster]]),Table1[[CC]:[Pay TV vs. Free-to-Air]],3,FALSE)</f>
        <v>Digital</v>
      </c>
      <c r="O574" s="133" t="str">
        <f>VLOOKUP(CONCATENATE(Historic_BCast_BASE[[#This Row],[Broadcast Market]],Historic_BCast_BASE[[#This Row],[Broadcaster]]),Table1[[CC]:[Pay TV vs. Free-to-Air]],2,FALSE)</f>
        <v>-</v>
      </c>
      <c r="P574" s="235">
        <f>Historic_BCast_BASE[[#This Row],[Rolex EXP]]*86400</f>
        <v>26808.944494296407</v>
      </c>
      <c r="Q574" s="19" t="str">
        <f>IF(Historic_BCast_BASE[[#This Row],[Dashboard Rated?]]="No","N","Y")</f>
        <v>Y</v>
      </c>
      <c r="S574" s="22"/>
    </row>
    <row r="575" spans="1:19" x14ac:dyDescent="0.25">
      <c r="A575" s="72" t="s">
        <v>1869</v>
      </c>
      <c r="B575" t="s">
        <v>45</v>
      </c>
      <c r="C575" t="s">
        <v>45</v>
      </c>
      <c r="D575" t="s">
        <v>45</v>
      </c>
      <c r="E575" s="102">
        <v>2.8541666666666665</v>
      </c>
      <c r="F575" s="101">
        <v>32656.146398115216</v>
      </c>
      <c r="G575" s="102">
        <v>0.25753005398437262</v>
      </c>
      <c r="H575" s="101">
        <v>3713.87308043234</v>
      </c>
      <c r="I575" s="101">
        <v>1083.8218455700369</v>
      </c>
      <c r="J575" s="160"/>
      <c r="K575" t="str">
        <f>VLOOKUP(Historic_BCast_BASE[[#This Row],[Broadcast Market]],Continent_Look_Up[],2,FALSE)</f>
        <v>Digital</v>
      </c>
      <c r="L575" s="132" t="str">
        <f>IF(OR(Historic_BCast_BASE[[#This Row],[Broadcast Continent]]="Digital",Historic_BCast_BASE[[#This Row],[Programme Type]]="Digital"),"Y","N")</f>
        <v>Y</v>
      </c>
      <c r="M575" s="132" t="str">
        <f>IF(ISNUMBER(SEARCH("Pan ",Historic_BCast_BASE[[#This Row],[Broadcast Market]]))=TRUE,"Y","N")</f>
        <v>N</v>
      </c>
      <c r="N575" s="132" t="str">
        <f>VLOOKUP(CONCATENATE(Historic_BCast_BASE[[#This Row],[Broadcast Market]],Historic_BCast_BASE[[#This Row],[Broadcaster]]),Table1[[CC]:[Pay TV vs. Free-to-Air]],3,FALSE)</f>
        <v>Digital</v>
      </c>
      <c r="O575" s="133" t="str">
        <f>VLOOKUP(CONCATENATE(Historic_BCast_BASE[[#This Row],[Broadcast Market]],Historic_BCast_BASE[[#This Row],[Broadcaster]]),Table1[[CC]:[Pay TV vs. Free-to-Air]],2,FALSE)</f>
        <v>-</v>
      </c>
      <c r="P575" s="235">
        <f>Historic_BCast_BASE[[#This Row],[Rolex EXP]]*86400</f>
        <v>22250.596664249795</v>
      </c>
      <c r="Q575" s="19" t="str">
        <f>IF(Historic_BCast_BASE[[#This Row],[Dashboard Rated?]]="No","N","Y")</f>
        <v>Y</v>
      </c>
      <c r="S575" s="22"/>
    </row>
    <row r="576" spans="1:19" x14ac:dyDescent="0.25">
      <c r="A576" s="72" t="s">
        <v>1869</v>
      </c>
      <c r="B576" t="s">
        <v>45</v>
      </c>
      <c r="C576" t="s">
        <v>45</v>
      </c>
      <c r="D576" t="s">
        <v>45</v>
      </c>
      <c r="E576" s="102">
        <v>6.0347222222222223</v>
      </c>
      <c r="F576" s="101">
        <v>17283.316468844401</v>
      </c>
      <c r="G576" s="102">
        <v>0.56939836831795776</v>
      </c>
      <c r="H576" s="101">
        <v>26113.560158407443</v>
      </c>
      <c r="I576" s="101">
        <v>7500.0955495829094</v>
      </c>
      <c r="J576" s="160"/>
      <c r="K576" t="str">
        <f>VLOOKUP(Historic_BCast_BASE[[#This Row],[Broadcast Market]],Continent_Look_Up[],2,FALSE)</f>
        <v>Digital</v>
      </c>
      <c r="L576" s="132" t="str">
        <f>IF(OR(Historic_BCast_BASE[[#This Row],[Broadcast Continent]]="Digital",Historic_BCast_BASE[[#This Row],[Programme Type]]="Digital"),"Y","N")</f>
        <v>Y</v>
      </c>
      <c r="M576" s="132" t="str">
        <f>IF(ISNUMBER(SEARCH("Pan ",Historic_BCast_BASE[[#This Row],[Broadcast Market]]))=TRUE,"Y","N")</f>
        <v>N</v>
      </c>
      <c r="N576" s="132" t="str">
        <f>VLOOKUP(CONCATENATE(Historic_BCast_BASE[[#This Row],[Broadcast Market]],Historic_BCast_BASE[[#This Row],[Broadcaster]]),Table1[[CC]:[Pay TV vs. Free-to-Air]],3,FALSE)</f>
        <v>Digital</v>
      </c>
      <c r="O576" s="133" t="str">
        <f>VLOOKUP(CONCATENATE(Historic_BCast_BASE[[#This Row],[Broadcast Market]],Historic_BCast_BASE[[#This Row],[Broadcaster]]),Table1[[CC]:[Pay TV vs. Free-to-Air]],2,FALSE)</f>
        <v>-</v>
      </c>
      <c r="P576" s="235">
        <f>Historic_BCast_BASE[[#This Row],[Rolex EXP]]*86400</f>
        <v>49196.019022671549</v>
      </c>
      <c r="Q576" s="19" t="str">
        <f>IF(Historic_BCast_BASE[[#This Row],[Dashboard Rated?]]="No","N","Y")</f>
        <v>Y</v>
      </c>
      <c r="S576" s="22"/>
    </row>
    <row r="577" spans="1:19" x14ac:dyDescent="0.25">
      <c r="A577" s="72" t="s">
        <v>1869</v>
      </c>
      <c r="B577" t="s">
        <v>45</v>
      </c>
      <c r="C577" t="s">
        <v>45</v>
      </c>
      <c r="D577" t="s">
        <v>45</v>
      </c>
      <c r="E577" s="102">
        <v>0.20833333333333334</v>
      </c>
      <c r="F577" s="101">
        <v>2463.5155816451261</v>
      </c>
      <c r="G577" s="102">
        <v>1.58097502594658E-2</v>
      </c>
      <c r="H577" s="101">
        <v>251.65223593247816</v>
      </c>
      <c r="I577" s="101">
        <v>71.960017414474962</v>
      </c>
      <c r="J577" s="160"/>
      <c r="K577" t="str">
        <f>VLOOKUP(Historic_BCast_BASE[[#This Row],[Broadcast Market]],Continent_Look_Up[],2,FALSE)</f>
        <v>Digital</v>
      </c>
      <c r="L577" s="132" t="str">
        <f>IF(OR(Historic_BCast_BASE[[#This Row],[Broadcast Continent]]="Digital",Historic_BCast_BASE[[#This Row],[Programme Type]]="Digital"),"Y","N")</f>
        <v>Y</v>
      </c>
      <c r="M577" s="132" t="str">
        <f>IF(ISNUMBER(SEARCH("Pan ",Historic_BCast_BASE[[#This Row],[Broadcast Market]]))=TRUE,"Y","N")</f>
        <v>N</v>
      </c>
      <c r="N577" s="132" t="str">
        <f>VLOOKUP(CONCATENATE(Historic_BCast_BASE[[#This Row],[Broadcast Market]],Historic_BCast_BASE[[#This Row],[Broadcaster]]),Table1[[CC]:[Pay TV vs. Free-to-Air]],3,FALSE)</f>
        <v>Digital</v>
      </c>
      <c r="O577" s="133" t="str">
        <f>VLOOKUP(CONCATENATE(Historic_BCast_BASE[[#This Row],[Broadcast Market]],Historic_BCast_BASE[[#This Row],[Broadcaster]]),Table1[[CC]:[Pay TV vs. Free-to-Air]],2,FALSE)</f>
        <v>-</v>
      </c>
      <c r="P577" s="235">
        <f>Historic_BCast_BASE[[#This Row],[Rolex EXP]]*86400</f>
        <v>1365.9624224178451</v>
      </c>
      <c r="Q577" s="19" t="str">
        <f>IF(Historic_BCast_BASE[[#This Row],[Dashboard Rated?]]="No","N","Y")</f>
        <v>Y</v>
      </c>
      <c r="S577" s="22"/>
    </row>
    <row r="578" spans="1:19" x14ac:dyDescent="0.25">
      <c r="A578" s="72" t="s">
        <v>1869</v>
      </c>
      <c r="B578" t="s">
        <v>45</v>
      </c>
      <c r="C578" t="s">
        <v>45</v>
      </c>
      <c r="D578" t="s">
        <v>45</v>
      </c>
      <c r="E578" s="102">
        <v>2.7291666666666665</v>
      </c>
      <c r="F578" s="101">
        <v>7607.4715202691086</v>
      </c>
      <c r="G578" s="102">
        <v>0.26074758482303712</v>
      </c>
      <c r="H578" s="101">
        <v>11279.156770085898</v>
      </c>
      <c r="I578" s="101">
        <v>3240.2902379969532</v>
      </c>
      <c r="J578" s="160"/>
      <c r="K578" t="str">
        <f>VLOOKUP(Historic_BCast_BASE[[#This Row],[Broadcast Market]],Continent_Look_Up[],2,FALSE)</f>
        <v>Digital</v>
      </c>
      <c r="L578" s="132" t="str">
        <f>IF(OR(Historic_BCast_BASE[[#This Row],[Broadcast Continent]]="Digital",Historic_BCast_BASE[[#This Row],[Programme Type]]="Digital"),"Y","N")</f>
        <v>Y</v>
      </c>
      <c r="M578" s="132" t="str">
        <f>IF(ISNUMBER(SEARCH("Pan ",Historic_BCast_BASE[[#This Row],[Broadcast Market]]))=TRUE,"Y","N")</f>
        <v>N</v>
      </c>
      <c r="N578" s="132" t="str">
        <f>VLOOKUP(CONCATENATE(Historic_BCast_BASE[[#This Row],[Broadcast Market]],Historic_BCast_BASE[[#This Row],[Broadcaster]]),Table1[[CC]:[Pay TV vs. Free-to-Air]],3,FALSE)</f>
        <v>Digital</v>
      </c>
      <c r="O578" s="133" t="str">
        <f>VLOOKUP(CONCATENATE(Historic_BCast_BASE[[#This Row],[Broadcast Market]],Historic_BCast_BASE[[#This Row],[Broadcaster]]),Table1[[CC]:[Pay TV vs. Free-to-Air]],2,FALSE)</f>
        <v>-</v>
      </c>
      <c r="P578" s="235">
        <f>Historic_BCast_BASE[[#This Row],[Rolex EXP]]*86400</f>
        <v>22528.591328710409</v>
      </c>
      <c r="Q578" s="19" t="str">
        <f>IF(Historic_BCast_BASE[[#This Row],[Dashboard Rated?]]="No","N","Y")</f>
        <v>Y</v>
      </c>
      <c r="S578" s="22"/>
    </row>
    <row r="579" spans="1:19" x14ac:dyDescent="0.25">
      <c r="A579" s="72" t="s">
        <v>1869</v>
      </c>
      <c r="B579" t="s">
        <v>45</v>
      </c>
      <c r="C579" t="s">
        <v>45</v>
      </c>
      <c r="D579" t="s">
        <v>45</v>
      </c>
      <c r="E579" s="102">
        <v>5.552083333333333</v>
      </c>
      <c r="F579" s="101">
        <v>24324.277029210109</v>
      </c>
      <c r="G579" s="102">
        <v>0.5236600397397867</v>
      </c>
      <c r="H579" s="101">
        <v>22043.247791575832</v>
      </c>
      <c r="I579" s="101">
        <v>6331.6988369182282</v>
      </c>
      <c r="J579" s="160"/>
      <c r="K579" t="str">
        <f>VLOOKUP(Historic_BCast_BASE[[#This Row],[Broadcast Market]],Continent_Look_Up[],2,FALSE)</f>
        <v>Digital</v>
      </c>
      <c r="L579" s="132" t="str">
        <f>IF(OR(Historic_BCast_BASE[[#This Row],[Broadcast Continent]]="Digital",Historic_BCast_BASE[[#This Row],[Programme Type]]="Digital"),"Y","N")</f>
        <v>Y</v>
      </c>
      <c r="M579" s="132" t="str">
        <f>IF(ISNUMBER(SEARCH("Pan ",Historic_BCast_BASE[[#This Row],[Broadcast Market]]))=TRUE,"Y","N")</f>
        <v>N</v>
      </c>
      <c r="N579" s="132" t="str">
        <f>VLOOKUP(CONCATENATE(Historic_BCast_BASE[[#This Row],[Broadcast Market]],Historic_BCast_BASE[[#This Row],[Broadcaster]]),Table1[[CC]:[Pay TV vs. Free-to-Air]],3,FALSE)</f>
        <v>Digital</v>
      </c>
      <c r="O579" s="133" t="str">
        <f>VLOOKUP(CONCATENATE(Historic_BCast_BASE[[#This Row],[Broadcast Market]],Historic_BCast_BASE[[#This Row],[Broadcaster]]),Table1[[CC]:[Pay TV vs. Free-to-Air]],2,FALSE)</f>
        <v>-</v>
      </c>
      <c r="P579" s="235">
        <f>Historic_BCast_BASE[[#This Row],[Rolex EXP]]*86400</f>
        <v>45244.227433517568</v>
      </c>
      <c r="Q579" s="19" t="str">
        <f>IF(Historic_BCast_BASE[[#This Row],[Dashboard Rated?]]="No","N","Y")</f>
        <v>Y</v>
      </c>
      <c r="S579" s="22"/>
    </row>
    <row r="580" spans="1:19" x14ac:dyDescent="0.25">
      <c r="A580" s="72" t="s">
        <v>1869</v>
      </c>
      <c r="B580" t="s">
        <v>45</v>
      </c>
      <c r="C580" t="s">
        <v>45</v>
      </c>
      <c r="D580" t="s">
        <v>45</v>
      </c>
      <c r="E580" s="102">
        <v>1.9583333333333333</v>
      </c>
      <c r="F580" s="101">
        <v>8970.1744385242328</v>
      </c>
      <c r="G580" s="102">
        <v>0.18710132040737015</v>
      </c>
      <c r="H580" s="101">
        <v>2554.5830164000572</v>
      </c>
      <c r="I580" s="101">
        <v>733.88379813528161</v>
      </c>
      <c r="J580" s="160"/>
      <c r="K580" t="str">
        <f>VLOOKUP(Historic_BCast_BASE[[#This Row],[Broadcast Market]],Continent_Look_Up[],2,FALSE)</f>
        <v>Digital</v>
      </c>
      <c r="L580" s="132" t="str">
        <f>IF(OR(Historic_BCast_BASE[[#This Row],[Broadcast Continent]]="Digital",Historic_BCast_BASE[[#This Row],[Programme Type]]="Digital"),"Y","N")</f>
        <v>Y</v>
      </c>
      <c r="M580" s="132" t="str">
        <f>IF(ISNUMBER(SEARCH("Pan ",Historic_BCast_BASE[[#This Row],[Broadcast Market]]))=TRUE,"Y","N")</f>
        <v>N</v>
      </c>
      <c r="N580" s="132" t="str">
        <f>VLOOKUP(CONCATENATE(Historic_BCast_BASE[[#This Row],[Broadcast Market]],Historic_BCast_BASE[[#This Row],[Broadcaster]]),Table1[[CC]:[Pay TV vs. Free-to-Air]],3,FALSE)</f>
        <v>Digital</v>
      </c>
      <c r="O580" s="133" t="str">
        <f>VLOOKUP(CONCATENATE(Historic_BCast_BASE[[#This Row],[Broadcast Market]],Historic_BCast_BASE[[#This Row],[Broadcaster]]),Table1[[CC]:[Pay TV vs. Free-to-Air]],2,FALSE)</f>
        <v>-</v>
      </c>
      <c r="P580" s="235">
        <f>Historic_BCast_BASE[[#This Row],[Rolex EXP]]*86400</f>
        <v>16165.554083196781</v>
      </c>
      <c r="Q580" s="19" t="str">
        <f>IF(Historic_BCast_BASE[[#This Row],[Dashboard Rated?]]="No","N","Y")</f>
        <v>Y</v>
      </c>
      <c r="S580" s="22"/>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Z104"/>
  <sheetViews>
    <sheetView zoomScale="55" zoomScaleNormal="55" workbookViewId="0">
      <selection activeCell="B25" sqref="B25"/>
    </sheetView>
  </sheetViews>
  <sheetFormatPr defaultRowHeight="15" x14ac:dyDescent="0.25"/>
  <cols>
    <col min="2" max="2" width="19.140625" bestFit="1" customWidth="1"/>
    <col min="3" max="3" width="21" bestFit="1" customWidth="1"/>
    <col min="6" max="6" width="15.42578125" bestFit="1" customWidth="1"/>
    <col min="10" max="10" width="31.5703125" bestFit="1" customWidth="1"/>
    <col min="11" max="11" width="33.5703125" bestFit="1" customWidth="1"/>
    <col min="12" max="12" width="9.85546875" bestFit="1" customWidth="1"/>
    <col min="13" max="13" width="8.7109375" customWidth="1"/>
    <col min="14" max="14" width="13.42578125" customWidth="1"/>
  </cols>
  <sheetData>
    <row r="1" spans="1:26" x14ac:dyDescent="0.25">
      <c r="B1" s="6" t="s">
        <v>1627</v>
      </c>
      <c r="C1" t="s">
        <v>1628</v>
      </c>
    </row>
    <row r="2" spans="1:26" x14ac:dyDescent="0.25">
      <c r="B2" s="6" t="s">
        <v>1650</v>
      </c>
      <c r="C2" t="s">
        <v>1628</v>
      </c>
      <c r="J2" s="6" t="s">
        <v>1627</v>
      </c>
      <c r="K2" t="s">
        <v>1628</v>
      </c>
    </row>
    <row r="4" spans="1:26" x14ac:dyDescent="0.25">
      <c r="A4" t="s">
        <v>1870</v>
      </c>
      <c r="B4" s="6" t="s">
        <v>1630</v>
      </c>
      <c r="C4" t="s">
        <v>1631</v>
      </c>
      <c r="D4" t="s">
        <v>1871</v>
      </c>
      <c r="E4" t="s">
        <v>1872</v>
      </c>
      <c r="F4" t="s">
        <v>1873</v>
      </c>
      <c r="I4" t="s">
        <v>1870</v>
      </c>
      <c r="J4" s="6" t="s">
        <v>1630</v>
      </c>
      <c r="K4" t="s">
        <v>1632</v>
      </c>
      <c r="L4" t="s">
        <v>1874</v>
      </c>
      <c r="M4" t="s">
        <v>1872</v>
      </c>
      <c r="N4" t="s">
        <v>1873</v>
      </c>
      <c r="T4">
        <v>100</v>
      </c>
      <c r="U4" t="s">
        <v>38</v>
      </c>
      <c r="Y4">
        <v>99</v>
      </c>
      <c r="Z4" t="s">
        <v>81</v>
      </c>
    </row>
    <row r="5" spans="1:26" x14ac:dyDescent="0.25">
      <c r="A5">
        <f t="shared" ref="A5:A68" si="0">IF(B5&gt;0,_xlfn.RANK.EQ(F5,$F$5:$F$104,0),"-")</f>
        <v>99</v>
      </c>
      <c r="B5" s="7" t="s">
        <v>56</v>
      </c>
      <c r="C5">
        <v>14502618</v>
      </c>
      <c r="D5">
        <f>SUMIFS(Historic_BCast_BASE[Audience],Historic_BCast_BASE[Digital?],"N",Historic_BCast_BASE[Broadcast Market],'YoY Pivots'!$B5)</f>
        <v>18414196</v>
      </c>
      <c r="E5" s="9">
        <f>IFERROR(C5/D5-1,"-")</f>
        <v>-0.2124218727768511</v>
      </c>
      <c r="F5" s="22">
        <f t="shared" ref="F5:F10" si="1">C5-D5</f>
        <v>-3911578</v>
      </c>
      <c r="I5">
        <f>_xlfn.RANK.EQ(N5,$N$5:$N$104,0)</f>
        <v>12</v>
      </c>
      <c r="J5" s="7" t="s">
        <v>13</v>
      </c>
      <c r="K5" s="8">
        <v>11.607638888888888</v>
      </c>
      <c r="L5" s="8">
        <f>SUMIFS(Historic_BCast_BASE[Broadcast Duration],Historic_BCast_BASE[Digital?],"N",Historic_BCast_BASE[Broadcast Market],'YoY Pivots'!$J5)</f>
        <v>8.5555555555555554</v>
      </c>
      <c r="M5" s="9">
        <f>IFERROR(K5/L5-1,"-")</f>
        <v>0.35673701298701288</v>
      </c>
      <c r="N5" s="8">
        <f>K5-L5</f>
        <v>3.0520833333333321</v>
      </c>
      <c r="S5" s="7"/>
      <c r="T5">
        <v>99</v>
      </c>
      <c r="U5" t="s">
        <v>56</v>
      </c>
      <c r="Y5">
        <v>99</v>
      </c>
      <c r="Z5" t="s">
        <v>8</v>
      </c>
    </row>
    <row r="6" spans="1:26" x14ac:dyDescent="0.25">
      <c r="A6">
        <f t="shared" si="0"/>
        <v>88</v>
      </c>
      <c r="B6" s="7" t="s">
        <v>67</v>
      </c>
      <c r="C6">
        <v>350502</v>
      </c>
      <c r="D6">
        <f>SUMIFS(Historic_BCast_BASE[Audience],Historic_BCast_BASE[Digital?],"N",Historic_BCast_BASE[Broadcast Market],'YoY Pivots'!$B6)</f>
        <v>379178</v>
      </c>
      <c r="E6" s="9">
        <f>IFERROR(C6/D6-1,"-")</f>
        <v>-7.562675049712797E-2</v>
      </c>
      <c r="F6" s="22">
        <f t="shared" si="1"/>
        <v>-28676</v>
      </c>
      <c r="I6">
        <f t="shared" ref="I6:I50" si="2">_xlfn.RANK.EQ(N6,$N$5:$N$104,0)</f>
        <v>95</v>
      </c>
      <c r="J6" s="7" t="s">
        <v>17</v>
      </c>
      <c r="K6" s="8">
        <v>9.9191435185185188</v>
      </c>
      <c r="L6" s="8">
        <f>SUMIFS(Historic_BCast_BASE[Broadcast Duration],Historic_BCast_BASE[Digital?],"N",Historic_BCast_BASE[Broadcast Market],'YoY Pivots'!$J6)</f>
        <v>11.342638888888889</v>
      </c>
      <c r="M6" s="9">
        <f t="shared" ref="M6:M69" si="3">IFERROR(K6/L6-1,"-")</f>
        <v>-0.12549948775719277</v>
      </c>
      <c r="N6" s="8">
        <f t="shared" ref="N6:N69" si="4">K6-L6</f>
        <v>-1.4234953703703699</v>
      </c>
      <c r="S6" s="7"/>
      <c r="T6">
        <v>98</v>
      </c>
      <c r="U6" t="s">
        <v>23</v>
      </c>
      <c r="Y6">
        <v>98</v>
      </c>
      <c r="Z6" t="s">
        <v>38</v>
      </c>
    </row>
    <row r="7" spans="1:26" x14ac:dyDescent="0.25">
      <c r="A7">
        <f t="shared" si="0"/>
        <v>89</v>
      </c>
      <c r="B7" s="7" t="s">
        <v>81</v>
      </c>
      <c r="C7">
        <v>141921</v>
      </c>
      <c r="D7">
        <f>SUMIFS(Historic_BCast_BASE[Audience],Historic_BCast_BASE[Digital?],"N",Historic_BCast_BASE[Broadcast Market],'YoY Pivots'!$B7)</f>
        <v>190000</v>
      </c>
      <c r="E7" s="9">
        <f>IFERROR(C7/D7-1,"-")</f>
        <v>-0.25304736842105258</v>
      </c>
      <c r="F7" s="22">
        <f t="shared" si="1"/>
        <v>-48079</v>
      </c>
      <c r="I7">
        <f t="shared" si="2"/>
        <v>89</v>
      </c>
      <c r="J7" s="7" t="s">
        <v>23</v>
      </c>
      <c r="K7" s="8">
        <v>14.888483796296295</v>
      </c>
      <c r="L7" s="8">
        <f>SUMIFS(Historic_BCast_BASE[Broadcast Duration],Historic_BCast_BASE[Digital?],"N",Historic_BCast_BASE[Broadcast Market],'YoY Pivots'!$J7)</f>
        <v>15.408877314814816</v>
      </c>
      <c r="M7" s="9">
        <f t="shared" si="3"/>
        <v>-3.3772318896860165E-2</v>
      </c>
      <c r="N7" s="8">
        <f t="shared" si="4"/>
        <v>-0.52039351851852089</v>
      </c>
      <c r="S7" s="7"/>
      <c r="T7">
        <v>97</v>
      </c>
      <c r="U7" t="s">
        <v>66</v>
      </c>
      <c r="Y7">
        <v>97</v>
      </c>
      <c r="Z7" t="s">
        <v>111</v>
      </c>
    </row>
    <row r="8" spans="1:26" x14ac:dyDescent="0.25">
      <c r="A8">
        <f t="shared" si="0"/>
        <v>90</v>
      </c>
      <c r="B8" s="7" t="s">
        <v>13</v>
      </c>
      <c r="C8">
        <v>1770954</v>
      </c>
      <c r="D8">
        <f>SUMIFS(Historic_BCast_BASE[Audience],Historic_BCast_BASE[Digital?],"N",Historic_BCast_BASE[Broadcast Market],'YoY Pivots'!$B8)</f>
        <v>1841647</v>
      </c>
      <c r="E8" s="9">
        <f>IFERROR(C8/D8-1,"-")</f>
        <v>-3.8385749277684567E-2</v>
      </c>
      <c r="F8" s="22">
        <f t="shared" si="1"/>
        <v>-70693</v>
      </c>
      <c r="I8">
        <f t="shared" si="2"/>
        <v>3</v>
      </c>
      <c r="J8" s="7" t="s">
        <v>29</v>
      </c>
      <c r="K8" s="8">
        <v>15.094548611111112</v>
      </c>
      <c r="L8" s="8">
        <f>SUMIFS(Historic_BCast_BASE[Broadcast Duration],Historic_BCast_BASE[Digital?],"N",Historic_BCast_BASE[Broadcast Market],'YoY Pivots'!$J8)</f>
        <v>0.12961805555555556</v>
      </c>
      <c r="M8" s="9">
        <f t="shared" si="3"/>
        <v>115.45405839807125</v>
      </c>
      <c r="N8" s="8">
        <f t="shared" si="4"/>
        <v>14.964930555555556</v>
      </c>
      <c r="S8" s="7"/>
      <c r="T8">
        <v>96</v>
      </c>
      <c r="U8" t="s">
        <v>114</v>
      </c>
      <c r="Y8">
        <v>96</v>
      </c>
      <c r="Z8" t="s">
        <v>66</v>
      </c>
    </row>
    <row r="9" spans="1:26" x14ac:dyDescent="0.25">
      <c r="A9">
        <f t="shared" si="0"/>
        <v>95</v>
      </c>
      <c r="B9" s="7" t="s">
        <v>17</v>
      </c>
      <c r="C9">
        <v>984174.12793760281</v>
      </c>
      <c r="D9">
        <f>SUMIFS(Historic_BCast_BASE[Audience],Historic_BCast_BASE[Digital?],"N",Historic_BCast_BASE[Broadcast Market],'YoY Pivots'!$B9)</f>
        <v>1570474.6012465467</v>
      </c>
      <c r="E9" s="9">
        <f t="shared" ref="E9:E72" si="5">IFERROR(C9/D9-1,"-")</f>
        <v>-0.37332693750257051</v>
      </c>
      <c r="F9" s="22">
        <f t="shared" si="1"/>
        <v>-586300.47330894391</v>
      </c>
      <c r="I9">
        <f t="shared" si="2"/>
        <v>7</v>
      </c>
      <c r="J9" s="7" t="s">
        <v>31</v>
      </c>
      <c r="K9" s="8">
        <v>16.545138888888889</v>
      </c>
      <c r="L9" s="8">
        <f>SUMIFS(Historic_BCast_BASE[Broadcast Duration],Historic_BCast_BASE[Digital?],"N",Historic_BCast_BASE[Broadcast Market],'YoY Pivots'!$J9)</f>
        <v>6.6805555555555554</v>
      </c>
      <c r="M9" s="9">
        <f t="shared" si="3"/>
        <v>1.4766112266112268</v>
      </c>
      <c r="N9" s="8">
        <f t="shared" si="4"/>
        <v>9.8645833333333339</v>
      </c>
      <c r="S9" s="7"/>
      <c r="T9">
        <v>95</v>
      </c>
      <c r="U9" t="s">
        <v>17</v>
      </c>
      <c r="Y9">
        <v>95</v>
      </c>
      <c r="Z9" t="s">
        <v>17</v>
      </c>
    </row>
    <row r="10" spans="1:26" x14ac:dyDescent="0.25">
      <c r="A10">
        <f t="shared" si="0"/>
        <v>98</v>
      </c>
      <c r="B10" s="7" t="s">
        <v>23</v>
      </c>
      <c r="C10">
        <v>1572341</v>
      </c>
      <c r="D10">
        <f>SUMIFS(Historic_BCast_BASE[Audience],Historic_BCast_BASE[Digital?],"N",Historic_BCast_BASE[Broadcast Market],'YoY Pivots'!$B10)</f>
        <v>4717321</v>
      </c>
      <c r="E10" s="9">
        <f t="shared" si="5"/>
        <v>-0.66668772381612362</v>
      </c>
      <c r="F10" s="22">
        <f t="shared" si="1"/>
        <v>-3144980</v>
      </c>
      <c r="I10">
        <f t="shared" si="2"/>
        <v>15</v>
      </c>
      <c r="J10" s="7" t="s">
        <v>35</v>
      </c>
      <c r="K10" s="8">
        <v>16.898611111111112</v>
      </c>
      <c r="L10" s="8">
        <f>SUMIFS(Historic_BCast_BASE[Broadcast Duration],Historic_BCast_BASE[Digital?],"N",Historic_BCast_BASE[Broadcast Market],'YoY Pivots'!$J10)</f>
        <v>14.440972222222221</v>
      </c>
      <c r="M10" s="9">
        <f t="shared" si="3"/>
        <v>0.17018514065881241</v>
      </c>
      <c r="N10" s="8">
        <f t="shared" si="4"/>
        <v>2.4576388888888907</v>
      </c>
      <c r="S10" s="7"/>
      <c r="T10">
        <v>94</v>
      </c>
      <c r="U10" t="s">
        <v>110</v>
      </c>
      <c r="Y10">
        <v>94</v>
      </c>
      <c r="Z10" t="s">
        <v>97</v>
      </c>
    </row>
    <row r="11" spans="1:26" x14ac:dyDescent="0.25">
      <c r="A11">
        <f t="shared" si="0"/>
        <v>10</v>
      </c>
      <c r="B11" s="7" t="s">
        <v>29</v>
      </c>
      <c r="C11">
        <v>1384682</v>
      </c>
      <c r="D11">
        <f>SUMIFS(Historic_BCast_BASE[Audience],Historic_BCast_BASE[Digital?],"N",Historic_BCast_BASE[Broadcast Market],'YoY Pivots'!$B11)</f>
        <v>97836</v>
      </c>
      <c r="E11" s="9">
        <f t="shared" si="5"/>
        <v>13.153092931027434</v>
      </c>
      <c r="F11" s="22">
        <f t="shared" ref="F11:F72" si="6">C11-D11</f>
        <v>1286846</v>
      </c>
      <c r="I11">
        <f t="shared" si="2"/>
        <v>98</v>
      </c>
      <c r="J11" s="7" t="s">
        <v>38</v>
      </c>
      <c r="K11" s="8">
        <v>13.815659722222222</v>
      </c>
      <c r="L11" s="8">
        <f>SUMIFS(Historic_BCast_BASE[Broadcast Duration],Historic_BCast_BASE[Digital?],"N",Historic_BCast_BASE[Broadcast Market],'YoY Pivots'!$J11)</f>
        <v>17.308333333333334</v>
      </c>
      <c r="M11" s="9">
        <f t="shared" si="3"/>
        <v>-0.20179144599582732</v>
      </c>
      <c r="N11" s="8">
        <f t="shared" si="4"/>
        <v>-3.4926736111111119</v>
      </c>
      <c r="S11" s="7"/>
      <c r="T11">
        <v>93</v>
      </c>
      <c r="U11" t="s">
        <v>63</v>
      </c>
      <c r="Y11">
        <v>93</v>
      </c>
      <c r="Z11" t="s">
        <v>113</v>
      </c>
    </row>
    <row r="12" spans="1:26" x14ac:dyDescent="0.25">
      <c r="A12">
        <f t="shared" si="0"/>
        <v>3</v>
      </c>
      <c r="B12" s="7" t="s">
        <v>31</v>
      </c>
      <c r="C12">
        <v>8758918</v>
      </c>
      <c r="D12">
        <f>SUMIFS(Historic_BCast_BASE[Audience],Historic_BCast_BASE[Digital?],"N",Historic_BCast_BASE[Broadcast Market],'YoY Pivots'!$B12)</f>
        <v>4866560</v>
      </c>
      <c r="E12" s="9">
        <f t="shared" si="5"/>
        <v>0.79981711927932664</v>
      </c>
      <c r="F12" s="22">
        <f t="shared" si="6"/>
        <v>3892358</v>
      </c>
      <c r="I12">
        <f t="shared" si="2"/>
        <v>26</v>
      </c>
      <c r="J12" s="7" t="s">
        <v>43</v>
      </c>
      <c r="K12" s="8">
        <v>15.27457175925926</v>
      </c>
      <c r="L12" s="8">
        <f>SUMIFS(Historic_BCast_BASE[Broadcast Duration],Historic_BCast_BASE[Digital?],"N",Historic_BCast_BASE[Broadcast Market],'YoY Pivots'!$J12)</f>
        <v>15.191041666666667</v>
      </c>
      <c r="M12" s="9">
        <f t="shared" si="3"/>
        <v>5.4986415300197766E-3</v>
      </c>
      <c r="N12" s="8">
        <f t="shared" si="4"/>
        <v>8.3530092592592808E-2</v>
      </c>
      <c r="S12" s="7"/>
      <c r="T12">
        <v>92</v>
      </c>
      <c r="U12" t="s">
        <v>106</v>
      </c>
      <c r="Y12">
        <v>92</v>
      </c>
      <c r="Z12" t="s">
        <v>56</v>
      </c>
    </row>
    <row r="13" spans="1:26" x14ac:dyDescent="0.25">
      <c r="A13">
        <f t="shared" si="0"/>
        <v>1</v>
      </c>
      <c r="B13" s="7" t="s">
        <v>35</v>
      </c>
      <c r="C13">
        <v>11949231</v>
      </c>
      <c r="D13">
        <f>SUMIFS(Historic_BCast_BASE[Audience],Historic_BCast_BASE[Digital?],"N",Historic_BCast_BASE[Broadcast Market],'YoY Pivots'!$B13)</f>
        <v>5253000</v>
      </c>
      <c r="E13" s="9">
        <f t="shared" si="5"/>
        <v>1.27474414620217</v>
      </c>
      <c r="F13" s="22">
        <f t="shared" si="6"/>
        <v>6696231</v>
      </c>
      <c r="I13">
        <f t="shared" si="2"/>
        <v>88</v>
      </c>
      <c r="J13" s="7" t="s">
        <v>44</v>
      </c>
      <c r="K13" s="8">
        <v>8.8149537037037042</v>
      </c>
      <c r="L13" s="8">
        <f>SUMIFS(Historic_BCast_BASE[Broadcast Duration],Historic_BCast_BASE[Digital?],"N",Historic_BCast_BASE[Broadcast Market],'YoY Pivots'!$J13)</f>
        <v>9.297164351851853</v>
      </c>
      <c r="M13" s="9">
        <f t="shared" si="3"/>
        <v>-5.1866421835610521E-2</v>
      </c>
      <c r="N13" s="8">
        <f t="shared" si="4"/>
        <v>-0.48221064814814874</v>
      </c>
      <c r="S13" s="7"/>
      <c r="T13">
        <v>91</v>
      </c>
      <c r="U13" t="s">
        <v>60</v>
      </c>
      <c r="Y13">
        <v>91</v>
      </c>
      <c r="Z13" t="s">
        <v>63</v>
      </c>
    </row>
    <row r="14" spans="1:26" x14ac:dyDescent="0.25">
      <c r="A14">
        <f t="shared" si="0"/>
        <v>100</v>
      </c>
      <c r="B14" s="7" t="s">
        <v>38</v>
      </c>
      <c r="C14">
        <v>9833675</v>
      </c>
      <c r="D14">
        <f>SUMIFS(Historic_BCast_BASE[Audience],Historic_BCast_BASE[Digital?],"N",Historic_BCast_BASE[Broadcast Market],'YoY Pivots'!$B14)</f>
        <v>67770247</v>
      </c>
      <c r="E14" s="9">
        <f t="shared" si="5"/>
        <v>-0.85489686941822718</v>
      </c>
      <c r="F14" s="22">
        <f t="shared" si="6"/>
        <v>-57936572</v>
      </c>
      <c r="I14">
        <f t="shared" si="2"/>
        <v>4</v>
      </c>
      <c r="J14" s="7" t="s">
        <v>53</v>
      </c>
      <c r="K14" s="8">
        <v>13.458032407407407</v>
      </c>
      <c r="L14" s="8">
        <f>SUMIFS(Historic_BCast_BASE[Broadcast Duration],Historic_BCast_BASE[Digital?],"N",Historic_BCast_BASE[Broadcast Market],'YoY Pivots'!$J14)</f>
        <v>0</v>
      </c>
      <c r="M14" s="9" t="str">
        <f t="shared" si="3"/>
        <v>-</v>
      </c>
      <c r="N14" s="8">
        <f t="shared" si="4"/>
        <v>13.458032407407407</v>
      </c>
      <c r="S14" s="7"/>
      <c r="T14">
        <v>90</v>
      </c>
      <c r="U14" t="s">
        <v>13</v>
      </c>
      <c r="Y14">
        <v>90</v>
      </c>
      <c r="Z14" t="s">
        <v>67</v>
      </c>
    </row>
    <row r="15" spans="1:26" x14ac:dyDescent="0.25">
      <c r="A15">
        <f t="shared" si="0"/>
        <v>12</v>
      </c>
      <c r="B15" s="7" t="s">
        <v>43</v>
      </c>
      <c r="C15">
        <v>1608925</v>
      </c>
      <c r="D15">
        <f>SUMIFS(Historic_BCast_BASE[Audience],Historic_BCast_BASE[Digital?],"N",Historic_BCast_BASE[Broadcast Market],'YoY Pivots'!$B15)</f>
        <v>756724</v>
      </c>
      <c r="E15" s="9">
        <f t="shared" si="5"/>
        <v>1.126171497137662</v>
      </c>
      <c r="F15" s="22">
        <f t="shared" si="6"/>
        <v>852201</v>
      </c>
      <c r="I15">
        <f t="shared" si="2"/>
        <v>19</v>
      </c>
      <c r="J15" s="7" t="s">
        <v>54</v>
      </c>
      <c r="K15" s="8">
        <v>15.648611111111112</v>
      </c>
      <c r="L15" s="8">
        <f>SUMIFS(Historic_BCast_BASE[Broadcast Duration],Historic_BCast_BASE[Digital?],"N",Historic_BCast_BASE[Broadcast Market],'YoY Pivots'!$J15)</f>
        <v>15.004166666666666</v>
      </c>
      <c r="M15" s="9">
        <f t="shared" si="3"/>
        <v>4.2951032120707389E-2</v>
      </c>
      <c r="N15" s="8">
        <f t="shared" si="4"/>
        <v>0.64444444444444571</v>
      </c>
      <c r="S15" s="7"/>
      <c r="T15">
        <v>89</v>
      </c>
      <c r="U15" t="s">
        <v>81</v>
      </c>
      <c r="Y15">
        <v>89</v>
      </c>
      <c r="Z15" t="s">
        <v>23</v>
      </c>
    </row>
    <row r="16" spans="1:26" x14ac:dyDescent="0.25">
      <c r="A16">
        <f t="shared" si="0"/>
        <v>19</v>
      </c>
      <c r="B16" s="7" t="s">
        <v>44</v>
      </c>
      <c r="C16">
        <v>546477</v>
      </c>
      <c r="D16">
        <f>SUMIFS(Historic_BCast_BASE[Audience],Historic_BCast_BASE[Digital?],"N",Historic_BCast_BASE[Broadcast Market],'YoY Pivots'!$B16)</f>
        <v>380455</v>
      </c>
      <c r="E16" s="9">
        <f t="shared" si="5"/>
        <v>0.43637749536738912</v>
      </c>
      <c r="F16" s="22">
        <f t="shared" si="6"/>
        <v>166022</v>
      </c>
      <c r="I16">
        <f t="shared" si="2"/>
        <v>92</v>
      </c>
      <c r="J16" s="7" t="s">
        <v>56</v>
      </c>
      <c r="K16" s="8">
        <v>14.097685185185185</v>
      </c>
      <c r="L16" s="8">
        <f>SUMIFS(Historic_BCast_BASE[Broadcast Duration],Historic_BCast_BASE[Digital?],"N",Historic_BCast_BASE[Broadcast Market],'YoY Pivots'!$J16)</f>
        <v>14.919583333333332</v>
      </c>
      <c r="M16" s="9">
        <f t="shared" si="3"/>
        <v>-5.5088545690941793E-2</v>
      </c>
      <c r="N16" s="8">
        <f t="shared" si="4"/>
        <v>-0.8218981481481471</v>
      </c>
      <c r="S16" s="7"/>
      <c r="T16">
        <v>88</v>
      </c>
      <c r="U16" t="s">
        <v>67</v>
      </c>
      <c r="Y16">
        <v>88</v>
      </c>
      <c r="Z16" t="s">
        <v>44</v>
      </c>
    </row>
    <row r="17" spans="1:26" x14ac:dyDescent="0.25">
      <c r="A17">
        <f t="shared" si="0"/>
        <v>16</v>
      </c>
      <c r="B17" s="7" t="s">
        <v>53</v>
      </c>
      <c r="C17">
        <v>372872</v>
      </c>
      <c r="D17">
        <f>SUMIFS(Historic_BCast_BASE[Audience],Historic_BCast_BASE[Digital?],"N",Historic_BCast_BASE[Broadcast Market],'YoY Pivots'!$B17)</f>
        <v>0</v>
      </c>
      <c r="E17" s="9" t="str">
        <f t="shared" si="5"/>
        <v>-</v>
      </c>
      <c r="F17" s="22">
        <f t="shared" si="6"/>
        <v>372872</v>
      </c>
      <c r="I17">
        <f t="shared" si="2"/>
        <v>2</v>
      </c>
      <c r="J17" s="7" t="s">
        <v>59</v>
      </c>
      <c r="K17" s="8">
        <v>31.055555555555554</v>
      </c>
      <c r="L17" s="8">
        <f>SUMIFS(Historic_BCast_BASE[Broadcast Duration],Historic_BCast_BASE[Digital?],"N",Historic_BCast_BASE[Broadcast Market],'YoY Pivots'!$J17)</f>
        <v>12.222222222222223</v>
      </c>
      <c r="M17" s="9">
        <f t="shared" si="3"/>
        <v>1.5409090909090906</v>
      </c>
      <c r="N17" s="8">
        <f t="shared" si="4"/>
        <v>18.833333333333329</v>
      </c>
      <c r="S17" s="7"/>
      <c r="T17">
        <v>87</v>
      </c>
      <c r="U17" t="s">
        <v>133</v>
      </c>
      <c r="Y17">
        <v>87</v>
      </c>
      <c r="Z17" t="s">
        <v>60</v>
      </c>
    </row>
    <row r="18" spans="1:26" x14ac:dyDescent="0.25">
      <c r="A18">
        <f t="shared" si="0"/>
        <v>17</v>
      </c>
      <c r="B18" s="7" t="s">
        <v>54</v>
      </c>
      <c r="C18">
        <v>1383203</v>
      </c>
      <c r="D18">
        <f>SUMIFS(Historic_BCast_BASE[Audience],Historic_BCast_BASE[Digital?],"N",Historic_BCast_BASE[Broadcast Market],'YoY Pivots'!$B18)</f>
        <v>1090591</v>
      </c>
      <c r="E18" s="9">
        <f t="shared" si="5"/>
        <v>0.26830590019539868</v>
      </c>
      <c r="F18" s="22">
        <f t="shared" si="6"/>
        <v>292612</v>
      </c>
      <c r="I18">
        <f t="shared" si="2"/>
        <v>87</v>
      </c>
      <c r="J18" s="7" t="s">
        <v>60</v>
      </c>
      <c r="K18" s="8">
        <v>14.600810185185185</v>
      </c>
      <c r="L18" s="8">
        <f>SUMIFS(Historic_BCast_BASE[Broadcast Duration],Historic_BCast_BASE[Digital?],"N",Historic_BCast_BASE[Broadcast Market],'YoY Pivots'!$J18)</f>
        <v>14.913842592592593</v>
      </c>
      <c r="M18" s="9">
        <f t="shared" si="3"/>
        <v>-2.0989386569151836E-2</v>
      </c>
      <c r="N18" s="8">
        <f t="shared" si="4"/>
        <v>-0.31303240740740712</v>
      </c>
      <c r="S18" s="7"/>
      <c r="T18">
        <v>24</v>
      </c>
      <c r="U18" t="s">
        <v>113</v>
      </c>
      <c r="Y18">
        <v>86</v>
      </c>
      <c r="Z18" t="s">
        <v>21</v>
      </c>
    </row>
    <row r="19" spans="1:26" x14ac:dyDescent="0.25">
      <c r="A19">
        <f t="shared" si="0"/>
        <v>14</v>
      </c>
      <c r="B19" s="7" t="s">
        <v>59</v>
      </c>
      <c r="C19">
        <v>737663</v>
      </c>
      <c r="D19">
        <f>SUMIFS(Historic_BCast_BASE[Audience],Historic_BCast_BASE[Digital?],"N",Historic_BCast_BASE[Broadcast Market],'YoY Pivots'!$B19)</f>
        <v>218237</v>
      </c>
      <c r="E19" s="9">
        <f t="shared" si="5"/>
        <v>2.3801005329068858</v>
      </c>
      <c r="F19" s="22">
        <f t="shared" si="6"/>
        <v>519426</v>
      </c>
      <c r="I19">
        <f t="shared" si="2"/>
        <v>9</v>
      </c>
      <c r="J19" s="7" t="s">
        <v>62</v>
      </c>
      <c r="K19" s="8">
        <v>35.085289351851856</v>
      </c>
      <c r="L19" s="8">
        <f>SUMIFS(Historic_BCast_BASE[Broadcast Duration],Historic_BCast_BASE[Digital?],"N",Historic_BCast_BASE[Broadcast Market],'YoY Pivots'!$J19)</f>
        <v>27.728194444444448</v>
      </c>
      <c r="M19" s="9">
        <f t="shared" si="3"/>
        <v>0.26532902898340205</v>
      </c>
      <c r="N19" s="8">
        <f t="shared" si="4"/>
        <v>7.3570949074074079</v>
      </c>
      <c r="S19" s="7"/>
      <c r="T19">
        <v>23</v>
      </c>
      <c r="U19" t="s">
        <v>64</v>
      </c>
      <c r="Y19">
        <v>85</v>
      </c>
      <c r="Z19" t="s">
        <v>110</v>
      </c>
    </row>
    <row r="20" spans="1:26" x14ac:dyDescent="0.25">
      <c r="A20">
        <f t="shared" si="0"/>
        <v>91</v>
      </c>
      <c r="B20" s="7" t="s">
        <v>60</v>
      </c>
      <c r="C20">
        <v>850688</v>
      </c>
      <c r="D20">
        <f>SUMIFS(Historic_BCast_BASE[Audience],Historic_BCast_BASE[Digital?],"N",Historic_BCast_BASE[Broadcast Market],'YoY Pivots'!$B20)</f>
        <v>980899</v>
      </c>
      <c r="E20" s="9">
        <f t="shared" si="5"/>
        <v>-0.13274659266652322</v>
      </c>
      <c r="F20" s="22">
        <f t="shared" si="6"/>
        <v>-130211</v>
      </c>
      <c r="I20">
        <f t="shared" si="2"/>
        <v>91</v>
      </c>
      <c r="J20" s="7" t="s">
        <v>63</v>
      </c>
      <c r="K20" s="8">
        <v>12.045138888888888</v>
      </c>
      <c r="L20" s="8">
        <f>SUMIFS(Historic_BCast_BASE[Broadcast Duration],Historic_BCast_BASE[Digital?],"N",Historic_BCast_BASE[Broadcast Market],'YoY Pivots'!$J20)</f>
        <v>12.687500000000002</v>
      </c>
      <c r="M20" s="9">
        <f t="shared" si="3"/>
        <v>-5.0629447181171572E-2</v>
      </c>
      <c r="N20" s="8">
        <f t="shared" si="4"/>
        <v>-0.64236111111111427</v>
      </c>
      <c r="S20" s="7"/>
      <c r="T20">
        <v>22</v>
      </c>
      <c r="U20" t="s">
        <v>99</v>
      </c>
      <c r="Y20">
        <v>84</v>
      </c>
      <c r="Z20" t="s">
        <v>126</v>
      </c>
    </row>
    <row r="21" spans="1:26" x14ac:dyDescent="0.25">
      <c r="A21">
        <f t="shared" si="0"/>
        <v>15</v>
      </c>
      <c r="B21" s="7" t="s">
        <v>62</v>
      </c>
      <c r="C21">
        <v>1859732</v>
      </c>
      <c r="D21">
        <f>SUMIFS(Historic_BCast_BASE[Audience],Historic_BCast_BASE[Digital?],"N",Historic_BCast_BASE[Broadcast Market],'YoY Pivots'!$B21)</f>
        <v>1348460</v>
      </c>
      <c r="E21" s="9">
        <f t="shared" si="5"/>
        <v>0.37915251472049594</v>
      </c>
      <c r="F21" s="22">
        <f t="shared" si="6"/>
        <v>511272</v>
      </c>
      <c r="I21">
        <f t="shared" si="2"/>
        <v>24</v>
      </c>
      <c r="J21" s="7" t="s">
        <v>64</v>
      </c>
      <c r="K21" s="8">
        <v>0.15555555555555556</v>
      </c>
      <c r="L21" s="8">
        <f>SUMIFS(Historic_BCast_BASE[Broadcast Duration],Historic_BCast_BASE[Digital?],"N",Historic_BCast_BASE[Broadcast Market],'YoY Pivots'!$J21)</f>
        <v>0</v>
      </c>
      <c r="M21" s="9" t="str">
        <f t="shared" si="3"/>
        <v>-</v>
      </c>
      <c r="N21" s="8">
        <f t="shared" si="4"/>
        <v>0.15555555555555556</v>
      </c>
      <c r="S21" s="7"/>
      <c r="T21">
        <v>21</v>
      </c>
      <c r="U21" t="s">
        <v>90</v>
      </c>
      <c r="Y21">
        <v>83</v>
      </c>
      <c r="Z21" t="s">
        <v>104</v>
      </c>
    </row>
    <row r="22" spans="1:26" x14ac:dyDescent="0.25">
      <c r="A22">
        <f t="shared" si="0"/>
        <v>23</v>
      </c>
      <c r="B22" s="7" t="s">
        <v>64</v>
      </c>
      <c r="C22">
        <v>59300</v>
      </c>
      <c r="D22">
        <f>SUMIFS(Historic_BCast_BASE[Audience],Historic_BCast_BASE[Digital?],"N",Historic_BCast_BASE[Broadcast Market],'YoY Pivots'!$B22)</f>
        <v>0</v>
      </c>
      <c r="E22" s="9" t="str">
        <f t="shared" si="5"/>
        <v>-</v>
      </c>
      <c r="F22" s="22">
        <f t="shared" si="6"/>
        <v>59300</v>
      </c>
      <c r="I22">
        <f t="shared" si="2"/>
        <v>96</v>
      </c>
      <c r="J22" s="7" t="s">
        <v>66</v>
      </c>
      <c r="K22" s="8">
        <v>15.524305555555557</v>
      </c>
      <c r="L22" s="8">
        <f>SUMIFS(Historic_BCast_BASE[Broadcast Duration],Historic_BCast_BASE[Digital?],"N",Historic_BCast_BASE[Broadcast Market],'YoY Pivots'!$J22)</f>
        <v>17.416666666666668</v>
      </c>
      <c r="M22" s="9">
        <f t="shared" si="3"/>
        <v>-0.108652312599681</v>
      </c>
      <c r="N22" s="8">
        <f t="shared" si="4"/>
        <v>-1.8923611111111107</v>
      </c>
      <c r="S22" s="7"/>
      <c r="T22">
        <v>20</v>
      </c>
      <c r="U22" t="s">
        <v>109</v>
      </c>
      <c r="Y22">
        <v>82</v>
      </c>
      <c r="Z22" t="s">
        <v>89</v>
      </c>
    </row>
    <row r="23" spans="1:26" x14ac:dyDescent="0.25">
      <c r="A23">
        <f t="shared" si="0"/>
        <v>97</v>
      </c>
      <c r="B23" s="7" t="s">
        <v>66</v>
      </c>
      <c r="C23">
        <v>2612812</v>
      </c>
      <c r="D23">
        <f>SUMIFS(Historic_BCast_BASE[Audience],Historic_BCast_BASE[Digital?],"N",Historic_BCast_BASE[Broadcast Market],'YoY Pivots'!$B23)</f>
        <v>3759839</v>
      </c>
      <c r="E23" s="9">
        <f t="shared" si="5"/>
        <v>-0.30507343532528919</v>
      </c>
      <c r="F23" s="22">
        <f t="shared" si="6"/>
        <v>-1147027</v>
      </c>
      <c r="I23">
        <f t="shared" si="2"/>
        <v>90</v>
      </c>
      <c r="J23" s="7" t="s">
        <v>67</v>
      </c>
      <c r="K23" s="8">
        <v>8</v>
      </c>
      <c r="L23" s="8">
        <f>SUMIFS(Historic_BCast_BASE[Broadcast Duration],Historic_BCast_BASE[Digital?],"N",Historic_BCast_BASE[Broadcast Market],'YoY Pivots'!$J23)</f>
        <v>8.6173611111111104</v>
      </c>
      <c r="M23" s="9">
        <f t="shared" si="3"/>
        <v>-7.1641550487549277E-2</v>
      </c>
      <c r="N23" s="8">
        <f t="shared" si="4"/>
        <v>-0.61736111111111036</v>
      </c>
      <c r="S23" s="7"/>
      <c r="T23">
        <v>19</v>
      </c>
      <c r="U23" t="s">
        <v>44</v>
      </c>
      <c r="Y23">
        <v>27</v>
      </c>
      <c r="Z23" t="s">
        <v>133</v>
      </c>
    </row>
    <row r="24" spans="1:26" x14ac:dyDescent="0.25">
      <c r="A24">
        <f t="shared" si="0"/>
        <v>11</v>
      </c>
      <c r="B24" s="7" t="s">
        <v>83</v>
      </c>
      <c r="C24">
        <v>2121736</v>
      </c>
      <c r="D24">
        <f>SUMIFS(Historic_BCast_BASE[Audience],Historic_BCast_BASE[Digital?],"N",Historic_BCast_BASE[Broadcast Market],'YoY Pivots'!$B24)</f>
        <v>1156137</v>
      </c>
      <c r="E24" s="9">
        <f t="shared" si="5"/>
        <v>0.83519427195911899</v>
      </c>
      <c r="F24" s="22">
        <f t="shared" si="6"/>
        <v>965599</v>
      </c>
      <c r="I24">
        <f t="shared" si="2"/>
        <v>27</v>
      </c>
      <c r="J24" s="7" t="s">
        <v>133</v>
      </c>
      <c r="K24" s="8">
        <v>1.9409722222222223</v>
      </c>
      <c r="L24" s="8">
        <f>SUMIFS(Historic_BCast_BASE[Broadcast Duration],Historic_BCast_BASE[Digital?],"N",Historic_BCast_BASE[Broadcast Market],'YoY Pivots'!$J24)</f>
        <v>1.9270833333333333</v>
      </c>
      <c r="M24" s="9">
        <f t="shared" si="3"/>
        <v>7.2072072072073556E-3</v>
      </c>
      <c r="N24" s="8">
        <f t="shared" si="4"/>
        <v>1.3888888888889062E-2</v>
      </c>
      <c r="S24" s="7"/>
      <c r="T24">
        <v>18</v>
      </c>
      <c r="U24" t="s">
        <v>104</v>
      </c>
      <c r="Y24">
        <v>26</v>
      </c>
      <c r="Z24" t="s">
        <v>43</v>
      </c>
    </row>
    <row r="25" spans="1:26" x14ac:dyDescent="0.25">
      <c r="A25">
        <f t="shared" si="0"/>
        <v>13</v>
      </c>
      <c r="B25" s="7" t="s">
        <v>89</v>
      </c>
      <c r="C25">
        <v>5167338</v>
      </c>
      <c r="D25">
        <f>SUMIFS(Historic_BCast_BASE[Audience],Historic_BCast_BASE[Digital?],"N",Historic_BCast_BASE[Broadcast Market],'YoY Pivots'!$B25)</f>
        <v>4412610</v>
      </c>
      <c r="E25" s="9">
        <f t="shared" si="5"/>
        <v>0.17103890894504614</v>
      </c>
      <c r="F25" s="22">
        <f t="shared" si="6"/>
        <v>754728</v>
      </c>
      <c r="I25">
        <v>100</v>
      </c>
      <c r="J25" s="7" t="s">
        <v>81</v>
      </c>
      <c r="K25" s="8">
        <v>15.504120370370373</v>
      </c>
      <c r="L25" s="8">
        <f>SUMIFS(Historic_BCast_BASE[Broadcast Duration],Historic_BCast_BASE[Digital?],"N",Historic_BCast_BASE[Broadcast Market],'YoY Pivots'!$J25)</f>
        <v>27.748287037037038</v>
      </c>
      <c r="M25" s="9">
        <f t="shared" si="3"/>
        <v>-0.44125846940835511</v>
      </c>
      <c r="N25" s="8">
        <f t="shared" si="4"/>
        <v>-12.244166666666665</v>
      </c>
      <c r="S25" s="7"/>
      <c r="T25">
        <v>17</v>
      </c>
      <c r="U25" t="s">
        <v>54</v>
      </c>
      <c r="Y25">
        <v>25</v>
      </c>
      <c r="Z25" t="s">
        <v>121</v>
      </c>
    </row>
    <row r="26" spans="1:26" x14ac:dyDescent="0.25">
      <c r="A26">
        <f t="shared" si="0"/>
        <v>21</v>
      </c>
      <c r="B26" s="7" t="s">
        <v>90</v>
      </c>
      <c r="C26">
        <v>93729</v>
      </c>
      <c r="D26">
        <f>SUMIFS(Historic_BCast_BASE[Audience],Historic_BCast_BASE[Digital?],"N",Historic_BCast_BASE[Broadcast Market],'YoY Pivots'!$B26)</f>
        <v>0</v>
      </c>
      <c r="E26" s="9" t="str">
        <f t="shared" si="5"/>
        <v>-</v>
      </c>
      <c r="F26" s="22">
        <f t="shared" si="6"/>
        <v>93729</v>
      </c>
      <c r="I26">
        <f t="shared" si="2"/>
        <v>13</v>
      </c>
      <c r="J26" s="7" t="s">
        <v>83</v>
      </c>
      <c r="K26" s="8">
        <v>11.607638888888886</v>
      </c>
      <c r="L26" s="8">
        <f>SUMIFS(Historic_BCast_BASE[Broadcast Duration],Historic_BCast_BASE[Digital?],"N",Historic_BCast_BASE[Broadcast Market],'YoY Pivots'!$J26)</f>
        <v>8.5555555555555554</v>
      </c>
      <c r="M26" s="9">
        <f t="shared" si="3"/>
        <v>0.35673701298701266</v>
      </c>
      <c r="N26" s="8">
        <f t="shared" si="4"/>
        <v>3.0520833333333304</v>
      </c>
      <c r="S26" s="7"/>
      <c r="T26">
        <v>16</v>
      </c>
      <c r="U26" t="s">
        <v>53</v>
      </c>
      <c r="Y26">
        <v>24</v>
      </c>
      <c r="Z26" t="s">
        <v>64</v>
      </c>
    </row>
    <row r="27" spans="1:26" x14ac:dyDescent="0.25">
      <c r="A27">
        <f t="shared" si="0"/>
        <v>22</v>
      </c>
      <c r="B27" s="7" t="s">
        <v>99</v>
      </c>
      <c r="C27">
        <v>338894</v>
      </c>
      <c r="D27">
        <f>SUMIFS(Historic_BCast_BASE[Audience],Historic_BCast_BASE[Digital?],"N",Historic_BCast_BASE[Broadcast Market],'YoY Pivots'!$B27)</f>
        <v>252159</v>
      </c>
      <c r="E27" s="9">
        <f t="shared" si="5"/>
        <v>0.3439694795743955</v>
      </c>
      <c r="F27" s="22">
        <f t="shared" si="6"/>
        <v>86735</v>
      </c>
      <c r="I27">
        <f t="shared" si="2"/>
        <v>82</v>
      </c>
      <c r="J27" s="7" t="s">
        <v>89</v>
      </c>
      <c r="K27" s="8">
        <v>15.00082175925926</v>
      </c>
      <c r="L27" s="8">
        <f>SUMIFS(Historic_BCast_BASE[Broadcast Duration],Historic_BCast_BASE[Digital?],"N",Historic_BCast_BASE[Broadcast Market],'YoY Pivots'!$J27)</f>
        <v>15.034120370370369</v>
      </c>
      <c r="M27" s="9">
        <f t="shared" si="3"/>
        <v>-2.2148692634345046E-3</v>
      </c>
      <c r="N27" s="8">
        <f t="shared" si="4"/>
        <v>-3.3298611111108656E-2</v>
      </c>
      <c r="S27" s="7"/>
      <c r="T27">
        <v>15</v>
      </c>
      <c r="U27" t="s">
        <v>62</v>
      </c>
      <c r="Y27">
        <v>22</v>
      </c>
      <c r="Z27" t="s">
        <v>24</v>
      </c>
    </row>
    <row r="28" spans="1:26" x14ac:dyDescent="0.25">
      <c r="A28">
        <f t="shared" si="0"/>
        <v>9</v>
      </c>
      <c r="B28" s="7" t="s">
        <v>100</v>
      </c>
      <c r="C28">
        <v>4861631</v>
      </c>
      <c r="D28">
        <f>SUMIFS(Historic_BCast_BASE[Audience],Historic_BCast_BASE[Digital?],"N",Historic_BCast_BASE[Broadcast Market],'YoY Pivots'!$B28)</f>
        <v>3528172</v>
      </c>
      <c r="E28" s="9">
        <f t="shared" si="5"/>
        <v>0.37794614321524</v>
      </c>
      <c r="F28" s="22">
        <f t="shared" si="6"/>
        <v>1333459</v>
      </c>
      <c r="I28">
        <f t="shared" si="2"/>
        <v>6</v>
      </c>
      <c r="J28" s="7" t="s">
        <v>90</v>
      </c>
      <c r="K28" s="8">
        <v>10.333333333333334</v>
      </c>
      <c r="L28" s="8">
        <f>SUMIFS(Historic_BCast_BASE[Broadcast Duration],Historic_BCast_BASE[Digital?],"N",Historic_BCast_BASE[Broadcast Market],'YoY Pivots'!$J28)</f>
        <v>0</v>
      </c>
      <c r="M28" s="9" t="str">
        <f t="shared" si="3"/>
        <v>-</v>
      </c>
      <c r="N28" s="8">
        <f t="shared" si="4"/>
        <v>10.333333333333334</v>
      </c>
      <c r="S28" s="7"/>
      <c r="T28">
        <v>14</v>
      </c>
      <c r="U28" t="s">
        <v>59</v>
      </c>
      <c r="Y28">
        <v>22</v>
      </c>
      <c r="Z28" t="s">
        <v>103</v>
      </c>
    </row>
    <row r="29" spans="1:26" x14ac:dyDescent="0.25">
      <c r="A29">
        <f t="shared" si="0"/>
        <v>8</v>
      </c>
      <c r="B29" s="7" t="s">
        <v>103</v>
      </c>
      <c r="C29">
        <v>3596935</v>
      </c>
      <c r="D29">
        <f>SUMIFS(Historic_BCast_BASE[Audience],Historic_BCast_BASE[Digital?],"N",Historic_BCast_BASE[Broadcast Market],'YoY Pivots'!$B29)</f>
        <v>2237744</v>
      </c>
      <c r="E29" s="9">
        <f t="shared" si="5"/>
        <v>0.60739342838144128</v>
      </c>
      <c r="F29" s="22">
        <f t="shared" si="6"/>
        <v>1359191</v>
      </c>
      <c r="I29">
        <f t="shared" si="2"/>
        <v>8</v>
      </c>
      <c r="J29" s="7" t="s">
        <v>92</v>
      </c>
      <c r="K29" s="8">
        <v>8.8527777777777779</v>
      </c>
      <c r="L29" s="8">
        <f>SUMIFS(Historic_BCast_BASE[Broadcast Duration],Historic_BCast_BASE[Digital?],"N",Historic_BCast_BASE[Broadcast Market],'YoY Pivots'!$J29)</f>
        <v>1.04375</v>
      </c>
      <c r="M29" s="9">
        <f t="shared" si="3"/>
        <v>7.4817032601463751</v>
      </c>
      <c r="N29" s="8">
        <f t="shared" si="4"/>
        <v>7.8090277777777777</v>
      </c>
      <c r="S29" s="7"/>
      <c r="T29">
        <v>13</v>
      </c>
      <c r="U29" t="s">
        <v>89</v>
      </c>
      <c r="Y29">
        <v>21</v>
      </c>
      <c r="Z29" t="s">
        <v>100</v>
      </c>
    </row>
    <row r="30" spans="1:26" x14ac:dyDescent="0.25">
      <c r="A30">
        <f t="shared" si="0"/>
        <v>18</v>
      </c>
      <c r="B30" s="7" t="s">
        <v>104</v>
      </c>
      <c r="C30">
        <v>256399.99999999997</v>
      </c>
      <c r="D30">
        <f>SUMIFS(Historic_BCast_BASE[Audience],Historic_BCast_BASE[Digital?],"N",Historic_BCast_BASE[Broadcast Market],'YoY Pivots'!$B30)</f>
        <v>84033</v>
      </c>
      <c r="E30" s="9">
        <f t="shared" si="5"/>
        <v>2.0511822736305971</v>
      </c>
      <c r="F30" s="22">
        <f t="shared" si="6"/>
        <v>172366.99999999997</v>
      </c>
      <c r="I30">
        <f t="shared" si="2"/>
        <v>1</v>
      </c>
      <c r="J30" s="7" t="s">
        <v>15</v>
      </c>
      <c r="K30" s="8">
        <v>44.262407407407409</v>
      </c>
      <c r="L30" s="8">
        <f>SUMIFS(Historic_BCast_BASE[Broadcast Duration],Historic_BCast_BASE[Digital?],"N",Historic_BCast_BASE[Broadcast Market],'YoY Pivots'!$J30)</f>
        <v>23.721504629629631</v>
      </c>
      <c r="M30" s="9">
        <f t="shared" si="3"/>
        <v>0.86591905102515776</v>
      </c>
      <c r="N30" s="8">
        <f t="shared" si="4"/>
        <v>20.540902777777777</v>
      </c>
      <c r="S30" s="7"/>
      <c r="T30">
        <v>12</v>
      </c>
      <c r="U30" t="s">
        <v>43</v>
      </c>
      <c r="Y30">
        <v>20</v>
      </c>
      <c r="Z30" t="s">
        <v>11</v>
      </c>
    </row>
    <row r="31" spans="1:26" x14ac:dyDescent="0.25">
      <c r="A31">
        <f t="shared" si="0"/>
        <v>92</v>
      </c>
      <c r="B31" s="7" t="s">
        <v>106</v>
      </c>
      <c r="C31">
        <v>59277</v>
      </c>
      <c r="D31">
        <f>SUMIFS(Historic_BCast_BASE[Audience],Historic_BCast_BASE[Digital?],"N",Historic_BCast_BASE[Broadcast Market],'YoY Pivots'!$B31)</f>
        <v>192292</v>
      </c>
      <c r="E31" s="9">
        <f t="shared" si="5"/>
        <v>-0.69173444553075525</v>
      </c>
      <c r="F31" s="22">
        <f t="shared" si="6"/>
        <v>-133015</v>
      </c>
      <c r="I31">
        <f t="shared" si="2"/>
        <v>99</v>
      </c>
      <c r="J31" s="7" t="s">
        <v>8</v>
      </c>
      <c r="K31" s="8">
        <v>15.504120370370373</v>
      </c>
      <c r="L31" s="8">
        <f>SUMIFS(Historic_BCast_BASE[Broadcast Duration],Historic_BCast_BASE[Digital?],"N",Historic_BCast_BASE[Broadcast Market],'YoY Pivots'!$J31)</f>
        <v>27.748287037037038</v>
      </c>
      <c r="M31" s="9">
        <f t="shared" si="3"/>
        <v>-0.44125846940835511</v>
      </c>
      <c r="N31" s="8">
        <f t="shared" si="4"/>
        <v>-12.244166666666665</v>
      </c>
      <c r="S31" s="7"/>
      <c r="T31">
        <v>11</v>
      </c>
      <c r="U31" t="s">
        <v>83</v>
      </c>
      <c r="Y31">
        <v>19</v>
      </c>
      <c r="Z31" t="s">
        <v>54</v>
      </c>
    </row>
    <row r="32" spans="1:26" x14ac:dyDescent="0.25">
      <c r="A32">
        <f t="shared" si="0"/>
        <v>20</v>
      </c>
      <c r="B32" s="7" t="s">
        <v>109</v>
      </c>
      <c r="C32">
        <v>940694</v>
      </c>
      <c r="D32">
        <f>SUMIFS(Historic_BCast_BASE[Audience],Historic_BCast_BASE[Digital?],"N",Historic_BCast_BASE[Broadcast Market],'YoY Pivots'!$B32)</f>
        <v>830876</v>
      </c>
      <c r="E32" s="9">
        <f t="shared" si="5"/>
        <v>0.13217134686764331</v>
      </c>
      <c r="F32" s="22">
        <f t="shared" si="6"/>
        <v>109818</v>
      </c>
      <c r="I32">
        <f t="shared" si="2"/>
        <v>9</v>
      </c>
      <c r="J32" s="7" t="s">
        <v>19</v>
      </c>
      <c r="K32" s="8">
        <v>35.085289351851856</v>
      </c>
      <c r="L32" s="8">
        <f>SUMIFS(Historic_BCast_BASE[Broadcast Duration],Historic_BCast_BASE[Digital?],"N",Historic_BCast_BASE[Broadcast Market],'YoY Pivots'!$J32)</f>
        <v>27.728194444444448</v>
      </c>
      <c r="M32" s="9">
        <f t="shared" si="3"/>
        <v>0.26532902898340205</v>
      </c>
      <c r="N32" s="8">
        <f t="shared" si="4"/>
        <v>7.3570949074074079</v>
      </c>
      <c r="S32" s="7"/>
      <c r="T32">
        <v>10</v>
      </c>
      <c r="U32" t="s">
        <v>29</v>
      </c>
      <c r="Y32">
        <v>18</v>
      </c>
      <c r="Z32" t="s">
        <v>106</v>
      </c>
    </row>
    <row r="33" spans="1:26" x14ac:dyDescent="0.25">
      <c r="A33">
        <f t="shared" si="0"/>
        <v>94</v>
      </c>
      <c r="B33" s="7" t="s">
        <v>110</v>
      </c>
      <c r="C33">
        <v>1396766</v>
      </c>
      <c r="D33">
        <f>SUMIFS(Historic_BCast_BASE[Audience],Historic_BCast_BASE[Digital?],"N",Historic_BCast_BASE[Broadcast Market],'YoY Pivots'!$B33)</f>
        <v>1639740</v>
      </c>
      <c r="E33" s="9">
        <f t="shared" si="5"/>
        <v>-0.14817836974154441</v>
      </c>
      <c r="F33" s="22">
        <f t="shared" si="6"/>
        <v>-242974</v>
      </c>
      <c r="I33">
        <f t="shared" si="2"/>
        <v>16</v>
      </c>
      <c r="J33" s="7" t="s">
        <v>95</v>
      </c>
      <c r="K33" s="8">
        <v>5.625</v>
      </c>
      <c r="L33" s="8">
        <f>SUMIFS(Historic_BCast_BASE[Broadcast Duration],Historic_BCast_BASE[Digital?],"N",Historic_BCast_BASE[Broadcast Market],'YoY Pivots'!$J33)</f>
        <v>3.479166666666667</v>
      </c>
      <c r="M33" s="9">
        <f t="shared" si="3"/>
        <v>0.61676646706586813</v>
      </c>
      <c r="N33" s="8">
        <f t="shared" si="4"/>
        <v>2.145833333333333</v>
      </c>
      <c r="S33" s="7"/>
      <c r="T33">
        <v>9</v>
      </c>
      <c r="U33" t="s">
        <v>100</v>
      </c>
      <c r="Y33">
        <v>17</v>
      </c>
      <c r="Z33" t="s">
        <v>99</v>
      </c>
    </row>
    <row r="34" spans="1:26" x14ac:dyDescent="0.25">
      <c r="A34">
        <f t="shared" si="0"/>
        <v>7</v>
      </c>
      <c r="B34" s="7" t="s">
        <v>111</v>
      </c>
      <c r="C34">
        <v>4002154</v>
      </c>
      <c r="D34">
        <f>SUMIFS(Historic_BCast_BASE[Audience],Historic_BCast_BASE[Digital?],"N",Historic_BCast_BASE[Broadcast Market],'YoY Pivots'!$B34)</f>
        <v>2528328</v>
      </c>
      <c r="E34" s="9">
        <f t="shared" si="5"/>
        <v>0.58292515844463222</v>
      </c>
      <c r="F34" s="22">
        <f t="shared" si="6"/>
        <v>1473826</v>
      </c>
      <c r="I34">
        <f t="shared" si="2"/>
        <v>20</v>
      </c>
      <c r="J34" s="7" t="s">
        <v>11</v>
      </c>
      <c r="K34" s="8">
        <v>11.607638888888886</v>
      </c>
      <c r="L34" s="8">
        <f>SUMIFS(Historic_BCast_BASE[Broadcast Duration],Historic_BCast_BASE[Digital?],"N",Historic_BCast_BASE[Broadcast Market],'YoY Pivots'!$J34)</f>
        <v>10.972222222222221</v>
      </c>
      <c r="M34" s="9">
        <f t="shared" si="3"/>
        <v>5.7911392405063156E-2</v>
      </c>
      <c r="N34" s="8">
        <f t="shared" si="4"/>
        <v>0.6354166666666643</v>
      </c>
      <c r="S34" s="7"/>
      <c r="T34">
        <v>8</v>
      </c>
      <c r="U34" t="s">
        <v>103</v>
      </c>
      <c r="Y34">
        <v>16</v>
      </c>
      <c r="Z34" t="s">
        <v>95</v>
      </c>
    </row>
    <row r="35" spans="1:26" x14ac:dyDescent="0.25">
      <c r="A35">
        <f t="shared" si="0"/>
        <v>24</v>
      </c>
      <c r="B35" s="7" t="s">
        <v>113</v>
      </c>
      <c r="C35">
        <v>2503486</v>
      </c>
      <c r="D35">
        <f>SUMIFS(Historic_BCast_BASE[Audience],Historic_BCast_BASE[Digital?],"N",Historic_BCast_BASE[Broadcast Market],'YoY Pivots'!$B35)</f>
        <v>2491179</v>
      </c>
      <c r="E35" s="9">
        <f t="shared" si="5"/>
        <v>4.9402311114536968E-3</v>
      </c>
      <c r="F35" s="22">
        <f t="shared" si="6"/>
        <v>12307</v>
      </c>
      <c r="I35">
        <f t="shared" si="2"/>
        <v>22</v>
      </c>
      <c r="J35" s="7" t="s">
        <v>24</v>
      </c>
      <c r="K35" s="8">
        <v>15.061921296296294</v>
      </c>
      <c r="L35" s="8">
        <f>SUMIFS(Historic_BCast_BASE[Broadcast Duration],Historic_BCast_BASE[Digital?],"N",Historic_BCast_BASE[Broadcast Market],'YoY Pivots'!$J35)</f>
        <v>14.893958333333332</v>
      </c>
      <c r="M35" s="9">
        <f t="shared" si="3"/>
        <v>1.1277254790424296E-2</v>
      </c>
      <c r="N35" s="8">
        <f t="shared" si="4"/>
        <v>0.16796296296296198</v>
      </c>
      <c r="S35" s="7"/>
      <c r="T35">
        <v>7</v>
      </c>
      <c r="U35" t="s">
        <v>111</v>
      </c>
      <c r="Y35">
        <v>15</v>
      </c>
      <c r="Z35" t="s">
        <v>35</v>
      </c>
    </row>
    <row r="36" spans="1:26" x14ac:dyDescent="0.25">
      <c r="A36">
        <f t="shared" si="0"/>
        <v>96</v>
      </c>
      <c r="B36" s="7" t="s">
        <v>114</v>
      </c>
      <c r="C36">
        <v>1015610</v>
      </c>
      <c r="D36">
        <f>SUMIFS(Historic_BCast_BASE[Audience],Historic_BCast_BASE[Digital?],"N",Historic_BCast_BASE[Broadcast Market],'YoY Pivots'!$B36)</f>
        <v>1828104</v>
      </c>
      <c r="E36" s="9">
        <f t="shared" si="5"/>
        <v>-0.4444462678272133</v>
      </c>
      <c r="F36" s="22">
        <f t="shared" si="6"/>
        <v>-812494</v>
      </c>
      <c r="I36">
        <f t="shared" si="2"/>
        <v>86</v>
      </c>
      <c r="J36" s="7" t="s">
        <v>21</v>
      </c>
      <c r="K36" s="8">
        <v>27.326388888888889</v>
      </c>
      <c r="L36" s="8">
        <f>SUMIFS(Historic_BCast_BASE[Broadcast Duration],Historic_BCast_BASE[Digital?],"N",Historic_BCast_BASE[Broadcast Market],'YoY Pivots'!$J36)</f>
        <v>27.497916666666665</v>
      </c>
      <c r="M36" s="9">
        <f t="shared" si="3"/>
        <v>-6.237846301487382E-3</v>
      </c>
      <c r="N36" s="8">
        <f t="shared" si="4"/>
        <v>-0.17152777777777573</v>
      </c>
      <c r="S36" s="7"/>
      <c r="T36">
        <v>6</v>
      </c>
      <c r="U36" t="s">
        <v>122</v>
      </c>
      <c r="Y36">
        <v>14</v>
      </c>
      <c r="Z36" t="s">
        <v>122</v>
      </c>
    </row>
    <row r="37" spans="1:26" x14ac:dyDescent="0.25">
      <c r="A37">
        <f t="shared" si="0"/>
        <v>2</v>
      </c>
      <c r="B37" s="7" t="s">
        <v>121</v>
      </c>
      <c r="C37">
        <v>6013000</v>
      </c>
      <c r="D37">
        <f>SUMIFS(Historic_BCast_BASE[Audience],Historic_BCast_BASE[Digital?],"N",Historic_BCast_BASE[Broadcast Market],'YoY Pivots'!$B37)</f>
        <v>0</v>
      </c>
      <c r="E37" s="9" t="str">
        <f t="shared" si="5"/>
        <v>-</v>
      </c>
      <c r="F37" s="22">
        <f t="shared" si="6"/>
        <v>6013000</v>
      </c>
      <c r="I37">
        <f t="shared" si="2"/>
        <v>94</v>
      </c>
      <c r="J37" s="7" t="s">
        <v>97</v>
      </c>
      <c r="K37" s="8">
        <v>8.2768981481481472</v>
      </c>
      <c r="L37" s="8">
        <f>SUMIFS(Historic_BCast_BASE[Broadcast Duration],Historic_BCast_BASE[Digital?],"N",Historic_BCast_BASE[Broadcast Market],'YoY Pivots'!$J37)</f>
        <v>9.57568287037037</v>
      </c>
      <c r="M37" s="9">
        <f t="shared" si="3"/>
        <v>-0.13563363989851807</v>
      </c>
      <c r="N37" s="8">
        <f t="shared" si="4"/>
        <v>-1.2987847222222229</v>
      </c>
      <c r="S37" s="7"/>
      <c r="T37">
        <v>5</v>
      </c>
      <c r="U37" t="s">
        <v>126</v>
      </c>
      <c r="Y37">
        <v>13</v>
      </c>
      <c r="Z37" t="s">
        <v>83</v>
      </c>
    </row>
    <row r="38" spans="1:26" x14ac:dyDescent="0.25">
      <c r="A38">
        <f t="shared" si="0"/>
        <v>6</v>
      </c>
      <c r="B38" s="7" t="s">
        <v>122</v>
      </c>
      <c r="C38">
        <v>28766560</v>
      </c>
      <c r="D38">
        <f>SUMIFS(Historic_BCast_BASE[Audience],Historic_BCast_BASE[Digital?],"N",Historic_BCast_BASE[Broadcast Market],'YoY Pivots'!$B38)</f>
        <v>27239119</v>
      </c>
      <c r="E38" s="9">
        <f t="shared" si="5"/>
        <v>5.6075271744288058E-2</v>
      </c>
      <c r="F38" s="22">
        <f t="shared" si="6"/>
        <v>1527441</v>
      </c>
      <c r="I38">
        <f t="shared" si="2"/>
        <v>17</v>
      </c>
      <c r="J38" s="7" t="s">
        <v>99</v>
      </c>
      <c r="K38" s="8">
        <v>10.758032407407406</v>
      </c>
      <c r="L38" s="8">
        <f>SUMIFS(Historic_BCast_BASE[Broadcast Duration],Historic_BCast_BASE[Digital?],"N",Historic_BCast_BASE[Broadcast Market],'YoY Pivots'!$J38)</f>
        <v>9.11042824074074</v>
      </c>
      <c r="M38" s="9">
        <f t="shared" si="3"/>
        <v>0.18084815808095356</v>
      </c>
      <c r="N38" s="8">
        <f t="shared" si="4"/>
        <v>1.6476041666666656</v>
      </c>
      <c r="S38" s="7"/>
      <c r="T38">
        <v>4</v>
      </c>
      <c r="U38" t="s">
        <v>92</v>
      </c>
      <c r="Y38">
        <v>12</v>
      </c>
      <c r="Z38" t="s">
        <v>13</v>
      </c>
    </row>
    <row r="39" spans="1:26" x14ac:dyDescent="0.25">
      <c r="A39">
        <f t="shared" si="0"/>
        <v>5</v>
      </c>
      <c r="B39" s="7" t="s">
        <v>126</v>
      </c>
      <c r="C39">
        <v>2836775</v>
      </c>
      <c r="D39">
        <f>SUMIFS(Historic_BCast_BASE[Audience],Historic_BCast_BASE[Digital?],"N",Historic_BCast_BASE[Broadcast Market],'YoY Pivots'!$B39)</f>
        <v>495308</v>
      </c>
      <c r="E39" s="9">
        <f t="shared" si="5"/>
        <v>4.7272949356763876</v>
      </c>
      <c r="F39" s="22">
        <f t="shared" si="6"/>
        <v>2341467</v>
      </c>
      <c r="I39">
        <f t="shared" si="2"/>
        <v>21</v>
      </c>
      <c r="J39" s="7" t="s">
        <v>100</v>
      </c>
      <c r="K39" s="8">
        <v>15.635787037037037</v>
      </c>
      <c r="L39" s="8">
        <f>SUMIFS(Historic_BCast_BASE[Broadcast Duration],Historic_BCast_BASE[Digital?],"N",Historic_BCast_BASE[Broadcast Market],'YoY Pivots'!$J39)</f>
        <v>15.43138888888889</v>
      </c>
      <c r="M39" s="9">
        <f t="shared" si="3"/>
        <v>1.3245609298027761E-2</v>
      </c>
      <c r="N39" s="8">
        <f t="shared" si="4"/>
        <v>0.20439814814814738</v>
      </c>
      <c r="S39" s="7"/>
      <c r="T39">
        <v>3</v>
      </c>
      <c r="U39" t="s">
        <v>31</v>
      </c>
      <c r="Y39">
        <v>11</v>
      </c>
      <c r="Z39" t="s">
        <v>109</v>
      </c>
    </row>
    <row r="40" spans="1:26" x14ac:dyDescent="0.25">
      <c r="A40">
        <f t="shared" si="0"/>
        <v>93</v>
      </c>
      <c r="B40" s="7" t="s">
        <v>63</v>
      </c>
      <c r="C40">
        <v>906994</v>
      </c>
      <c r="D40">
        <f>SUMIFS(Historic_BCast_BASE[Audience],Historic_BCast_BASE[Digital?],"N",Historic_BCast_BASE[Broadcast Market],'YoY Pivots'!$B40)</f>
        <v>1092047</v>
      </c>
      <c r="E40" s="9">
        <f t="shared" si="5"/>
        <v>-0.16945516081267564</v>
      </c>
      <c r="F40" s="22">
        <f t="shared" si="6"/>
        <v>-185053</v>
      </c>
      <c r="I40">
        <f t="shared" si="2"/>
        <v>22</v>
      </c>
      <c r="J40" s="7" t="s">
        <v>103</v>
      </c>
      <c r="K40" s="8">
        <v>15.061921296296298</v>
      </c>
      <c r="L40" s="8">
        <f>SUMIFS(Historic_BCast_BASE[Broadcast Duration],Historic_BCast_BASE[Digital?],"N",Historic_BCast_BASE[Broadcast Market],'YoY Pivots'!$J40)</f>
        <v>14.893958333333336</v>
      </c>
      <c r="M40" s="9">
        <f t="shared" si="3"/>
        <v>1.1277254790424296E-2</v>
      </c>
      <c r="N40" s="8">
        <f t="shared" si="4"/>
        <v>0.16796296296296198</v>
      </c>
      <c r="S40" s="7"/>
      <c r="T40">
        <v>2</v>
      </c>
      <c r="U40" t="s">
        <v>121</v>
      </c>
      <c r="Y40">
        <v>9</v>
      </c>
      <c r="Z40" t="s">
        <v>62</v>
      </c>
    </row>
    <row r="41" spans="1:26" x14ac:dyDescent="0.25">
      <c r="A41">
        <f t="shared" si="0"/>
        <v>4</v>
      </c>
      <c r="B41" s="7" t="s">
        <v>92</v>
      </c>
      <c r="C41">
        <v>3266376.4450867046</v>
      </c>
      <c r="D41">
        <f>SUMIFS(Historic_BCast_BASE[Audience],Historic_BCast_BASE[Digital?],"N",Historic_BCast_BASE[Broadcast Market],'YoY Pivots'!$B41)</f>
        <v>426000</v>
      </c>
      <c r="E41" s="9">
        <f t="shared" si="5"/>
        <v>6.667550340579119</v>
      </c>
      <c r="F41" s="22">
        <f t="shared" si="6"/>
        <v>2840376.4450867046</v>
      </c>
      <c r="I41">
        <f t="shared" si="2"/>
        <v>83</v>
      </c>
      <c r="J41" s="7" t="s">
        <v>104</v>
      </c>
      <c r="K41" s="8">
        <v>8.3333333333333329E-2</v>
      </c>
      <c r="L41" s="8">
        <f>SUMIFS(Historic_BCast_BASE[Broadcast Duration],Historic_BCast_BASE[Digital?],"N",Historic_BCast_BASE[Broadcast Market],'YoY Pivots'!$J41)</f>
        <v>0.12983796296296296</v>
      </c>
      <c r="M41" s="9">
        <f t="shared" si="3"/>
        <v>-0.35817436263148517</v>
      </c>
      <c r="N41" s="8">
        <f t="shared" si="4"/>
        <v>-4.6504629629629632E-2</v>
      </c>
      <c r="S41" s="7"/>
      <c r="T41">
        <v>1</v>
      </c>
      <c r="U41" t="s">
        <v>35</v>
      </c>
      <c r="Y41">
        <v>9</v>
      </c>
      <c r="Z41" t="s">
        <v>19</v>
      </c>
    </row>
    <row r="42" spans="1:26" x14ac:dyDescent="0.25">
      <c r="A42">
        <f t="shared" si="0"/>
        <v>87</v>
      </c>
      <c r="B42" s="7" t="s">
        <v>133</v>
      </c>
      <c r="C42">
        <v>2552</v>
      </c>
      <c r="D42">
        <f>SUMIFS(Historic_BCast_BASE[Audience],Historic_BCast_BASE[Digital?],"N",Historic_BCast_BASE[Broadcast Market],'YoY Pivots'!$B42)</f>
        <v>4948</v>
      </c>
      <c r="E42" s="9">
        <f t="shared" si="5"/>
        <v>-0.48423605497170574</v>
      </c>
      <c r="F42" s="22">
        <f t="shared" si="6"/>
        <v>-2396</v>
      </c>
      <c r="I42">
        <f t="shared" si="2"/>
        <v>18</v>
      </c>
      <c r="J42" s="7" t="s">
        <v>106</v>
      </c>
      <c r="K42" s="8">
        <v>14.524305555555554</v>
      </c>
      <c r="L42" s="8">
        <f>SUMIFS(Historic_BCast_BASE[Broadcast Duration],Historic_BCast_BASE[Digital?],"N",Historic_BCast_BASE[Broadcast Market],'YoY Pivots'!$J42)</f>
        <v>12.951388888888891</v>
      </c>
      <c r="M42" s="9">
        <f t="shared" si="3"/>
        <v>0.12144772117962432</v>
      </c>
      <c r="N42" s="8">
        <f t="shared" si="4"/>
        <v>1.5729166666666625</v>
      </c>
      <c r="S42" s="7"/>
      <c r="Y42">
        <v>8</v>
      </c>
      <c r="Z42" t="s">
        <v>92</v>
      </c>
    </row>
    <row r="43" spans="1:26" x14ac:dyDescent="0.25">
      <c r="A43" t="str">
        <f t="shared" si="0"/>
        <v>-</v>
      </c>
      <c r="D43">
        <f>SUMIFS(Historic_BCast_BASE[Audience],Historic_BCast_BASE[Digital?],"N",Historic_BCast_BASE[Broadcast Market],'YoY Pivots'!$B43)</f>
        <v>0</v>
      </c>
      <c r="E43" s="9" t="str">
        <f t="shared" si="5"/>
        <v>-</v>
      </c>
      <c r="F43">
        <f t="shared" si="6"/>
        <v>0</v>
      </c>
      <c r="I43">
        <f t="shared" si="2"/>
        <v>11</v>
      </c>
      <c r="J43" s="7" t="s">
        <v>109</v>
      </c>
      <c r="K43" s="8">
        <v>29.158240740740737</v>
      </c>
      <c r="L43" s="8">
        <f>SUMIFS(Historic_BCast_BASE[Broadcast Duration],Historic_BCast_BASE[Digital?],"N",Historic_BCast_BASE[Broadcast Market],'YoY Pivots'!$J43)</f>
        <v>23.721504629629631</v>
      </c>
      <c r="M43" s="9">
        <f t="shared" si="3"/>
        <v>0.22919018822778581</v>
      </c>
      <c r="N43" s="8">
        <f t="shared" si="4"/>
        <v>5.4367361111111059</v>
      </c>
      <c r="S43" s="7"/>
      <c r="Y43">
        <v>7</v>
      </c>
      <c r="Z43" t="s">
        <v>31</v>
      </c>
    </row>
    <row r="44" spans="1:26" x14ac:dyDescent="0.25">
      <c r="A44" t="str">
        <f t="shared" si="0"/>
        <v>-</v>
      </c>
      <c r="D44">
        <f>SUMIFS(Historic_BCast_BASE[Audience],Historic_BCast_BASE[Digital?],"N",Historic_BCast_BASE[Broadcast Market],'YoY Pivots'!$B44)</f>
        <v>0</v>
      </c>
      <c r="E44" s="9" t="str">
        <f t="shared" si="5"/>
        <v>-</v>
      </c>
      <c r="F44">
        <f t="shared" si="6"/>
        <v>0</v>
      </c>
      <c r="I44">
        <f t="shared" si="2"/>
        <v>85</v>
      </c>
      <c r="J44" s="7" t="s">
        <v>110</v>
      </c>
      <c r="K44" s="8">
        <v>7.2315509259259256</v>
      </c>
      <c r="L44" s="8">
        <f>SUMIFS(Historic_BCast_BASE[Broadcast Duration],Historic_BCast_BASE[Digital?],"N",Historic_BCast_BASE[Broadcast Market],'YoY Pivots'!$J44)</f>
        <v>7.3123726851851849</v>
      </c>
      <c r="M44" s="9">
        <f t="shared" si="3"/>
        <v>-1.1052740709319053E-2</v>
      </c>
      <c r="N44" s="8">
        <f t="shared" si="4"/>
        <v>-8.0821759259259274E-2</v>
      </c>
      <c r="S44" s="7"/>
      <c r="Y44">
        <v>6</v>
      </c>
      <c r="Z44" t="s">
        <v>90</v>
      </c>
    </row>
    <row r="45" spans="1:26" x14ac:dyDescent="0.25">
      <c r="A45" t="str">
        <f t="shared" si="0"/>
        <v>-</v>
      </c>
      <c r="D45">
        <f>SUMIFS(Historic_BCast_BASE[Audience],Historic_BCast_BASE[Digital?],"N",Historic_BCast_BASE[Broadcast Market],'YoY Pivots'!$B45)</f>
        <v>0</v>
      </c>
      <c r="E45" s="9" t="str">
        <f t="shared" si="5"/>
        <v>-</v>
      </c>
      <c r="F45">
        <f t="shared" si="6"/>
        <v>0</v>
      </c>
      <c r="I45">
        <f t="shared" si="2"/>
        <v>97</v>
      </c>
      <c r="J45" s="7" t="s">
        <v>111</v>
      </c>
      <c r="K45" s="8">
        <v>14.619942129629628</v>
      </c>
      <c r="L45" s="8">
        <f>SUMIFS(Historic_BCast_BASE[Broadcast Duration],Historic_BCast_BASE[Digital?],"N",Historic_BCast_BASE[Broadcast Market],'YoY Pivots'!$J45)</f>
        <v>17.56429398148148</v>
      </c>
      <c r="M45" s="9">
        <f t="shared" si="3"/>
        <v>-0.16763280408288339</v>
      </c>
      <c r="N45" s="8">
        <f t="shared" si="4"/>
        <v>-2.9443518518518523</v>
      </c>
      <c r="Y45">
        <v>5</v>
      </c>
      <c r="Z45" t="s">
        <v>114</v>
      </c>
    </row>
    <row r="46" spans="1:26" x14ac:dyDescent="0.25">
      <c r="A46" t="str">
        <f t="shared" si="0"/>
        <v>-</v>
      </c>
      <c r="D46">
        <f>SUMIFS(Historic_BCast_BASE[Audience],Historic_BCast_BASE[Digital?],"N",Historic_BCast_BASE[Broadcast Market],'YoY Pivots'!$B46)</f>
        <v>0</v>
      </c>
      <c r="E46" s="9" t="str">
        <f t="shared" si="5"/>
        <v>-</v>
      </c>
      <c r="F46">
        <f t="shared" si="6"/>
        <v>0</v>
      </c>
      <c r="I46">
        <f t="shared" si="2"/>
        <v>93</v>
      </c>
      <c r="J46" s="7" t="s">
        <v>113</v>
      </c>
      <c r="K46" s="8">
        <v>18.877430555555552</v>
      </c>
      <c r="L46" s="8">
        <f>SUMIFS(Historic_BCast_BASE[Broadcast Duration],Historic_BCast_BASE[Digital?],"N",Historic_BCast_BASE[Broadcast Market],'YoY Pivots'!$J46)</f>
        <v>19.724560185185183</v>
      </c>
      <c r="M46" s="9">
        <f t="shared" si="3"/>
        <v>-4.2947960394366436E-2</v>
      </c>
      <c r="N46" s="8">
        <f t="shared" si="4"/>
        <v>-0.8471296296296309</v>
      </c>
      <c r="Y46">
        <v>4</v>
      </c>
      <c r="Z46" t="s">
        <v>53</v>
      </c>
    </row>
    <row r="47" spans="1:26" x14ac:dyDescent="0.25">
      <c r="A47" t="str">
        <f t="shared" si="0"/>
        <v>-</v>
      </c>
      <c r="D47">
        <f>SUMIFS(Historic_BCast_BASE[Audience],Historic_BCast_BASE[Digital?],"N",Historic_BCast_BASE[Broadcast Market],'YoY Pivots'!$B47)</f>
        <v>0</v>
      </c>
      <c r="E47" s="9" t="str">
        <f t="shared" si="5"/>
        <v>-</v>
      </c>
      <c r="F47">
        <f t="shared" si="6"/>
        <v>0</v>
      </c>
      <c r="I47">
        <f t="shared" si="2"/>
        <v>5</v>
      </c>
      <c r="J47" s="7" t="s">
        <v>114</v>
      </c>
      <c r="K47" s="8">
        <v>28.854166666666668</v>
      </c>
      <c r="L47" s="8">
        <f>SUMIFS(Historic_BCast_BASE[Broadcast Duration],Historic_BCast_BASE[Digital?],"N",Historic_BCast_BASE[Broadcast Market],'YoY Pivots'!$J47)</f>
        <v>16.434027777777779</v>
      </c>
      <c r="M47" s="9">
        <f t="shared" si="3"/>
        <v>0.75575744770758502</v>
      </c>
      <c r="N47" s="8">
        <f t="shared" si="4"/>
        <v>12.420138888888889</v>
      </c>
      <c r="Y47">
        <v>3</v>
      </c>
      <c r="Z47" t="s">
        <v>29</v>
      </c>
    </row>
    <row r="48" spans="1:26" x14ac:dyDescent="0.25">
      <c r="A48" t="str">
        <f t="shared" si="0"/>
        <v>-</v>
      </c>
      <c r="D48">
        <f>SUMIFS(Historic_BCast_BASE[Audience],Historic_BCast_BASE[Digital?],"N",Historic_BCast_BASE[Broadcast Market],'YoY Pivots'!$B48)</f>
        <v>0</v>
      </c>
      <c r="E48" s="9" t="str">
        <f t="shared" si="5"/>
        <v>-</v>
      </c>
      <c r="F48">
        <f t="shared" si="6"/>
        <v>0</v>
      </c>
      <c r="I48">
        <f t="shared" si="2"/>
        <v>25</v>
      </c>
      <c r="J48" s="7" t="s">
        <v>121</v>
      </c>
      <c r="K48" s="8">
        <v>0.15528935185185186</v>
      </c>
      <c r="L48" s="8">
        <f>SUMIFS(Historic_BCast_BASE[Broadcast Duration],Historic_BCast_BASE[Digital?],"N",Historic_BCast_BASE[Broadcast Market],'YoY Pivots'!$J48)</f>
        <v>0</v>
      </c>
      <c r="M48" s="9" t="str">
        <f t="shared" si="3"/>
        <v>-</v>
      </c>
      <c r="N48" s="8">
        <f>K48-L48</f>
        <v>0.15528935185185186</v>
      </c>
      <c r="Y48">
        <v>2</v>
      </c>
      <c r="Z48" t="s">
        <v>59</v>
      </c>
    </row>
    <row r="49" spans="1:26" x14ac:dyDescent="0.25">
      <c r="A49" t="str">
        <f t="shared" si="0"/>
        <v>-</v>
      </c>
      <c r="D49">
        <f>SUMIFS(Historic_BCast_BASE[Audience],Historic_BCast_BASE[Digital?],"N",Historic_BCast_BASE[Broadcast Market],'YoY Pivots'!$B49)</f>
        <v>0</v>
      </c>
      <c r="E49" s="9" t="str">
        <f t="shared" si="5"/>
        <v>-</v>
      </c>
      <c r="F49">
        <f t="shared" si="6"/>
        <v>0</v>
      </c>
      <c r="I49">
        <f t="shared" si="2"/>
        <v>14</v>
      </c>
      <c r="J49" s="7" t="s">
        <v>122</v>
      </c>
      <c r="K49" s="8">
        <v>23.886111111111113</v>
      </c>
      <c r="L49" s="8">
        <f>SUMIFS(Historic_BCast_BASE[Broadcast Duration],Historic_BCast_BASE[Digital?],"N",Historic_BCast_BASE[Broadcast Market],'YoY Pivots'!$J49)</f>
        <v>21.227777777777778</v>
      </c>
      <c r="M49" s="9">
        <f t="shared" si="3"/>
        <v>0.12522899764459572</v>
      </c>
      <c r="N49" s="8">
        <f t="shared" si="4"/>
        <v>2.658333333333335</v>
      </c>
      <c r="Y49">
        <v>5</v>
      </c>
      <c r="Z49" t="s">
        <v>15</v>
      </c>
    </row>
    <row r="50" spans="1:26" x14ac:dyDescent="0.25">
      <c r="A50" t="str">
        <f t="shared" si="0"/>
        <v>-</v>
      </c>
      <c r="D50">
        <f>SUMIFS(Historic_BCast_BASE[Audience],Historic_BCast_BASE[Digital?],"N",Historic_BCast_BASE[Broadcast Market],'YoY Pivots'!$B50)</f>
        <v>0</v>
      </c>
      <c r="E50" s="9" t="str">
        <f t="shared" si="5"/>
        <v>-</v>
      </c>
      <c r="F50">
        <f t="shared" si="6"/>
        <v>0</v>
      </c>
      <c r="I50">
        <f t="shared" si="2"/>
        <v>84</v>
      </c>
      <c r="J50" s="7" t="s">
        <v>126</v>
      </c>
      <c r="K50" s="8">
        <v>19.267361111111107</v>
      </c>
      <c r="L50" s="8">
        <f>SUMIFS(Historic_BCast_BASE[Broadcast Duration],Historic_BCast_BASE[Digital?],"N",Historic_BCast_BASE[Broadcast Market],'YoY Pivots'!$J50)</f>
        <v>19.336805555555554</v>
      </c>
      <c r="M50" s="9">
        <f t="shared" si="3"/>
        <v>-3.5913090321423313E-3</v>
      </c>
      <c r="N50" s="8">
        <f t="shared" si="4"/>
        <v>-6.9444444444446418E-2</v>
      </c>
    </row>
    <row r="51" spans="1:26" x14ac:dyDescent="0.25">
      <c r="A51" t="str">
        <f t="shared" si="0"/>
        <v>-</v>
      </c>
      <c r="D51">
        <f>SUMIFS(Historic_BCast_BASE[Audience],Historic_BCast_BASE[Digital?],"N",Historic_BCast_BASE[Broadcast Market],'YoY Pivots'!$B51)</f>
        <v>0</v>
      </c>
      <c r="E51" s="9" t="str">
        <f t="shared" si="5"/>
        <v>-</v>
      </c>
      <c r="F51">
        <f t="shared" si="6"/>
        <v>0</v>
      </c>
      <c r="I51">
        <f t="shared" ref="I51:I69" si="7">_xlfn.RANK.EQ(N51,$N$5:$N$104,0)</f>
        <v>28</v>
      </c>
      <c r="L51" s="8">
        <f>SUMIFS(Historic_BCast_BASE[Broadcast Duration],Historic_BCast_BASE[Digital?],"N",Historic_BCast_BASE[Broadcast Market],'YoY Pivots'!$J51)</f>
        <v>0</v>
      </c>
      <c r="M51" s="9" t="str">
        <f t="shared" si="3"/>
        <v>-</v>
      </c>
      <c r="N51" s="8">
        <f t="shared" si="4"/>
        <v>0</v>
      </c>
    </row>
    <row r="52" spans="1:26" x14ac:dyDescent="0.25">
      <c r="A52" t="str">
        <f t="shared" si="0"/>
        <v>-</v>
      </c>
      <c r="D52">
        <f>SUMIFS(Historic_BCast_BASE[Audience],Historic_BCast_BASE[Digital?],"N",Historic_BCast_BASE[Broadcast Market],'YoY Pivots'!$B52)</f>
        <v>0</v>
      </c>
      <c r="E52" s="9" t="str">
        <f t="shared" si="5"/>
        <v>-</v>
      </c>
      <c r="F52">
        <f t="shared" si="6"/>
        <v>0</v>
      </c>
      <c r="I52">
        <f t="shared" si="7"/>
        <v>28</v>
      </c>
      <c r="L52" s="8">
        <f>SUMIFS(Historic_BCast_BASE[Broadcast Duration],Historic_BCast_BASE[Digital?],"N",Historic_BCast_BASE[Broadcast Market],'YoY Pivots'!$J52)</f>
        <v>0</v>
      </c>
      <c r="M52" s="9" t="str">
        <f t="shared" si="3"/>
        <v>-</v>
      </c>
      <c r="N52" s="8">
        <f t="shared" si="4"/>
        <v>0</v>
      </c>
    </row>
    <row r="53" spans="1:26" x14ac:dyDescent="0.25">
      <c r="A53" t="str">
        <f t="shared" si="0"/>
        <v>-</v>
      </c>
      <c r="D53">
        <f>SUMIFS(Historic_BCast_BASE[Audience],Historic_BCast_BASE[Digital?],"N",Historic_BCast_BASE[Broadcast Market],'YoY Pivots'!$B53)</f>
        <v>0</v>
      </c>
      <c r="E53" s="9" t="str">
        <f t="shared" si="5"/>
        <v>-</v>
      </c>
      <c r="F53">
        <f t="shared" si="6"/>
        <v>0</v>
      </c>
      <c r="I53">
        <f t="shared" si="7"/>
        <v>28</v>
      </c>
      <c r="L53" s="8">
        <f>SUMIFS(Historic_BCast_BASE[Broadcast Duration],Historic_BCast_BASE[Digital?],"N",Historic_BCast_BASE[Broadcast Market],'YoY Pivots'!$J53)</f>
        <v>0</v>
      </c>
      <c r="M53" s="9" t="str">
        <f t="shared" si="3"/>
        <v>-</v>
      </c>
      <c r="N53" s="8">
        <f t="shared" si="4"/>
        <v>0</v>
      </c>
    </row>
    <row r="54" spans="1:26" x14ac:dyDescent="0.25">
      <c r="A54" t="str">
        <f t="shared" si="0"/>
        <v>-</v>
      </c>
      <c r="D54">
        <f>SUMIFS(Historic_BCast_BASE[Audience],Historic_BCast_BASE[Digital?],"N",Historic_BCast_BASE[Broadcast Market],'YoY Pivots'!$B54)</f>
        <v>0</v>
      </c>
      <c r="E54" s="9" t="str">
        <f t="shared" si="5"/>
        <v>-</v>
      </c>
      <c r="F54">
        <f t="shared" si="6"/>
        <v>0</v>
      </c>
      <c r="I54">
        <f t="shared" si="7"/>
        <v>28</v>
      </c>
      <c r="L54" s="8">
        <f>SUMIFS(Historic_BCast_BASE[Broadcast Duration],Historic_BCast_BASE[Digital?],"N",Historic_BCast_BASE[Broadcast Market],'YoY Pivots'!$J54)</f>
        <v>0</v>
      </c>
      <c r="M54" s="9" t="str">
        <f t="shared" si="3"/>
        <v>-</v>
      </c>
      <c r="N54" s="8">
        <f t="shared" si="4"/>
        <v>0</v>
      </c>
    </row>
    <row r="55" spans="1:26" x14ac:dyDescent="0.25">
      <c r="A55" t="str">
        <f t="shared" si="0"/>
        <v>-</v>
      </c>
      <c r="D55">
        <f>SUMIFS(Historic_BCast_BASE[Audience],Historic_BCast_BASE[Digital?],"N",Historic_BCast_BASE[Broadcast Market],'YoY Pivots'!$B55)</f>
        <v>0</v>
      </c>
      <c r="E55" s="9" t="str">
        <f t="shared" si="5"/>
        <v>-</v>
      </c>
      <c r="F55">
        <f t="shared" si="6"/>
        <v>0</v>
      </c>
      <c r="I55">
        <f t="shared" si="7"/>
        <v>28</v>
      </c>
      <c r="L55" s="8">
        <f>SUMIFS(Historic_BCast_BASE[Broadcast Duration],Historic_BCast_BASE[Digital?],"N",Historic_BCast_BASE[Broadcast Market],'YoY Pivots'!$J55)</f>
        <v>0</v>
      </c>
      <c r="M55" s="9" t="str">
        <f t="shared" si="3"/>
        <v>-</v>
      </c>
      <c r="N55" s="8">
        <f t="shared" si="4"/>
        <v>0</v>
      </c>
    </row>
    <row r="56" spans="1:26" x14ac:dyDescent="0.25">
      <c r="A56" t="str">
        <f t="shared" si="0"/>
        <v>-</v>
      </c>
      <c r="D56">
        <f>SUMIFS(Historic_BCast_BASE[Audience],Historic_BCast_BASE[Digital?],"N",Historic_BCast_BASE[Broadcast Market],'YoY Pivots'!$B56)</f>
        <v>0</v>
      </c>
      <c r="E56" s="9" t="str">
        <f t="shared" si="5"/>
        <v>-</v>
      </c>
      <c r="F56">
        <f t="shared" si="6"/>
        <v>0</v>
      </c>
      <c r="I56">
        <f t="shared" si="7"/>
        <v>28</v>
      </c>
      <c r="L56" s="8">
        <f>SUMIFS(Historic_BCast_BASE[Broadcast Duration],Historic_BCast_BASE[Digital?],"N",Historic_BCast_BASE[Broadcast Market],'YoY Pivots'!$J56)</f>
        <v>0</v>
      </c>
      <c r="M56" s="9" t="str">
        <f t="shared" si="3"/>
        <v>-</v>
      </c>
      <c r="N56" s="8">
        <f t="shared" si="4"/>
        <v>0</v>
      </c>
    </row>
    <row r="57" spans="1:26" x14ac:dyDescent="0.25">
      <c r="A57" t="str">
        <f t="shared" si="0"/>
        <v>-</v>
      </c>
      <c r="D57">
        <f>SUMIFS(Historic_BCast_BASE[Audience],Historic_BCast_BASE[Digital?],"N",Historic_BCast_BASE[Broadcast Market],'YoY Pivots'!$B57)</f>
        <v>0</v>
      </c>
      <c r="E57" s="9" t="str">
        <f t="shared" si="5"/>
        <v>-</v>
      </c>
      <c r="F57">
        <f t="shared" si="6"/>
        <v>0</v>
      </c>
      <c r="I57">
        <f t="shared" si="7"/>
        <v>28</v>
      </c>
      <c r="L57" s="8">
        <f>SUMIFS(Historic_BCast_BASE[Broadcast Duration],Historic_BCast_BASE[Digital?],"N",Historic_BCast_BASE[Broadcast Market],'YoY Pivots'!$J57)</f>
        <v>0</v>
      </c>
      <c r="M57" s="9" t="str">
        <f t="shared" si="3"/>
        <v>-</v>
      </c>
      <c r="N57" s="8">
        <f t="shared" si="4"/>
        <v>0</v>
      </c>
    </row>
    <row r="58" spans="1:26" x14ac:dyDescent="0.25">
      <c r="A58" t="str">
        <f t="shared" si="0"/>
        <v>-</v>
      </c>
      <c r="D58">
        <f>SUMIFS(Historic_BCast_BASE[Audience],Historic_BCast_BASE[Digital?],"N",Historic_BCast_BASE[Broadcast Market],'YoY Pivots'!$B58)</f>
        <v>0</v>
      </c>
      <c r="E58" s="9" t="str">
        <f t="shared" si="5"/>
        <v>-</v>
      </c>
      <c r="F58">
        <f t="shared" si="6"/>
        <v>0</v>
      </c>
      <c r="I58">
        <f t="shared" si="7"/>
        <v>28</v>
      </c>
      <c r="L58" s="8">
        <f>SUMIFS(Historic_BCast_BASE[Broadcast Duration],Historic_BCast_BASE[Digital?],"N",Historic_BCast_BASE[Broadcast Market],'YoY Pivots'!$J58)</f>
        <v>0</v>
      </c>
      <c r="M58" s="9" t="str">
        <f t="shared" si="3"/>
        <v>-</v>
      </c>
      <c r="N58" s="8">
        <f t="shared" si="4"/>
        <v>0</v>
      </c>
    </row>
    <row r="59" spans="1:26" x14ac:dyDescent="0.25">
      <c r="A59" t="str">
        <f t="shared" si="0"/>
        <v>-</v>
      </c>
      <c r="D59">
        <f>SUMIFS(Historic_BCast_BASE[Audience],Historic_BCast_BASE[Digital?],"N",Historic_BCast_BASE[Broadcast Market],'YoY Pivots'!$B59)</f>
        <v>0</v>
      </c>
      <c r="E59" s="9" t="str">
        <f t="shared" si="5"/>
        <v>-</v>
      </c>
      <c r="F59">
        <f t="shared" si="6"/>
        <v>0</v>
      </c>
      <c r="I59">
        <f t="shared" si="7"/>
        <v>28</v>
      </c>
      <c r="L59" s="8">
        <f>SUMIFS(Historic_BCast_BASE[Broadcast Duration],Historic_BCast_BASE[Digital?],"N",Historic_BCast_BASE[Broadcast Market],'YoY Pivots'!$J59)</f>
        <v>0</v>
      </c>
      <c r="M59" s="9" t="str">
        <f t="shared" si="3"/>
        <v>-</v>
      </c>
      <c r="N59" s="8">
        <f t="shared" si="4"/>
        <v>0</v>
      </c>
    </row>
    <row r="60" spans="1:26" x14ac:dyDescent="0.25">
      <c r="A60" t="str">
        <f t="shared" si="0"/>
        <v>-</v>
      </c>
      <c r="D60">
        <f>SUMIFS(Historic_BCast_BASE[Audience],Historic_BCast_BASE[Digital?],"N",Historic_BCast_BASE[Broadcast Market],'YoY Pivots'!$B60)</f>
        <v>0</v>
      </c>
      <c r="E60" s="9" t="str">
        <f t="shared" si="5"/>
        <v>-</v>
      </c>
      <c r="F60">
        <f t="shared" si="6"/>
        <v>0</v>
      </c>
      <c r="I60">
        <f t="shared" si="7"/>
        <v>28</v>
      </c>
      <c r="L60" s="8">
        <f>SUMIFS(Historic_BCast_BASE[Broadcast Duration],Historic_BCast_BASE[Digital?],"N",Historic_BCast_BASE[Broadcast Market],'YoY Pivots'!$J60)</f>
        <v>0</v>
      </c>
      <c r="M60" s="9" t="str">
        <f t="shared" si="3"/>
        <v>-</v>
      </c>
      <c r="N60" s="8">
        <f t="shared" si="4"/>
        <v>0</v>
      </c>
    </row>
    <row r="61" spans="1:26" x14ac:dyDescent="0.25">
      <c r="A61" t="str">
        <f t="shared" si="0"/>
        <v>-</v>
      </c>
      <c r="D61">
        <f>SUMIFS(Historic_BCast_BASE[Audience],Historic_BCast_BASE[Digital?],"N",Historic_BCast_BASE[Broadcast Market],'YoY Pivots'!$B61)</f>
        <v>0</v>
      </c>
      <c r="E61" s="9" t="str">
        <f t="shared" si="5"/>
        <v>-</v>
      </c>
      <c r="F61">
        <f t="shared" si="6"/>
        <v>0</v>
      </c>
      <c r="I61">
        <f t="shared" si="7"/>
        <v>28</v>
      </c>
      <c r="L61" s="8">
        <f>SUMIFS(Historic_BCast_BASE[Broadcast Duration],Historic_BCast_BASE[Digital?],"N",Historic_BCast_BASE[Broadcast Market],'YoY Pivots'!$J61)</f>
        <v>0</v>
      </c>
      <c r="M61" s="9" t="str">
        <f t="shared" si="3"/>
        <v>-</v>
      </c>
      <c r="N61" s="8">
        <f t="shared" si="4"/>
        <v>0</v>
      </c>
    </row>
    <row r="62" spans="1:26" x14ac:dyDescent="0.25">
      <c r="A62" t="str">
        <f t="shared" si="0"/>
        <v>-</v>
      </c>
      <c r="D62">
        <f>SUMIFS(Historic_BCast_BASE[Audience],Historic_BCast_BASE[Digital?],"N",Historic_BCast_BASE[Broadcast Market],'YoY Pivots'!$B62)</f>
        <v>0</v>
      </c>
      <c r="E62" s="9" t="str">
        <f t="shared" si="5"/>
        <v>-</v>
      </c>
      <c r="F62">
        <f t="shared" si="6"/>
        <v>0</v>
      </c>
      <c r="I62">
        <f t="shared" si="7"/>
        <v>28</v>
      </c>
      <c r="L62" s="8">
        <f>SUMIFS(Historic_BCast_BASE[Broadcast Duration],Historic_BCast_BASE[Digital?],"N",Historic_BCast_BASE[Broadcast Market],'YoY Pivots'!$J62)</f>
        <v>0</v>
      </c>
      <c r="M62" s="9" t="str">
        <f t="shared" si="3"/>
        <v>-</v>
      </c>
      <c r="N62" s="8">
        <f t="shared" si="4"/>
        <v>0</v>
      </c>
    </row>
    <row r="63" spans="1:26" x14ac:dyDescent="0.25">
      <c r="A63" t="str">
        <f t="shared" si="0"/>
        <v>-</v>
      </c>
      <c r="D63">
        <f>SUMIFS(Historic_BCast_BASE[Audience],Historic_BCast_BASE[Digital?],"N",Historic_BCast_BASE[Broadcast Market],'YoY Pivots'!$B63)</f>
        <v>0</v>
      </c>
      <c r="E63" s="9" t="str">
        <f t="shared" si="5"/>
        <v>-</v>
      </c>
      <c r="F63">
        <f t="shared" si="6"/>
        <v>0</v>
      </c>
      <c r="I63">
        <f t="shared" si="7"/>
        <v>28</v>
      </c>
      <c r="L63" s="8">
        <f>SUMIFS(Historic_BCast_BASE[Broadcast Duration],Historic_BCast_BASE[Digital?],"N",Historic_BCast_BASE[Broadcast Market],'YoY Pivots'!$J63)</f>
        <v>0</v>
      </c>
      <c r="M63" s="9" t="str">
        <f t="shared" si="3"/>
        <v>-</v>
      </c>
      <c r="N63" s="8">
        <f t="shared" si="4"/>
        <v>0</v>
      </c>
    </row>
    <row r="64" spans="1:26" x14ac:dyDescent="0.25">
      <c r="A64" t="str">
        <f t="shared" si="0"/>
        <v>-</v>
      </c>
      <c r="D64">
        <f>SUMIFS(Historic_BCast_BASE[Audience],Historic_BCast_BASE[Digital?],"N",Historic_BCast_BASE[Broadcast Market],'YoY Pivots'!$B64)</f>
        <v>0</v>
      </c>
      <c r="E64" s="9" t="str">
        <f t="shared" si="5"/>
        <v>-</v>
      </c>
      <c r="F64">
        <f t="shared" si="6"/>
        <v>0</v>
      </c>
      <c r="I64">
        <f t="shared" si="7"/>
        <v>28</v>
      </c>
      <c r="L64" s="8">
        <f>SUMIFS(Historic_BCast_BASE[Broadcast Duration],Historic_BCast_BASE[Digital?],"N",Historic_BCast_BASE[Broadcast Market],'YoY Pivots'!$J64)</f>
        <v>0</v>
      </c>
      <c r="M64" s="9" t="str">
        <f t="shared" si="3"/>
        <v>-</v>
      </c>
      <c r="N64" s="8">
        <f t="shared" si="4"/>
        <v>0</v>
      </c>
    </row>
    <row r="65" spans="1:14" x14ac:dyDescent="0.25">
      <c r="A65" t="str">
        <f t="shared" si="0"/>
        <v>-</v>
      </c>
      <c r="D65">
        <f>SUMIFS(Historic_BCast_BASE[Audience],Historic_BCast_BASE[Digital?],"N",Historic_BCast_BASE[Broadcast Market],'YoY Pivots'!$B65)</f>
        <v>0</v>
      </c>
      <c r="E65" s="9" t="str">
        <f t="shared" si="5"/>
        <v>-</v>
      </c>
      <c r="F65">
        <f t="shared" si="6"/>
        <v>0</v>
      </c>
      <c r="I65">
        <f t="shared" si="7"/>
        <v>28</v>
      </c>
      <c r="L65" s="8">
        <f>SUMIFS(Historic_BCast_BASE[Broadcast Duration],Historic_BCast_BASE[Digital?],"N",Historic_BCast_BASE[Broadcast Market],'YoY Pivots'!$J65)</f>
        <v>0</v>
      </c>
      <c r="M65" s="9" t="str">
        <f t="shared" si="3"/>
        <v>-</v>
      </c>
      <c r="N65" s="8">
        <f t="shared" si="4"/>
        <v>0</v>
      </c>
    </row>
    <row r="66" spans="1:14" x14ac:dyDescent="0.25">
      <c r="A66" t="str">
        <f t="shared" si="0"/>
        <v>-</v>
      </c>
      <c r="D66">
        <f>SUMIFS(Historic_BCast_BASE[Audience],Historic_BCast_BASE[Digital?],"N",Historic_BCast_BASE[Broadcast Market],'YoY Pivots'!$B66)</f>
        <v>0</v>
      </c>
      <c r="E66" s="9" t="str">
        <f t="shared" si="5"/>
        <v>-</v>
      </c>
      <c r="F66">
        <f t="shared" si="6"/>
        <v>0</v>
      </c>
      <c r="I66">
        <f t="shared" si="7"/>
        <v>28</v>
      </c>
      <c r="L66" s="8">
        <f>SUMIFS(Historic_BCast_BASE[Broadcast Duration],Historic_BCast_BASE[Digital?],"N",Historic_BCast_BASE[Broadcast Market],'YoY Pivots'!$J66)</f>
        <v>0</v>
      </c>
      <c r="M66" s="9" t="str">
        <f t="shared" si="3"/>
        <v>-</v>
      </c>
      <c r="N66" s="8">
        <f t="shared" si="4"/>
        <v>0</v>
      </c>
    </row>
    <row r="67" spans="1:14" x14ac:dyDescent="0.25">
      <c r="A67" t="str">
        <f t="shared" si="0"/>
        <v>-</v>
      </c>
      <c r="D67">
        <f>SUMIFS(Historic_BCast_BASE[Audience],Historic_BCast_BASE[Digital?],"N",Historic_BCast_BASE[Broadcast Market],'YoY Pivots'!$B67)</f>
        <v>0</v>
      </c>
      <c r="E67" s="9" t="str">
        <f t="shared" si="5"/>
        <v>-</v>
      </c>
      <c r="F67">
        <f t="shared" si="6"/>
        <v>0</v>
      </c>
      <c r="I67">
        <f t="shared" si="7"/>
        <v>28</v>
      </c>
      <c r="L67" s="8">
        <f>SUMIFS(Historic_BCast_BASE[Broadcast Duration],Historic_BCast_BASE[Digital?],"N",Historic_BCast_BASE[Broadcast Market],'YoY Pivots'!$J67)</f>
        <v>0</v>
      </c>
      <c r="M67" s="9" t="str">
        <f t="shared" si="3"/>
        <v>-</v>
      </c>
      <c r="N67" s="8">
        <f t="shared" si="4"/>
        <v>0</v>
      </c>
    </row>
    <row r="68" spans="1:14" x14ac:dyDescent="0.25">
      <c r="A68" t="str">
        <f t="shared" si="0"/>
        <v>-</v>
      </c>
      <c r="D68">
        <f>SUMIFS(Historic_BCast_BASE[Audience],Historic_BCast_BASE[Digital?],"N",Historic_BCast_BASE[Broadcast Market],'YoY Pivots'!$B68)</f>
        <v>0</v>
      </c>
      <c r="E68" s="9" t="str">
        <f t="shared" si="5"/>
        <v>-</v>
      </c>
      <c r="F68">
        <f t="shared" si="6"/>
        <v>0</v>
      </c>
      <c r="I68">
        <f t="shared" si="7"/>
        <v>28</v>
      </c>
      <c r="L68" s="8">
        <f>SUMIFS(Historic_BCast_BASE[Broadcast Duration],Historic_BCast_BASE[Digital?],"N",Historic_BCast_BASE[Broadcast Market],'YoY Pivots'!$J68)</f>
        <v>0</v>
      </c>
      <c r="M68" s="9" t="str">
        <f t="shared" si="3"/>
        <v>-</v>
      </c>
      <c r="N68" s="8">
        <f t="shared" si="4"/>
        <v>0</v>
      </c>
    </row>
    <row r="69" spans="1:14" x14ac:dyDescent="0.25">
      <c r="A69" t="str">
        <f t="shared" ref="A69:A104" si="8">IF(B69&gt;0,_xlfn.RANK.EQ(F69,$F$5:$F$104,0),"-")</f>
        <v>-</v>
      </c>
      <c r="D69">
        <f>SUMIFS(Historic_BCast_BASE[Audience],Historic_BCast_BASE[Digital?],"N",Historic_BCast_BASE[Broadcast Market],'YoY Pivots'!$B69)</f>
        <v>0</v>
      </c>
      <c r="E69" s="9" t="str">
        <f t="shared" si="5"/>
        <v>-</v>
      </c>
      <c r="F69">
        <f t="shared" si="6"/>
        <v>0</v>
      </c>
      <c r="I69">
        <f t="shared" si="7"/>
        <v>28</v>
      </c>
      <c r="L69" s="8">
        <f>SUMIFS(Historic_BCast_BASE[Broadcast Duration],Historic_BCast_BASE[Digital?],"N",Historic_BCast_BASE[Broadcast Market],'YoY Pivots'!$J69)</f>
        <v>0</v>
      </c>
      <c r="M69" s="9" t="str">
        <f t="shared" si="3"/>
        <v>-</v>
      </c>
      <c r="N69" s="8">
        <f t="shared" si="4"/>
        <v>0</v>
      </c>
    </row>
    <row r="70" spans="1:14" x14ac:dyDescent="0.25">
      <c r="A70" t="str">
        <f t="shared" si="8"/>
        <v>-</v>
      </c>
      <c r="D70">
        <f>SUMIFS(Historic_BCast_BASE[Audience],Historic_BCast_BASE[Digital?],"N",Historic_BCast_BASE[Broadcast Market],'YoY Pivots'!$B70)</f>
        <v>0</v>
      </c>
      <c r="E70" s="9" t="str">
        <f t="shared" si="5"/>
        <v>-</v>
      </c>
      <c r="F70">
        <f t="shared" si="6"/>
        <v>0</v>
      </c>
      <c r="I70">
        <f t="shared" ref="I70:I76" si="9">_xlfn.RANK.EQ(N70,$N$5:$N$104,0)</f>
        <v>28</v>
      </c>
      <c r="L70" s="8">
        <f>SUMIFS(Historic_BCast_BASE[Broadcast Duration],Historic_BCast_BASE[Digital?],"N",Historic_BCast_BASE[Broadcast Market],'YoY Pivots'!$J70)</f>
        <v>0</v>
      </c>
      <c r="M70" s="9" t="str">
        <f t="shared" ref="M70:M104" si="10">IFERROR(K70/L70-1,"-")</f>
        <v>-</v>
      </c>
      <c r="N70" s="8">
        <f t="shared" ref="N70:N104" si="11">K70-L70</f>
        <v>0</v>
      </c>
    </row>
    <row r="71" spans="1:14" x14ac:dyDescent="0.25">
      <c r="A71" t="str">
        <f t="shared" si="8"/>
        <v>-</v>
      </c>
      <c r="D71">
        <f>SUMIFS(Historic_BCast_BASE[Audience],Historic_BCast_BASE[Digital?],"N",Historic_BCast_BASE[Broadcast Market],'YoY Pivots'!$B71)</f>
        <v>0</v>
      </c>
      <c r="E71" s="9" t="str">
        <f t="shared" si="5"/>
        <v>-</v>
      </c>
      <c r="F71">
        <f t="shared" si="6"/>
        <v>0</v>
      </c>
      <c r="I71">
        <f t="shared" si="9"/>
        <v>28</v>
      </c>
      <c r="L71" s="8">
        <f>SUMIFS(Historic_BCast_BASE[Broadcast Duration],Historic_BCast_BASE[Digital?],"N",Historic_BCast_BASE[Broadcast Market],'YoY Pivots'!$J71)</f>
        <v>0</v>
      </c>
      <c r="M71" s="9" t="str">
        <f t="shared" si="10"/>
        <v>-</v>
      </c>
      <c r="N71" s="8">
        <f t="shared" si="11"/>
        <v>0</v>
      </c>
    </row>
    <row r="72" spans="1:14" x14ac:dyDescent="0.25">
      <c r="A72" t="str">
        <f t="shared" si="8"/>
        <v>-</v>
      </c>
      <c r="D72">
        <f>SUMIFS(Historic_BCast_BASE[Audience],Historic_BCast_BASE[Digital?],"N",Historic_BCast_BASE[Broadcast Market],'YoY Pivots'!$B72)</f>
        <v>0</v>
      </c>
      <c r="E72" s="9" t="str">
        <f t="shared" si="5"/>
        <v>-</v>
      </c>
      <c r="F72">
        <f t="shared" si="6"/>
        <v>0</v>
      </c>
      <c r="I72">
        <f t="shared" si="9"/>
        <v>28</v>
      </c>
      <c r="L72" s="8">
        <f>SUMIFS(Historic_BCast_BASE[Broadcast Duration],Historic_BCast_BASE[Digital?],"N",Historic_BCast_BASE[Broadcast Market],'YoY Pivots'!$J72)</f>
        <v>0</v>
      </c>
      <c r="M72" s="9" t="str">
        <f t="shared" si="10"/>
        <v>-</v>
      </c>
      <c r="N72" s="8">
        <f t="shared" si="11"/>
        <v>0</v>
      </c>
    </row>
    <row r="73" spans="1:14" x14ac:dyDescent="0.25">
      <c r="A73" t="str">
        <f t="shared" si="8"/>
        <v>-</v>
      </c>
      <c r="D73">
        <f>SUMIFS(Historic_BCast_BASE[Audience],Historic_BCast_BASE[Digital?],"N",Historic_BCast_BASE[Broadcast Market],'YoY Pivots'!$B73)</f>
        <v>0</v>
      </c>
      <c r="E73" s="9" t="str">
        <f t="shared" ref="E73:E104" si="12">IFERROR(C73/D73-1,"-")</f>
        <v>-</v>
      </c>
      <c r="F73">
        <f t="shared" ref="F73:F104" si="13">C73-D73</f>
        <v>0</v>
      </c>
      <c r="I73">
        <f t="shared" si="9"/>
        <v>28</v>
      </c>
      <c r="L73" s="8">
        <f>SUMIFS(Historic_BCast_BASE[Broadcast Duration],Historic_BCast_BASE[Digital?],"N",Historic_BCast_BASE[Broadcast Market],'YoY Pivots'!$J73)</f>
        <v>0</v>
      </c>
      <c r="M73" s="9" t="str">
        <f t="shared" si="10"/>
        <v>-</v>
      </c>
      <c r="N73" s="8">
        <f t="shared" si="11"/>
        <v>0</v>
      </c>
    </row>
    <row r="74" spans="1:14" x14ac:dyDescent="0.25">
      <c r="A74" t="str">
        <f t="shared" si="8"/>
        <v>-</v>
      </c>
      <c r="D74">
        <f>SUMIFS(Historic_BCast_BASE[Audience],Historic_BCast_BASE[Digital?],"N",Historic_BCast_BASE[Broadcast Market],'YoY Pivots'!$B74)</f>
        <v>0</v>
      </c>
      <c r="E74" s="9" t="str">
        <f t="shared" si="12"/>
        <v>-</v>
      </c>
      <c r="F74">
        <f t="shared" si="13"/>
        <v>0</v>
      </c>
      <c r="I74">
        <f t="shared" si="9"/>
        <v>28</v>
      </c>
      <c r="L74" s="8">
        <f>SUMIFS(Historic_BCast_BASE[Broadcast Duration],Historic_BCast_BASE[Digital?],"N",Historic_BCast_BASE[Broadcast Market],'YoY Pivots'!$J74)</f>
        <v>0</v>
      </c>
      <c r="M74" s="9" t="str">
        <f t="shared" si="10"/>
        <v>-</v>
      </c>
      <c r="N74" s="8">
        <f t="shared" si="11"/>
        <v>0</v>
      </c>
    </row>
    <row r="75" spans="1:14" x14ac:dyDescent="0.25">
      <c r="A75" t="str">
        <f t="shared" si="8"/>
        <v>-</v>
      </c>
      <c r="D75">
        <f>SUMIFS(Historic_BCast_BASE[Audience],Historic_BCast_BASE[Digital?],"N",Historic_BCast_BASE[Broadcast Market],'YoY Pivots'!$B75)</f>
        <v>0</v>
      </c>
      <c r="E75" s="9" t="str">
        <f t="shared" si="12"/>
        <v>-</v>
      </c>
      <c r="F75">
        <f t="shared" si="13"/>
        <v>0</v>
      </c>
      <c r="I75">
        <f t="shared" si="9"/>
        <v>28</v>
      </c>
      <c r="L75" s="8">
        <f>SUMIFS(Historic_BCast_BASE[Broadcast Duration],Historic_BCast_BASE[Digital?],"N",Historic_BCast_BASE[Broadcast Market],'YoY Pivots'!$J75)</f>
        <v>0</v>
      </c>
      <c r="M75" s="9" t="str">
        <f t="shared" si="10"/>
        <v>-</v>
      </c>
      <c r="N75" s="8">
        <f t="shared" si="11"/>
        <v>0</v>
      </c>
    </row>
    <row r="76" spans="1:14" x14ac:dyDescent="0.25">
      <c r="A76" t="str">
        <f t="shared" si="8"/>
        <v>-</v>
      </c>
      <c r="D76">
        <f>SUMIFS(Historic_BCast_BASE[Audience],Historic_BCast_BASE[Digital?],"N",Historic_BCast_BASE[Broadcast Market],'YoY Pivots'!$B76)</f>
        <v>0</v>
      </c>
      <c r="E76" s="9" t="str">
        <f t="shared" si="12"/>
        <v>-</v>
      </c>
      <c r="F76">
        <f t="shared" si="13"/>
        <v>0</v>
      </c>
      <c r="I76">
        <f t="shared" si="9"/>
        <v>28</v>
      </c>
      <c r="L76" s="8">
        <f>SUMIFS(Historic_BCast_BASE[Broadcast Duration],Historic_BCast_BASE[Digital?],"N",Historic_BCast_BASE[Broadcast Market],'YoY Pivots'!$J76)</f>
        <v>0</v>
      </c>
      <c r="M76" s="9" t="str">
        <f t="shared" si="10"/>
        <v>-</v>
      </c>
      <c r="N76" s="8">
        <f t="shared" si="11"/>
        <v>0</v>
      </c>
    </row>
    <row r="77" spans="1:14" x14ac:dyDescent="0.25">
      <c r="A77" t="str">
        <f t="shared" si="8"/>
        <v>-</v>
      </c>
      <c r="D77">
        <f>SUMIFS(Historic_BCast_BASE[Audience],Historic_BCast_BASE[Digital?],"N",Historic_BCast_BASE[Broadcast Market],'YoY Pivots'!$B77)</f>
        <v>0</v>
      </c>
      <c r="E77" s="9" t="str">
        <f t="shared" si="12"/>
        <v>-</v>
      </c>
      <c r="F77">
        <f t="shared" si="13"/>
        <v>0</v>
      </c>
      <c r="I77">
        <f t="shared" ref="I77:I104" si="14">_xlfn.RANK.EQ(N77,$N$5:$N$104,0)</f>
        <v>28</v>
      </c>
      <c r="L77" s="8">
        <f>SUMIFS(Historic_BCast_BASE[Broadcast Duration],Historic_BCast_BASE[Digital?],"N",Historic_BCast_BASE[Broadcast Market],'YoY Pivots'!$J77)</f>
        <v>0</v>
      </c>
      <c r="M77" s="9" t="str">
        <f t="shared" si="10"/>
        <v>-</v>
      </c>
      <c r="N77" s="8">
        <f t="shared" si="11"/>
        <v>0</v>
      </c>
    </row>
    <row r="78" spans="1:14" x14ac:dyDescent="0.25">
      <c r="A78" t="str">
        <f t="shared" si="8"/>
        <v>-</v>
      </c>
      <c r="D78">
        <f>SUMIFS(Historic_BCast_BASE[Audience],Historic_BCast_BASE[Digital?],"N",Historic_BCast_BASE[Broadcast Market],'YoY Pivots'!$B78)</f>
        <v>0</v>
      </c>
      <c r="E78" s="9" t="str">
        <f t="shared" si="12"/>
        <v>-</v>
      </c>
      <c r="F78">
        <f t="shared" si="13"/>
        <v>0</v>
      </c>
      <c r="I78">
        <f t="shared" si="14"/>
        <v>28</v>
      </c>
      <c r="L78" s="8">
        <f>SUMIFS(Historic_BCast_BASE[Broadcast Duration],Historic_BCast_BASE[Digital?],"N",Historic_BCast_BASE[Broadcast Market],'YoY Pivots'!$J78)</f>
        <v>0</v>
      </c>
      <c r="M78" s="9" t="str">
        <f t="shared" si="10"/>
        <v>-</v>
      </c>
      <c r="N78" s="8">
        <f t="shared" si="11"/>
        <v>0</v>
      </c>
    </row>
    <row r="79" spans="1:14" x14ac:dyDescent="0.25">
      <c r="A79" t="str">
        <f t="shared" si="8"/>
        <v>-</v>
      </c>
      <c r="D79">
        <f>SUMIFS(Historic_BCast_BASE[Audience],Historic_BCast_BASE[Digital?],"N",Historic_BCast_BASE[Broadcast Market],'YoY Pivots'!$B79)</f>
        <v>0</v>
      </c>
      <c r="E79" s="9" t="str">
        <f t="shared" si="12"/>
        <v>-</v>
      </c>
      <c r="F79">
        <f t="shared" si="13"/>
        <v>0</v>
      </c>
      <c r="I79">
        <f t="shared" si="14"/>
        <v>28</v>
      </c>
      <c r="L79" s="8">
        <f>SUMIFS(Historic_BCast_BASE[Broadcast Duration],Historic_BCast_BASE[Digital?],"N",Historic_BCast_BASE[Broadcast Market],'YoY Pivots'!$J79)</f>
        <v>0</v>
      </c>
      <c r="M79" s="9" t="str">
        <f t="shared" si="10"/>
        <v>-</v>
      </c>
      <c r="N79" s="8">
        <f t="shared" si="11"/>
        <v>0</v>
      </c>
    </row>
    <row r="80" spans="1:14" x14ac:dyDescent="0.25">
      <c r="A80" t="str">
        <f t="shared" si="8"/>
        <v>-</v>
      </c>
      <c r="D80">
        <f>SUMIFS(Historic_BCast_BASE[Audience],Historic_BCast_BASE[Digital?],"N",Historic_BCast_BASE[Broadcast Market],'YoY Pivots'!$B80)</f>
        <v>0</v>
      </c>
      <c r="E80" s="9" t="str">
        <f t="shared" si="12"/>
        <v>-</v>
      </c>
      <c r="F80">
        <f t="shared" si="13"/>
        <v>0</v>
      </c>
      <c r="I80">
        <f t="shared" si="14"/>
        <v>28</v>
      </c>
      <c r="L80" s="8">
        <f>SUMIFS(Historic_BCast_BASE[Broadcast Duration],Historic_BCast_BASE[Digital?],"N",Historic_BCast_BASE[Broadcast Market],'YoY Pivots'!$J80)</f>
        <v>0</v>
      </c>
      <c r="M80" s="9" t="str">
        <f t="shared" si="10"/>
        <v>-</v>
      </c>
      <c r="N80" s="8">
        <f t="shared" si="11"/>
        <v>0</v>
      </c>
    </row>
    <row r="81" spans="1:14" x14ac:dyDescent="0.25">
      <c r="A81" t="str">
        <f t="shared" si="8"/>
        <v>-</v>
      </c>
      <c r="D81">
        <f>SUMIFS(Historic_BCast_BASE[Audience],Historic_BCast_BASE[Digital?],"N",Historic_BCast_BASE[Broadcast Market],'YoY Pivots'!$B81)</f>
        <v>0</v>
      </c>
      <c r="E81" s="9" t="str">
        <f t="shared" si="12"/>
        <v>-</v>
      </c>
      <c r="F81">
        <f t="shared" si="13"/>
        <v>0</v>
      </c>
      <c r="I81">
        <f t="shared" si="14"/>
        <v>28</v>
      </c>
      <c r="L81" s="8">
        <f>SUMIFS(Historic_BCast_BASE[Broadcast Duration],Historic_BCast_BASE[Digital?],"N",Historic_BCast_BASE[Broadcast Market],'YoY Pivots'!$J81)</f>
        <v>0</v>
      </c>
      <c r="M81" s="9" t="str">
        <f t="shared" si="10"/>
        <v>-</v>
      </c>
      <c r="N81" s="8">
        <f t="shared" si="11"/>
        <v>0</v>
      </c>
    </row>
    <row r="82" spans="1:14" x14ac:dyDescent="0.25">
      <c r="A82" t="str">
        <f t="shared" si="8"/>
        <v>-</v>
      </c>
      <c r="D82">
        <f>SUMIFS(Historic_BCast_BASE[Audience],Historic_BCast_BASE[Digital?],"N",Historic_BCast_BASE[Broadcast Market],'YoY Pivots'!$B82)</f>
        <v>0</v>
      </c>
      <c r="E82" s="9" t="str">
        <f t="shared" si="12"/>
        <v>-</v>
      </c>
      <c r="F82">
        <f t="shared" si="13"/>
        <v>0</v>
      </c>
      <c r="I82">
        <f t="shared" si="14"/>
        <v>28</v>
      </c>
      <c r="L82" s="8">
        <f>SUMIFS(Historic_BCast_BASE[Broadcast Duration],Historic_BCast_BASE[Digital?],"N",Historic_BCast_BASE[Broadcast Market],'YoY Pivots'!$J82)</f>
        <v>0</v>
      </c>
      <c r="M82" s="9" t="str">
        <f t="shared" si="10"/>
        <v>-</v>
      </c>
      <c r="N82" s="8">
        <f t="shared" si="11"/>
        <v>0</v>
      </c>
    </row>
    <row r="83" spans="1:14" x14ac:dyDescent="0.25">
      <c r="A83" t="str">
        <f t="shared" si="8"/>
        <v>-</v>
      </c>
      <c r="D83">
        <f>SUMIFS(Historic_BCast_BASE[Audience],Historic_BCast_BASE[Digital?],"N",Historic_BCast_BASE[Broadcast Market],'YoY Pivots'!$B83)</f>
        <v>0</v>
      </c>
      <c r="E83" s="9" t="str">
        <f t="shared" si="12"/>
        <v>-</v>
      </c>
      <c r="F83">
        <f t="shared" si="13"/>
        <v>0</v>
      </c>
      <c r="I83">
        <f t="shared" si="14"/>
        <v>28</v>
      </c>
      <c r="L83" s="8">
        <f>SUMIFS(Historic_BCast_BASE[Broadcast Duration],Historic_BCast_BASE[Digital?],"N",Historic_BCast_BASE[Broadcast Market],'YoY Pivots'!$J83)</f>
        <v>0</v>
      </c>
      <c r="M83" s="9" t="str">
        <f t="shared" si="10"/>
        <v>-</v>
      </c>
      <c r="N83" s="8">
        <f t="shared" si="11"/>
        <v>0</v>
      </c>
    </row>
    <row r="84" spans="1:14" x14ac:dyDescent="0.25">
      <c r="A84" t="str">
        <f t="shared" si="8"/>
        <v>-</v>
      </c>
      <c r="D84">
        <f>SUMIFS(Historic_BCast_BASE[Audience],Historic_BCast_BASE[Digital?],"N",Historic_BCast_BASE[Broadcast Market],'YoY Pivots'!$B84)</f>
        <v>0</v>
      </c>
      <c r="E84" s="9" t="str">
        <f t="shared" si="12"/>
        <v>-</v>
      </c>
      <c r="F84">
        <f t="shared" si="13"/>
        <v>0</v>
      </c>
      <c r="I84">
        <f t="shared" si="14"/>
        <v>28</v>
      </c>
      <c r="L84" s="8">
        <f>SUMIFS(Historic_BCast_BASE[Broadcast Duration],Historic_BCast_BASE[Digital?],"N",Historic_BCast_BASE[Broadcast Market],'YoY Pivots'!$J84)</f>
        <v>0</v>
      </c>
      <c r="M84" s="9" t="str">
        <f t="shared" si="10"/>
        <v>-</v>
      </c>
      <c r="N84" s="8">
        <f t="shared" si="11"/>
        <v>0</v>
      </c>
    </row>
    <row r="85" spans="1:14" x14ac:dyDescent="0.25">
      <c r="A85" t="str">
        <f t="shared" si="8"/>
        <v>-</v>
      </c>
      <c r="D85">
        <f>SUMIFS(Historic_BCast_BASE[Audience],Historic_BCast_BASE[Digital?],"N",Historic_BCast_BASE[Broadcast Market],'YoY Pivots'!$B85)</f>
        <v>0</v>
      </c>
      <c r="E85" s="9" t="str">
        <f t="shared" si="12"/>
        <v>-</v>
      </c>
      <c r="F85">
        <f t="shared" si="13"/>
        <v>0</v>
      </c>
      <c r="I85">
        <f t="shared" si="14"/>
        <v>28</v>
      </c>
      <c r="L85" s="8">
        <f>SUMIFS(Historic_BCast_BASE[Broadcast Duration],Historic_BCast_BASE[Digital?],"N",Historic_BCast_BASE[Broadcast Market],'YoY Pivots'!$J85)</f>
        <v>0</v>
      </c>
      <c r="M85" s="9" t="str">
        <f t="shared" si="10"/>
        <v>-</v>
      </c>
      <c r="N85" s="8">
        <f t="shared" si="11"/>
        <v>0</v>
      </c>
    </row>
    <row r="86" spans="1:14" x14ac:dyDescent="0.25">
      <c r="A86" t="str">
        <f t="shared" si="8"/>
        <v>-</v>
      </c>
      <c r="D86">
        <f>SUMIFS(Historic_BCast_BASE[Audience],Historic_BCast_BASE[Digital?],"N",Historic_BCast_BASE[Broadcast Market],'YoY Pivots'!$B86)</f>
        <v>0</v>
      </c>
      <c r="E86" s="9" t="str">
        <f t="shared" si="12"/>
        <v>-</v>
      </c>
      <c r="F86">
        <f t="shared" si="13"/>
        <v>0</v>
      </c>
      <c r="I86">
        <f t="shared" si="14"/>
        <v>28</v>
      </c>
      <c r="L86" s="8">
        <f>SUMIFS(Historic_BCast_BASE[Broadcast Duration],Historic_BCast_BASE[Digital?],"N",Historic_BCast_BASE[Broadcast Market],'YoY Pivots'!$J86)</f>
        <v>0</v>
      </c>
      <c r="M86" s="9" t="str">
        <f t="shared" si="10"/>
        <v>-</v>
      </c>
      <c r="N86" s="8">
        <f t="shared" si="11"/>
        <v>0</v>
      </c>
    </row>
    <row r="87" spans="1:14" x14ac:dyDescent="0.25">
      <c r="A87" t="str">
        <f t="shared" si="8"/>
        <v>-</v>
      </c>
      <c r="D87">
        <f>SUMIFS(Historic_BCast_BASE[Audience],Historic_BCast_BASE[Digital?],"N",Historic_BCast_BASE[Broadcast Market],'YoY Pivots'!$B87)</f>
        <v>0</v>
      </c>
      <c r="E87" s="9" t="str">
        <f t="shared" si="12"/>
        <v>-</v>
      </c>
      <c r="F87">
        <f t="shared" si="13"/>
        <v>0</v>
      </c>
      <c r="I87">
        <f t="shared" si="14"/>
        <v>28</v>
      </c>
      <c r="L87" s="8">
        <f>SUMIFS(Historic_BCast_BASE[Broadcast Duration],Historic_BCast_BASE[Digital?],"N",Historic_BCast_BASE[Broadcast Market],'YoY Pivots'!$J87)</f>
        <v>0</v>
      </c>
      <c r="M87" s="9" t="str">
        <f t="shared" si="10"/>
        <v>-</v>
      </c>
      <c r="N87" s="8">
        <f t="shared" si="11"/>
        <v>0</v>
      </c>
    </row>
    <row r="88" spans="1:14" x14ac:dyDescent="0.25">
      <c r="A88" t="str">
        <f t="shared" si="8"/>
        <v>-</v>
      </c>
      <c r="D88">
        <f>SUMIFS(Historic_BCast_BASE[Audience],Historic_BCast_BASE[Digital?],"N",Historic_BCast_BASE[Broadcast Market],'YoY Pivots'!$B88)</f>
        <v>0</v>
      </c>
      <c r="E88" s="9" t="str">
        <f t="shared" si="12"/>
        <v>-</v>
      </c>
      <c r="F88">
        <f t="shared" si="13"/>
        <v>0</v>
      </c>
      <c r="I88">
        <f t="shared" si="14"/>
        <v>28</v>
      </c>
      <c r="L88" s="8">
        <f>SUMIFS(Historic_BCast_BASE[Broadcast Duration],Historic_BCast_BASE[Digital?],"N",Historic_BCast_BASE[Broadcast Market],'YoY Pivots'!$J88)</f>
        <v>0</v>
      </c>
      <c r="M88" s="9" t="str">
        <f t="shared" si="10"/>
        <v>-</v>
      </c>
      <c r="N88" s="8">
        <f t="shared" si="11"/>
        <v>0</v>
      </c>
    </row>
    <row r="89" spans="1:14" x14ac:dyDescent="0.25">
      <c r="A89" t="str">
        <f t="shared" si="8"/>
        <v>-</v>
      </c>
      <c r="D89">
        <f>SUMIFS(Historic_BCast_BASE[Audience],Historic_BCast_BASE[Digital?],"N",Historic_BCast_BASE[Broadcast Market],'YoY Pivots'!$B89)</f>
        <v>0</v>
      </c>
      <c r="E89" s="9" t="str">
        <f t="shared" si="12"/>
        <v>-</v>
      </c>
      <c r="F89">
        <f t="shared" si="13"/>
        <v>0</v>
      </c>
      <c r="I89">
        <f t="shared" si="14"/>
        <v>28</v>
      </c>
      <c r="L89" s="8">
        <f>SUMIFS(Historic_BCast_BASE[Broadcast Duration],Historic_BCast_BASE[Digital?],"N",Historic_BCast_BASE[Broadcast Market],'YoY Pivots'!$J89)</f>
        <v>0</v>
      </c>
      <c r="M89" s="9" t="str">
        <f t="shared" si="10"/>
        <v>-</v>
      </c>
      <c r="N89" s="8">
        <f t="shared" si="11"/>
        <v>0</v>
      </c>
    </row>
    <row r="90" spans="1:14" x14ac:dyDescent="0.25">
      <c r="A90" t="str">
        <f t="shared" si="8"/>
        <v>-</v>
      </c>
      <c r="D90">
        <f>SUMIFS(Historic_BCast_BASE[Audience],Historic_BCast_BASE[Digital?],"N",Historic_BCast_BASE[Broadcast Market],'YoY Pivots'!$B90)</f>
        <v>0</v>
      </c>
      <c r="E90" s="9" t="str">
        <f t="shared" si="12"/>
        <v>-</v>
      </c>
      <c r="F90">
        <f t="shared" si="13"/>
        <v>0</v>
      </c>
      <c r="I90">
        <f t="shared" si="14"/>
        <v>28</v>
      </c>
      <c r="L90" s="8">
        <f>SUMIFS(Historic_BCast_BASE[Broadcast Duration],Historic_BCast_BASE[Digital?],"N",Historic_BCast_BASE[Broadcast Market],'YoY Pivots'!$J90)</f>
        <v>0</v>
      </c>
      <c r="M90" s="9" t="str">
        <f t="shared" si="10"/>
        <v>-</v>
      </c>
      <c r="N90" s="8">
        <f t="shared" si="11"/>
        <v>0</v>
      </c>
    </row>
    <row r="91" spans="1:14" x14ac:dyDescent="0.25">
      <c r="A91" t="str">
        <f t="shared" si="8"/>
        <v>-</v>
      </c>
      <c r="D91">
        <f>SUMIFS(Historic_BCast_BASE[Audience],Historic_BCast_BASE[Digital?],"N",Historic_BCast_BASE[Broadcast Market],'YoY Pivots'!$B91)</f>
        <v>0</v>
      </c>
      <c r="E91" s="9" t="str">
        <f t="shared" si="12"/>
        <v>-</v>
      </c>
      <c r="F91">
        <f t="shared" si="13"/>
        <v>0</v>
      </c>
      <c r="I91">
        <f t="shared" si="14"/>
        <v>28</v>
      </c>
      <c r="L91" s="8">
        <f>SUMIFS(Historic_BCast_BASE[Broadcast Duration],Historic_BCast_BASE[Digital?],"N",Historic_BCast_BASE[Broadcast Market],'YoY Pivots'!$J91)</f>
        <v>0</v>
      </c>
      <c r="M91" s="9" t="str">
        <f t="shared" si="10"/>
        <v>-</v>
      </c>
      <c r="N91" s="8">
        <f t="shared" si="11"/>
        <v>0</v>
      </c>
    </row>
    <row r="92" spans="1:14" x14ac:dyDescent="0.25">
      <c r="A92" t="str">
        <f t="shared" si="8"/>
        <v>-</v>
      </c>
      <c r="D92">
        <f>SUMIFS(Historic_BCast_BASE[Audience],Historic_BCast_BASE[Digital?],"N",Historic_BCast_BASE[Broadcast Market],'YoY Pivots'!$B92)</f>
        <v>0</v>
      </c>
      <c r="E92" s="9" t="str">
        <f t="shared" si="12"/>
        <v>-</v>
      </c>
      <c r="F92">
        <f t="shared" si="13"/>
        <v>0</v>
      </c>
      <c r="I92">
        <f t="shared" si="14"/>
        <v>28</v>
      </c>
      <c r="L92" s="8">
        <f>SUMIFS(Historic_BCast_BASE[Broadcast Duration],Historic_BCast_BASE[Digital?],"N",Historic_BCast_BASE[Broadcast Market],'YoY Pivots'!$J92)</f>
        <v>0</v>
      </c>
      <c r="M92" s="9" t="str">
        <f t="shared" si="10"/>
        <v>-</v>
      </c>
      <c r="N92" s="8">
        <f t="shared" si="11"/>
        <v>0</v>
      </c>
    </row>
    <row r="93" spans="1:14" x14ac:dyDescent="0.25">
      <c r="A93" t="str">
        <f t="shared" si="8"/>
        <v>-</v>
      </c>
      <c r="D93">
        <f>SUMIFS(Historic_BCast_BASE[Audience],Historic_BCast_BASE[Digital?],"N",Historic_BCast_BASE[Broadcast Market],'YoY Pivots'!$B93)</f>
        <v>0</v>
      </c>
      <c r="E93" s="9" t="str">
        <f t="shared" si="12"/>
        <v>-</v>
      </c>
      <c r="F93">
        <f t="shared" si="13"/>
        <v>0</v>
      </c>
      <c r="I93">
        <f t="shared" si="14"/>
        <v>28</v>
      </c>
      <c r="L93" s="8">
        <f>SUMIFS(Historic_BCast_BASE[Broadcast Duration],Historic_BCast_BASE[Digital?],"N",Historic_BCast_BASE[Broadcast Market],'YoY Pivots'!$J93)</f>
        <v>0</v>
      </c>
      <c r="M93" s="9" t="str">
        <f t="shared" si="10"/>
        <v>-</v>
      </c>
      <c r="N93" s="8">
        <f t="shared" si="11"/>
        <v>0</v>
      </c>
    </row>
    <row r="94" spans="1:14" x14ac:dyDescent="0.25">
      <c r="A94" t="str">
        <f t="shared" si="8"/>
        <v>-</v>
      </c>
      <c r="D94">
        <f>SUMIFS(Historic_BCast_BASE[Audience],Historic_BCast_BASE[Digital?],"N",Historic_BCast_BASE[Broadcast Market],'YoY Pivots'!$B94)</f>
        <v>0</v>
      </c>
      <c r="E94" s="9" t="str">
        <f t="shared" si="12"/>
        <v>-</v>
      </c>
      <c r="F94">
        <f t="shared" si="13"/>
        <v>0</v>
      </c>
      <c r="I94">
        <f t="shared" si="14"/>
        <v>28</v>
      </c>
      <c r="L94" s="8">
        <f>SUMIFS(Historic_BCast_BASE[Broadcast Duration],Historic_BCast_BASE[Digital?],"N",Historic_BCast_BASE[Broadcast Market],'YoY Pivots'!$J94)</f>
        <v>0</v>
      </c>
      <c r="M94" s="9" t="str">
        <f t="shared" si="10"/>
        <v>-</v>
      </c>
      <c r="N94" s="8">
        <f t="shared" si="11"/>
        <v>0</v>
      </c>
    </row>
    <row r="95" spans="1:14" x14ac:dyDescent="0.25">
      <c r="A95" t="str">
        <f t="shared" si="8"/>
        <v>-</v>
      </c>
      <c r="D95">
        <f>SUMIFS(Historic_BCast_BASE[Audience],Historic_BCast_BASE[Digital?],"N",Historic_BCast_BASE[Broadcast Market],'YoY Pivots'!$B95)</f>
        <v>0</v>
      </c>
      <c r="E95" s="9" t="str">
        <f t="shared" si="12"/>
        <v>-</v>
      </c>
      <c r="F95">
        <f t="shared" si="13"/>
        <v>0</v>
      </c>
      <c r="I95">
        <f t="shared" si="14"/>
        <v>28</v>
      </c>
      <c r="L95" s="8">
        <f>SUMIFS(Historic_BCast_BASE[Broadcast Duration],Historic_BCast_BASE[Digital?],"N",Historic_BCast_BASE[Broadcast Market],'YoY Pivots'!$J95)</f>
        <v>0</v>
      </c>
      <c r="M95" s="9" t="str">
        <f t="shared" si="10"/>
        <v>-</v>
      </c>
      <c r="N95" s="8">
        <f t="shared" si="11"/>
        <v>0</v>
      </c>
    </row>
    <row r="96" spans="1:14" x14ac:dyDescent="0.25">
      <c r="A96" t="str">
        <f t="shared" si="8"/>
        <v>-</v>
      </c>
      <c r="D96">
        <f>SUMIFS(Historic_BCast_BASE[Audience],Historic_BCast_BASE[Digital?],"N",Historic_BCast_BASE[Broadcast Market],'YoY Pivots'!$B96)</f>
        <v>0</v>
      </c>
      <c r="E96" s="9" t="str">
        <f t="shared" si="12"/>
        <v>-</v>
      </c>
      <c r="F96">
        <f t="shared" si="13"/>
        <v>0</v>
      </c>
      <c r="I96">
        <f t="shared" si="14"/>
        <v>28</v>
      </c>
      <c r="L96" s="8">
        <f>SUMIFS(Historic_BCast_BASE[Broadcast Duration],Historic_BCast_BASE[Digital?],"N",Historic_BCast_BASE[Broadcast Market],'YoY Pivots'!$J96)</f>
        <v>0</v>
      </c>
      <c r="M96" s="9" t="str">
        <f t="shared" si="10"/>
        <v>-</v>
      </c>
      <c r="N96" s="8">
        <f t="shared" si="11"/>
        <v>0</v>
      </c>
    </row>
    <row r="97" spans="1:14" x14ac:dyDescent="0.25">
      <c r="A97" t="str">
        <f t="shared" si="8"/>
        <v>-</v>
      </c>
      <c r="D97">
        <f>SUMIFS(Historic_BCast_BASE[Audience],Historic_BCast_BASE[Digital?],"N",Historic_BCast_BASE[Broadcast Market],'YoY Pivots'!$B97)</f>
        <v>0</v>
      </c>
      <c r="E97" s="9" t="str">
        <f t="shared" si="12"/>
        <v>-</v>
      </c>
      <c r="F97">
        <f t="shared" si="13"/>
        <v>0</v>
      </c>
      <c r="I97">
        <f t="shared" si="14"/>
        <v>28</v>
      </c>
      <c r="L97" s="8">
        <f>SUMIFS(Historic_BCast_BASE[Broadcast Duration],Historic_BCast_BASE[Digital?],"N",Historic_BCast_BASE[Broadcast Market],'YoY Pivots'!$J97)</f>
        <v>0</v>
      </c>
      <c r="M97" s="9" t="str">
        <f t="shared" si="10"/>
        <v>-</v>
      </c>
      <c r="N97" s="8">
        <f t="shared" si="11"/>
        <v>0</v>
      </c>
    </row>
    <row r="98" spans="1:14" x14ac:dyDescent="0.25">
      <c r="A98" t="str">
        <f t="shared" si="8"/>
        <v>-</v>
      </c>
      <c r="D98">
        <f>SUMIFS(Historic_BCast_BASE[Audience],Historic_BCast_BASE[Digital?],"N",Historic_BCast_BASE[Broadcast Market],'YoY Pivots'!$B98)</f>
        <v>0</v>
      </c>
      <c r="E98" s="9" t="str">
        <f t="shared" si="12"/>
        <v>-</v>
      </c>
      <c r="F98">
        <f t="shared" si="13"/>
        <v>0</v>
      </c>
      <c r="I98">
        <f t="shared" si="14"/>
        <v>28</v>
      </c>
      <c r="L98" s="8">
        <f>SUMIFS(Historic_BCast_BASE[Broadcast Duration],Historic_BCast_BASE[Digital?],"N",Historic_BCast_BASE[Broadcast Market],'YoY Pivots'!$J98)</f>
        <v>0</v>
      </c>
      <c r="M98" s="9" t="str">
        <f t="shared" si="10"/>
        <v>-</v>
      </c>
      <c r="N98" s="8">
        <f t="shared" si="11"/>
        <v>0</v>
      </c>
    </row>
    <row r="99" spans="1:14" x14ac:dyDescent="0.25">
      <c r="A99" t="str">
        <f t="shared" si="8"/>
        <v>-</v>
      </c>
      <c r="D99">
        <f>SUMIFS(Historic_BCast_BASE[Audience],Historic_BCast_BASE[Digital?],"N",Historic_BCast_BASE[Broadcast Market],'YoY Pivots'!$B99)</f>
        <v>0</v>
      </c>
      <c r="E99" s="9" t="str">
        <f t="shared" si="12"/>
        <v>-</v>
      </c>
      <c r="F99">
        <f t="shared" si="13"/>
        <v>0</v>
      </c>
      <c r="I99">
        <f t="shared" si="14"/>
        <v>28</v>
      </c>
      <c r="L99" s="8">
        <f>SUMIFS(Historic_BCast_BASE[Broadcast Duration],Historic_BCast_BASE[Digital?],"N",Historic_BCast_BASE[Broadcast Market],'YoY Pivots'!$J99)</f>
        <v>0</v>
      </c>
      <c r="M99" s="9" t="str">
        <f t="shared" si="10"/>
        <v>-</v>
      </c>
      <c r="N99" s="8">
        <f t="shared" si="11"/>
        <v>0</v>
      </c>
    </row>
    <row r="100" spans="1:14" x14ac:dyDescent="0.25">
      <c r="A100" t="str">
        <f t="shared" si="8"/>
        <v>-</v>
      </c>
      <c r="D100">
        <f>SUMIFS(Historic_BCast_BASE[Audience],Historic_BCast_BASE[Digital?],"N",Historic_BCast_BASE[Broadcast Market],'YoY Pivots'!$B100)</f>
        <v>0</v>
      </c>
      <c r="E100" s="9" t="str">
        <f t="shared" si="12"/>
        <v>-</v>
      </c>
      <c r="F100">
        <f t="shared" si="13"/>
        <v>0</v>
      </c>
      <c r="I100">
        <f t="shared" si="14"/>
        <v>28</v>
      </c>
      <c r="L100" s="8">
        <f>SUMIFS(Historic_BCast_BASE[Broadcast Duration],Historic_BCast_BASE[Digital?],"N",Historic_BCast_BASE[Broadcast Market],'YoY Pivots'!$J100)</f>
        <v>0</v>
      </c>
      <c r="M100" s="9" t="str">
        <f t="shared" si="10"/>
        <v>-</v>
      </c>
      <c r="N100" s="8">
        <f t="shared" si="11"/>
        <v>0</v>
      </c>
    </row>
    <row r="101" spans="1:14" x14ac:dyDescent="0.25">
      <c r="A101" t="str">
        <f t="shared" si="8"/>
        <v>-</v>
      </c>
      <c r="D101">
        <f>SUMIFS(Historic_BCast_BASE[Audience],Historic_BCast_BASE[Digital?],"N",Historic_BCast_BASE[Broadcast Market],'YoY Pivots'!$B101)</f>
        <v>0</v>
      </c>
      <c r="E101" s="9" t="str">
        <f t="shared" si="12"/>
        <v>-</v>
      </c>
      <c r="F101">
        <f t="shared" si="13"/>
        <v>0</v>
      </c>
      <c r="I101">
        <f t="shared" si="14"/>
        <v>28</v>
      </c>
      <c r="L101" s="8">
        <f>SUMIFS(Historic_BCast_BASE[Broadcast Duration],Historic_BCast_BASE[Digital?],"N",Historic_BCast_BASE[Broadcast Market],'YoY Pivots'!$J101)</f>
        <v>0</v>
      </c>
      <c r="M101" s="9" t="str">
        <f t="shared" si="10"/>
        <v>-</v>
      </c>
      <c r="N101" s="8">
        <f t="shared" si="11"/>
        <v>0</v>
      </c>
    </row>
    <row r="102" spans="1:14" x14ac:dyDescent="0.25">
      <c r="A102" t="str">
        <f t="shared" si="8"/>
        <v>-</v>
      </c>
      <c r="D102">
        <f>SUMIFS(Historic_BCast_BASE[Audience],Historic_BCast_BASE[Digital?],"N",Historic_BCast_BASE[Broadcast Market],'YoY Pivots'!$B102)</f>
        <v>0</v>
      </c>
      <c r="E102" s="9" t="str">
        <f t="shared" si="12"/>
        <v>-</v>
      </c>
      <c r="F102">
        <f t="shared" si="13"/>
        <v>0</v>
      </c>
      <c r="I102">
        <f t="shared" si="14"/>
        <v>28</v>
      </c>
      <c r="L102" s="8">
        <f>SUMIFS(Historic_BCast_BASE[Broadcast Duration],Historic_BCast_BASE[Digital?],"N",Historic_BCast_BASE[Broadcast Market],'YoY Pivots'!$J102)</f>
        <v>0</v>
      </c>
      <c r="M102" s="9" t="str">
        <f t="shared" si="10"/>
        <v>-</v>
      </c>
      <c r="N102" s="8">
        <f t="shared" si="11"/>
        <v>0</v>
      </c>
    </row>
    <row r="103" spans="1:14" x14ac:dyDescent="0.25">
      <c r="A103" t="str">
        <f t="shared" si="8"/>
        <v>-</v>
      </c>
      <c r="D103">
        <f>SUMIFS(Historic_BCast_BASE[Audience],Historic_BCast_BASE[Digital?],"N",Historic_BCast_BASE[Broadcast Market],'YoY Pivots'!$B103)</f>
        <v>0</v>
      </c>
      <c r="E103" s="9" t="str">
        <f t="shared" si="12"/>
        <v>-</v>
      </c>
      <c r="F103">
        <f t="shared" si="13"/>
        <v>0</v>
      </c>
      <c r="I103">
        <f t="shared" si="14"/>
        <v>28</v>
      </c>
      <c r="L103" s="8">
        <f>SUMIFS(Historic_BCast_BASE[Broadcast Duration],Historic_BCast_BASE[Digital?],"N",Historic_BCast_BASE[Broadcast Market],'YoY Pivots'!$J103)</f>
        <v>0</v>
      </c>
      <c r="M103" s="9" t="str">
        <f t="shared" si="10"/>
        <v>-</v>
      </c>
      <c r="N103" s="8">
        <f t="shared" si="11"/>
        <v>0</v>
      </c>
    </row>
    <row r="104" spans="1:14" x14ac:dyDescent="0.25">
      <c r="A104" t="str">
        <f t="shared" si="8"/>
        <v>-</v>
      </c>
      <c r="D104">
        <f>SUMIFS(Historic_BCast_BASE[Audience],Historic_BCast_BASE[Digital?],"N",Historic_BCast_BASE[Broadcast Market],'YoY Pivots'!$B104)</f>
        <v>0</v>
      </c>
      <c r="E104" s="9" t="str">
        <f t="shared" si="12"/>
        <v>-</v>
      </c>
      <c r="F104">
        <f t="shared" si="13"/>
        <v>0</v>
      </c>
      <c r="I104">
        <f t="shared" si="14"/>
        <v>28</v>
      </c>
      <c r="L104" s="8">
        <f>SUMIFS(Historic_BCast_BASE[Broadcast Duration],Historic_BCast_BASE[Digital?],"N",Historic_BCast_BASE[Broadcast Market],'YoY Pivots'!$J104)</f>
        <v>0</v>
      </c>
      <c r="M104" s="9" t="str">
        <f t="shared" si="10"/>
        <v>-</v>
      </c>
      <c r="N104" s="8">
        <f t="shared" si="11"/>
        <v>0</v>
      </c>
    </row>
  </sheetData>
  <sortState xmlns:xlrd2="http://schemas.microsoft.com/office/spreadsheetml/2017/richdata2" ref="Y4:Z49">
    <sortCondition descending="1" ref="Y4:Y49"/>
  </sortState>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Look Ups</vt:lpstr>
      <vt:lpstr>FTA &amp; HHR</vt:lpstr>
      <vt:lpstr>Audience year on year</vt:lpstr>
      <vt:lpstr>Audience 2021 pivot</vt:lpstr>
      <vt:lpstr>Audience 2020 pivot</vt:lpstr>
      <vt:lpstr>Country &amp; Continent</vt:lpstr>
      <vt:lpstr>Pay TV vs FTA</vt:lpstr>
      <vt:lpstr>By Day </vt:lpstr>
      <vt:lpstr>Income</vt:lpstr>
      <vt:lpstr>Exposure data 2021</vt:lpstr>
      <vt:lpstr>Exposure data 2020</vt:lpstr>
      <vt:lpstr>On Site</vt:lpstr>
      <vt:lpstr>Screen</vt:lpstr>
      <vt:lpstr>Exposure Benchmarking</vt:lpstr>
      <vt:lpstr>Exposure 2 - On Site</vt:lpstr>
      <vt:lpstr>Exposure - Watch</vt:lpstr>
      <vt:lpstr>SM Mentions</vt:lpstr>
      <vt:lpstr>SM Videos</vt:lpstr>
      <vt:lpstr>Audience data 2021 raw</vt:lpstr>
      <vt:lpstr>Audience data 2020 raw</vt:lpstr>
      <vt:lpstr>YoY Pivots</vt:lpstr>
    </vt:vector>
  </TitlesOfParts>
  <Manager/>
  <Company>Yougov Plc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Cotton</dc:creator>
  <cp:keywords/>
  <dc:description/>
  <cp:lastModifiedBy>Saujanya Waikar</cp:lastModifiedBy>
  <cp:revision/>
  <dcterms:created xsi:type="dcterms:W3CDTF">2018-06-27T19:03:57Z</dcterms:created>
  <dcterms:modified xsi:type="dcterms:W3CDTF">2025-01-11T15:49:23Z</dcterms:modified>
  <cp:category/>
  <cp:contentStatus/>
</cp:coreProperties>
</file>