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205" windowHeight="8460" activeTab="3"/>
  </bookViews>
  <sheets>
    <sheet name="Environment" sheetId="1" r:id="rId1"/>
    <sheet name="Unity" sheetId="2" r:id="rId2"/>
    <sheet name="Cells" sheetId="3" r:id="rId3"/>
    <sheet name="Agents" sheetId="5" r:id="rId4"/>
    <sheet name="Concentration-&gt;Number" sheetId="7" r:id="rId5"/>
    <sheet name="Radius and diffusion coeff." sheetId="8" r:id="rId6"/>
  </sheets>
  <calcPr calcId="152511"/>
</workbook>
</file>

<file path=xl/calcChain.xml><?xml version="1.0" encoding="utf-8"?>
<calcChain xmlns="http://schemas.openxmlformats.org/spreadsheetml/2006/main">
  <c r="T10" i="8" l="1"/>
  <c r="B5" i="2"/>
  <c r="B4" i="2"/>
  <c r="V12" i="8" l="1"/>
  <c r="B13" i="5" l="1"/>
  <c r="B14" i="5" s="1"/>
  <c r="B10" i="5"/>
  <c r="B11" i="5" s="1"/>
  <c r="B6" i="5"/>
  <c r="B7" i="5" s="1"/>
  <c r="S12" i="8"/>
  <c r="R12" i="8"/>
  <c r="Q12" i="8"/>
  <c r="T12" i="8" s="1"/>
  <c r="U12" i="8" s="1"/>
  <c r="S11" i="8"/>
  <c r="R11" i="8"/>
  <c r="Q11" i="8"/>
  <c r="S10" i="8"/>
  <c r="R10" i="8"/>
  <c r="Q10" i="8"/>
  <c r="U10" i="8" s="1"/>
  <c r="V10" i="8" s="1"/>
  <c r="R5" i="8"/>
  <c r="T11" i="8" l="1"/>
  <c r="U11" i="8" s="1"/>
  <c r="B3" i="5"/>
  <c r="X10" i="8"/>
  <c r="Y10" i="8" s="1"/>
  <c r="Z10" i="8" s="1"/>
  <c r="W10" i="8"/>
  <c r="X12" i="8"/>
  <c r="Y12" i="8" s="1"/>
  <c r="Z12" i="8" s="1"/>
  <c r="W12" i="8"/>
  <c r="V11" i="8" l="1"/>
  <c r="B4" i="5" s="1"/>
  <c r="B5" i="5" s="1"/>
  <c r="W11" i="8"/>
  <c r="X11" i="8"/>
  <c r="Y11" i="8" s="1"/>
  <c r="Z11" i="8" s="1"/>
  <c r="B13" i="1"/>
  <c r="F7" i="1"/>
  <c r="F6" i="1"/>
  <c r="B11" i="3" l="1"/>
  <c r="F2" i="7"/>
  <c r="F6" i="7" s="1"/>
  <c r="B6" i="7"/>
  <c r="B12" i="1" l="1"/>
  <c r="B10" i="3"/>
  <c r="B6" i="1" l="1"/>
  <c r="C1" i="7" l="1"/>
  <c r="C2" i="7" l="1"/>
  <c r="C6" i="7" s="1"/>
</calcChain>
</file>

<file path=xl/comments1.xml><?xml version="1.0" encoding="utf-8"?>
<comments xmlns="http://schemas.openxmlformats.org/spreadsheetml/2006/main">
  <authors>
    <author>Autor</author>
  </authors>
  <commentList>
    <comment ref="B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Difusión del agua a 35ºC (http://pubs.acs.org/doi/abs/10.1021/j100624a025)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Difusión en interior a 27ºC (http://www.ncbi.nlm.nih.gov/pmc/articles/PMC1328613/)</t>
        </r>
      </text>
    </comment>
  </commentList>
</comments>
</file>

<file path=xl/sharedStrings.xml><?xml version="1.0" encoding="utf-8"?>
<sst xmlns="http://schemas.openxmlformats.org/spreadsheetml/2006/main" count="231" uniqueCount="135">
  <si>
    <t>Environment</t>
  </si>
  <si>
    <t>Width</t>
  </si>
  <si>
    <t>Height</t>
  </si>
  <si>
    <t>Agents unity</t>
  </si>
  <si>
    <t>unityMW</t>
  </si>
  <si>
    <t>µm2/s</t>
  </si>
  <si>
    <t>Layer name</t>
  </si>
  <si>
    <t>Layer color</t>
  </si>
  <si>
    <t>hexadecimal</t>
  </si>
  <si>
    <t>µm</t>
  </si>
  <si>
    <t>decimal</t>
  </si>
  <si>
    <t>Agent</t>
  </si>
  <si>
    <t>Name</t>
  </si>
  <si>
    <t>Color</t>
  </si>
  <si>
    <t>To max layer</t>
  </si>
  <si>
    <t>To min layer</t>
  </si>
  <si>
    <t>Length</t>
  </si>
  <si>
    <t>g/mol</t>
  </si>
  <si>
    <t>Inner membrane</t>
  </si>
  <si>
    <t>Diffusion rate exterior</t>
  </si>
  <si>
    <t>Diffusion rate periplasm</t>
  </si>
  <si>
    <t>Diffusion rate peptidoglycan</t>
  </si>
  <si>
    <t>Diffusion rate cytoplasm</t>
  </si>
  <si>
    <t>h2o</t>
  </si>
  <si>
    <t>Cell</t>
  </si>
  <si>
    <t>Cell name</t>
  </si>
  <si>
    <t>Cell number</t>
  </si>
  <si>
    <t>Cell form</t>
  </si>
  <si>
    <t>sphere/spherocylinder</t>
  </si>
  <si>
    <t>Cell layers</t>
  </si>
  <si>
    <t>Layer outer radius</t>
  </si>
  <si>
    <t>Layer height</t>
  </si>
  <si>
    <t>#FF0085</t>
  </si>
  <si>
    <t>Molecular weight</t>
  </si>
  <si>
    <t>Radius</t>
  </si>
  <si>
    <t>#F7FE2E</t>
  </si>
  <si>
    <t>layer name</t>
  </si>
  <si>
    <t>Cell Layers</t>
  </si>
  <si>
    <t>Avogadro</t>
  </si>
  <si>
    <t>cell</t>
  </si>
  <si>
    <t>Thickness</t>
  </si>
  <si>
    <t>Cytoplasm</t>
  </si>
  <si>
    <t>Volume</t>
  </si>
  <si>
    <t>µm3</t>
  </si>
  <si>
    <t>*E-6 in simulator</t>
  </si>
  <si>
    <t>0.0515 * Math.pow(molecularWeight, 0.392) * 0.000000001 in simulator</t>
  </si>
  <si>
    <t>Real radius (m) to MW: Math.pow((radius / 0.0000000000515), (1 / 0.392));</t>
  </si>
  <si>
    <t>// Micrometers^2/s</t>
  </si>
  <si>
    <t>double toRet;</t>
  </si>
  <si>
    <t>// D = (KB*T)/(6*PI*n*r)</t>
  </si>
  <si>
    <t>toRet = (1.3806e-23 * 310) / (6 * Math.PI * 0.0007 * theoricalRadius);</t>
  </si>
  <si>
    <t>// Transform DR units to um2/s</t>
  </si>
  <si>
    <t>toRet = toRet * Math.pow(10, 12);</t>
  </si>
  <si>
    <t>calculateDRUsingStokes</t>
  </si>
  <si>
    <t>return toRet/unityDR;</t>
  </si>
  <si>
    <t>/unityRadius in simulator</t>
  </si>
  <si>
    <t>Coumarin</t>
  </si>
  <si>
    <t>Permeability outer membrane</t>
  </si>
  <si>
    <t>Permeability inner membrane</t>
  </si>
  <si>
    <t>µm/s</t>
  </si>
  <si>
    <t>// Calculate outer diffusion rate based on stokes-einsten formula</t>
  </si>
  <si>
    <t>// Calculate inner diffusion rate based on stokes-einsten formula with corrected viscosity</t>
  </si>
  <si>
    <r>
      <t xml:space="preserve">toRet = (1.3806e-23 * 310) / (6 * Math.PI * </t>
    </r>
    <r>
      <rPr>
        <sz val="11"/>
        <color rgb="FFFF0000"/>
        <rFont val="Calibri"/>
        <family val="2"/>
        <scheme val="minor"/>
      </rPr>
      <t>CORRECTED VISCOSITY</t>
    </r>
    <r>
      <rPr>
        <sz val="11"/>
        <color theme="1"/>
        <rFont val="Calibri"/>
        <family val="2"/>
        <scheme val="minor"/>
      </rPr>
      <t xml:space="preserve"> * theoricalRadius);</t>
    </r>
  </si>
  <si>
    <t>C27H29N5O6S</t>
  </si>
  <si>
    <t>Bosentan</t>
  </si>
  <si>
    <t xml:space="preserve">C9H6O2      </t>
  </si>
  <si>
    <t>Terbutaline</t>
  </si>
  <si>
    <t xml:space="preserve"> C12H19NO3</t>
  </si>
  <si>
    <t>Dcyto (m^2/s)</t>
  </si>
  <si>
    <t>n (Pa*s)</t>
  </si>
  <si>
    <t>ln(n/n0)</t>
  </si>
  <si>
    <t>D0 (m^2/s)</t>
  </si>
  <si>
    <t>Radius (nm)</t>
  </si>
  <si>
    <t>Radius (A)</t>
  </si>
  <si>
    <t>Molecular Weight</t>
  </si>
  <si>
    <t>McGowan Volume</t>
  </si>
  <si>
    <t>V(vdW)-Eq4</t>
  </si>
  <si>
    <t>Ring-Non-Aromatic</t>
  </si>
  <si>
    <t>Ring-Aromatic</t>
  </si>
  <si>
    <t>B</t>
  </si>
  <si>
    <t>As</t>
  </si>
  <si>
    <t>P</t>
  </si>
  <si>
    <t>S</t>
  </si>
  <si>
    <t>I</t>
  </si>
  <si>
    <t>F</t>
  </si>
  <si>
    <t>Br</t>
  </si>
  <si>
    <t>Cl</t>
  </si>
  <si>
    <t>O</t>
  </si>
  <si>
    <t>N</t>
  </si>
  <si>
    <t>H</t>
  </si>
  <si>
    <t>C</t>
  </si>
  <si>
    <t>Formula</t>
  </si>
  <si>
    <t>McGowan-Atom</t>
  </si>
  <si>
    <t>n0(Pa*s)</t>
  </si>
  <si>
    <t>vdW-atom</t>
  </si>
  <si>
    <t>(Supp. Info)</t>
  </si>
  <si>
    <t>Si</t>
  </si>
  <si>
    <t>Se</t>
  </si>
  <si>
    <t>http://pubs.acs.org/doi/suppl/10.1021/jo034808o</t>
  </si>
  <si>
    <t>Adapted from:</t>
  </si>
  <si>
    <t xml:space="preserve">2. Copy and paste Q to S cells to calculate van der Waals volume, McGowan volume and molecular weight. </t>
  </si>
  <si>
    <t xml:space="preserve">1. Fill the number of elements from C to N cells, the numner of aromatic and non-aromatic ring(s) from O to P cells. </t>
  </si>
  <si>
    <t>Diffusion rate periplasm (SIM)</t>
  </si>
  <si>
    <t>Diffusion rate cytoplasm (SIM)</t>
  </si>
  <si>
    <t>SIM: Dr molecule / DR H2O</t>
  </si>
  <si>
    <t>Escalade environment</t>
  </si>
  <si>
    <t>Periplasm + Peptidoglycan</t>
  </si>
  <si>
    <t>Capsule</t>
  </si>
  <si>
    <t>Hemisphere</t>
  </si>
  <si>
    <t>Sphere</t>
  </si>
  <si>
    <t>spherocylinder</t>
  </si>
  <si>
    <t>Width + 10% of cell diameter</t>
  </si>
  <si>
    <t>dm3</t>
  </si>
  <si>
    <t>Time</t>
  </si>
  <si>
    <t>Molecule factor</t>
  </si>
  <si>
    <t>#Agents</t>
  </si>
  <si>
    <t>Agents (mM)</t>
  </si>
  <si>
    <t>Molecule factor escalated</t>
  </si>
  <si>
    <t>Agents escalated (mM)</t>
  </si>
  <si>
    <t>#Agents escalated</t>
  </si>
  <si>
    <t>Same concentration than the initial volume but less agents because the represented volume is smaller</t>
  </si>
  <si>
    <t>Volume (capsule)</t>
  </si>
  <si>
    <t>Volume (hemisphere)</t>
  </si>
  <si>
    <t>Width + 10% of cell radius</t>
  </si>
  <si>
    <t>um3 to dm3</t>
  </si>
  <si>
    <t>Radius (um)</t>
  </si>
  <si>
    <t>Diffusion rate exterior (SIM)</t>
  </si>
  <si>
    <t>Initial concentration</t>
  </si>
  <si>
    <t>Cyptoplasm</t>
  </si>
  <si>
    <t>unityRadius (A)</t>
  </si>
  <si>
    <t>A</t>
  </si>
  <si>
    <t>unityRadius (um)</t>
  </si>
  <si>
    <t>um</t>
  </si>
  <si>
    <t>Radius (SIM)</t>
  </si>
  <si>
    <t>Diffusion rate exterior calibrated (SIM)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</si>
</sst>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E+00"/>
  </numFmts>
  <fonts count="11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rgb="FF252525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0" xfId="0" applyNumberFormat="1"/>
    <xf numFmtId="0" fontId="5" fillId="0" borderId="0" xfId="2" applyFont="1"/>
    <xf numFmtId="0" fontId="5" fillId="0" borderId="0" xfId="2" applyFont="1" applyFill="1" applyAlignment="1">
      <alignment horizontal="center"/>
    </xf>
    <xf numFmtId="2" fontId="5" fillId="0" borderId="0" xfId="2" applyNumberFormat="1" applyFont="1" applyFill="1" applyAlignment="1">
      <alignment horizontal="center"/>
    </xf>
    <xf numFmtId="2" fontId="5" fillId="0" borderId="0" xfId="2" applyNumberFormat="1" applyFill="1" applyAlignment="1">
      <alignment horizontal="center"/>
    </xf>
    <xf numFmtId="2" fontId="5" fillId="0" borderId="0" xfId="2" applyNumberFormat="1" applyFont="1" applyFill="1"/>
    <xf numFmtId="1" fontId="5" fillId="0" borderId="0" xfId="2" applyNumberFormat="1" applyFont="1" applyFill="1" applyAlignment="1">
      <alignment horizontal="center"/>
    </xf>
    <xf numFmtId="0" fontId="5" fillId="0" borderId="0" xfId="2" applyFont="1" applyFill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5" fillId="2" borderId="0" xfId="2" applyFont="1" applyFill="1"/>
    <xf numFmtId="0" fontId="5" fillId="0" borderId="0" xfId="2"/>
    <xf numFmtId="2" fontId="5" fillId="0" borderId="0" xfId="2" applyNumberFormat="1" applyFill="1" applyBorder="1" applyAlignment="1">
      <alignment horizontal="center"/>
    </xf>
    <xf numFmtId="0" fontId="5" fillId="0" borderId="0" xfId="2" applyFill="1" applyAlignment="1">
      <alignment horizontal="center"/>
    </xf>
    <xf numFmtId="164" fontId="5" fillId="0" borderId="0" xfId="2" applyNumberFormat="1" applyFont="1" applyFill="1"/>
    <xf numFmtId="0" fontId="5" fillId="0" borderId="0" xfId="2" applyFill="1"/>
    <xf numFmtId="0" fontId="5" fillId="0" borderId="0" xfId="2" applyAlignment="1">
      <alignment horizontal="left"/>
    </xf>
    <xf numFmtId="0" fontId="5" fillId="2" borderId="0" xfId="2" applyFill="1"/>
    <xf numFmtId="164" fontId="5" fillId="0" borderId="0" xfId="2" applyNumberFormat="1" applyFill="1" applyAlignment="1">
      <alignment horizontal="center"/>
    </xf>
    <xf numFmtId="11" fontId="5" fillId="0" borderId="0" xfId="2" applyNumberFormat="1" applyFill="1" applyAlignment="1">
      <alignment horizontal="center"/>
    </xf>
    <xf numFmtId="11" fontId="5" fillId="0" borderId="0" xfId="2" applyNumberFormat="1" applyFont="1" applyFill="1"/>
    <xf numFmtId="165" fontId="5" fillId="0" borderId="0" xfId="2" applyNumberFormat="1" applyFont="1" applyFill="1" applyBorder="1" applyAlignment="1">
      <alignment horizontal="center"/>
    </xf>
    <xf numFmtId="164" fontId="5" fillId="0" borderId="0" xfId="2" applyNumberFormat="1" applyFont="1" applyFill="1" applyAlignment="1">
      <alignment horizontal="center"/>
    </xf>
    <xf numFmtId="0" fontId="6" fillId="0" borderId="0" xfId="2" applyFont="1" applyFill="1" applyAlignment="1">
      <alignment horizontal="left"/>
    </xf>
    <xf numFmtId="0" fontId="6" fillId="0" borderId="0" xfId="2" applyFont="1" applyFill="1" applyAlignment="1">
      <alignment horizontal="center"/>
    </xf>
    <xf numFmtId="2" fontId="6" fillId="0" borderId="0" xfId="2" applyNumberFormat="1" applyFont="1" applyFill="1" applyAlignment="1">
      <alignment horizontal="center"/>
    </xf>
    <xf numFmtId="164" fontId="6" fillId="0" borderId="0" xfId="2" applyNumberFormat="1" applyFont="1" applyFill="1" applyAlignment="1">
      <alignment horizontal="left"/>
    </xf>
    <xf numFmtId="2" fontId="6" fillId="0" borderId="0" xfId="2" applyNumberFormat="1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2" applyFont="1" applyAlignment="1">
      <alignment horizontal="left"/>
    </xf>
    <xf numFmtId="0" fontId="5" fillId="2" borderId="0" xfId="2" applyFont="1" applyFill="1" applyAlignment="1">
      <alignment horizontal="left"/>
    </xf>
    <xf numFmtId="2" fontId="5" fillId="3" borderId="0" xfId="2" applyNumberFormat="1" applyFont="1" applyFill="1"/>
    <xf numFmtId="0" fontId="5" fillId="3" borderId="0" xfId="2" applyFont="1" applyFill="1" applyAlignment="1">
      <alignment horizontal="left"/>
    </xf>
    <xf numFmtId="2" fontId="5" fillId="4" borderId="0" xfId="2" applyNumberFormat="1" applyFont="1" applyFill="1"/>
    <xf numFmtId="0" fontId="6" fillId="4" borderId="0" xfId="2" applyFont="1" applyFill="1" applyAlignment="1">
      <alignment horizontal="left"/>
    </xf>
    <xf numFmtId="2" fontId="5" fillId="2" borderId="0" xfId="2" applyNumberFormat="1" applyFont="1" applyFill="1" applyAlignment="1">
      <alignment horizontal="center"/>
    </xf>
    <xf numFmtId="0" fontId="6" fillId="2" borderId="0" xfId="2" applyFont="1" applyFill="1" applyAlignment="1">
      <alignment horizontal="left"/>
    </xf>
    <xf numFmtId="0" fontId="7" fillId="0" borderId="0" xfId="3" applyFill="1" applyAlignment="1">
      <alignment horizontal="center"/>
    </xf>
    <xf numFmtId="14" fontId="5" fillId="0" borderId="0" xfId="2" applyNumberFormat="1" applyFont="1" applyFill="1"/>
    <xf numFmtId="0" fontId="8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/>
    <xf numFmtId="11" fontId="2" fillId="0" borderId="0" xfId="0" applyNumberFormat="1" applyFont="1"/>
    <xf numFmtId="11" fontId="3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1" xfId="1" applyAlignment="1">
      <alignment horizontal="center"/>
    </xf>
  </cellXfs>
  <cellStyles count="4">
    <cellStyle name="Celda vinculada" xfId="1" builtinId="24"/>
    <cellStyle name="Hiperligação 2" xf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0</xdr:row>
      <xdr:rowOff>152399</xdr:rowOff>
    </xdr:from>
    <xdr:ext cx="2714625" cy="953466"/>
    <xdr:sp macro="" textlink="">
      <xdr:nvSpPr>
        <xdr:cNvPr id="2" name="CuadroTexto 1"/>
        <xdr:cNvSpPr txBox="1"/>
      </xdr:nvSpPr>
      <xdr:spPr>
        <a:xfrm>
          <a:off x="9429750" y="152399"/>
          <a:ext cx="2714625" cy="9534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El diffusion</a:t>
          </a:r>
          <a:r>
            <a:rPr lang="en-US" sz="1100" baseline="0"/>
            <a:t> rate se saca también del molecular weight usando Stokes (D = (KB*T)/(6*PI*n*r)). Si la velocidad viene indicada se toma como experimental y se usa esa.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</xdr:row>
      <xdr:rowOff>0</xdr:rowOff>
    </xdr:from>
    <xdr:ext cx="2276475" cy="436786"/>
    <xdr:sp macro="" textlink="">
      <xdr:nvSpPr>
        <xdr:cNvPr id="2" name="CuadroTexto 1"/>
        <xdr:cNvSpPr txBox="1"/>
      </xdr:nvSpPr>
      <xdr:spPr>
        <a:xfrm>
          <a:off x="6162675" y="200025"/>
          <a:ext cx="2276475" cy="4367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Cell siempre se considera la capa de outer membrane</a:t>
          </a:r>
        </a:p>
      </xdr:txBody>
    </xdr:sp>
    <xdr:clientData/>
  </xdr:oneCellAnchor>
  <xdr:twoCellAnchor editAs="oneCell">
    <xdr:from>
      <xdr:col>8</xdr:col>
      <xdr:colOff>123825</xdr:colOff>
      <xdr:row>7</xdr:row>
      <xdr:rowOff>95250</xdr:rowOff>
    </xdr:from>
    <xdr:to>
      <xdr:col>10</xdr:col>
      <xdr:colOff>38100</xdr:colOff>
      <xdr:row>9</xdr:row>
      <xdr:rowOff>123825</xdr:rowOff>
    </xdr:to>
    <xdr:pic>
      <xdr:nvPicPr>
        <xdr:cNvPr id="3" name="Imagen 2" descr="V = \pi r^2 \left (\frac{4}{3}r + a \right 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7625" y="1447800"/>
          <a:ext cx="14382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9</xdr:row>
      <xdr:rowOff>104775</xdr:rowOff>
    </xdr:from>
    <xdr:to>
      <xdr:col>9</xdr:col>
      <xdr:colOff>247650</xdr:colOff>
      <xdr:row>11</xdr:row>
      <xdr:rowOff>123825</xdr:rowOff>
    </xdr:to>
    <xdr:pic>
      <xdr:nvPicPr>
        <xdr:cNvPr id="4" name="Imagen 3" descr="Volume of a Hemisphere Formul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838325"/>
          <a:ext cx="876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104775</xdr:colOff>
      <xdr:row>11</xdr:row>
      <xdr:rowOff>133350</xdr:rowOff>
    </xdr:from>
    <xdr:to>
      <xdr:col>9</xdr:col>
      <xdr:colOff>219075</xdr:colOff>
      <xdr:row>13</xdr:row>
      <xdr:rowOff>142875</xdr:rowOff>
    </xdr:to>
    <xdr:pic>
      <xdr:nvPicPr>
        <xdr:cNvPr id="5" name="Imagen 4" descr="Volume of a Spher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2247900"/>
          <a:ext cx="876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bs.acs.org/doi/suppl/10.1021/jo034808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26.7109375" bestFit="1" customWidth="1"/>
    <col min="2" max="2" width="12" bestFit="1" customWidth="1"/>
    <col min="3" max="3" width="4.85546875" bestFit="1" customWidth="1"/>
    <col min="5" max="5" width="23.85546875" bestFit="1" customWidth="1"/>
    <col min="6" max="6" width="12" bestFit="1" customWidth="1"/>
    <col min="7" max="7" width="4.85546875" bestFit="1" customWidth="1"/>
    <col min="9" max="9" width="11.42578125" bestFit="1" customWidth="1"/>
    <col min="10" max="10" width="8.28515625" bestFit="1" customWidth="1"/>
    <col min="11" max="11" width="21.7109375" bestFit="1" customWidth="1"/>
    <col min="17" max="17" width="19.5703125" bestFit="1" customWidth="1"/>
    <col min="18" max="18" width="23.7109375" bestFit="1" customWidth="1"/>
    <col min="19" max="19" width="12.28515625" bestFit="1" customWidth="1"/>
    <col min="21" max="21" width="14.42578125" bestFit="1" customWidth="1"/>
    <col min="22" max="22" width="23.28515625" bestFit="1" customWidth="1"/>
  </cols>
  <sheetData>
    <row r="1" spans="1:10" ht="15.75" thickBot="1" x14ac:dyDescent="0.3">
      <c r="A1" s="52" t="s">
        <v>0</v>
      </c>
      <c r="B1" s="52"/>
      <c r="C1" s="52"/>
      <c r="E1" s="52" t="s">
        <v>105</v>
      </c>
      <c r="F1" s="52"/>
      <c r="G1" s="52"/>
    </row>
    <row r="2" spans="1:10" ht="15.75" thickTop="1" x14ac:dyDescent="0.25">
      <c r="A2" t="s">
        <v>1</v>
      </c>
      <c r="B2">
        <v>2.7519999999999998</v>
      </c>
      <c r="C2" t="s">
        <v>9</v>
      </c>
      <c r="E2" t="s">
        <v>123</v>
      </c>
      <c r="F2">
        <v>0.41360000000000002</v>
      </c>
      <c r="G2" t="s">
        <v>9</v>
      </c>
    </row>
    <row r="3" spans="1:10" x14ac:dyDescent="0.25">
      <c r="A3" t="s">
        <v>2</v>
      </c>
      <c r="B3">
        <v>0.752</v>
      </c>
      <c r="C3" t="s">
        <v>9</v>
      </c>
      <c r="E3" t="s">
        <v>2</v>
      </c>
      <c r="F3">
        <v>0.752</v>
      </c>
      <c r="G3" t="s">
        <v>9</v>
      </c>
    </row>
    <row r="4" spans="1:10" x14ac:dyDescent="0.25">
      <c r="A4" t="s">
        <v>16</v>
      </c>
      <c r="B4">
        <v>0.752</v>
      </c>
      <c r="C4" t="s">
        <v>9</v>
      </c>
      <c r="E4" t="s">
        <v>16</v>
      </c>
      <c r="F4">
        <v>0.752</v>
      </c>
      <c r="G4" t="s">
        <v>9</v>
      </c>
    </row>
    <row r="6" spans="1:10" x14ac:dyDescent="0.25">
      <c r="A6" t="s">
        <v>42</v>
      </c>
      <c r="B6">
        <f>B2*B3*B4</f>
        <v>1.5562670079999998</v>
      </c>
      <c r="C6" t="s">
        <v>43</v>
      </c>
      <c r="E6" t="s">
        <v>42</v>
      </c>
      <c r="F6">
        <f>F2*F3*F4</f>
        <v>0.2338924544</v>
      </c>
      <c r="G6" t="s">
        <v>43</v>
      </c>
      <c r="I6" t="s">
        <v>124</v>
      </c>
      <c r="J6" s="3">
        <v>1.0000000000000001E-15</v>
      </c>
    </row>
    <row r="7" spans="1:10" x14ac:dyDescent="0.25">
      <c r="F7" s="3">
        <f>F6*J6</f>
        <v>2.3389245440000003E-16</v>
      </c>
      <c r="G7" t="s">
        <v>112</v>
      </c>
    </row>
    <row r="8" spans="1:10" x14ac:dyDescent="0.25">
      <c r="A8" t="s">
        <v>111</v>
      </c>
      <c r="B8">
        <v>2.8271999999999999</v>
      </c>
      <c r="C8" t="s">
        <v>9</v>
      </c>
    </row>
    <row r="9" spans="1:10" x14ac:dyDescent="0.25">
      <c r="A9" t="s">
        <v>2</v>
      </c>
      <c r="B9">
        <v>0.752</v>
      </c>
      <c r="C9" t="s">
        <v>9</v>
      </c>
    </row>
    <row r="10" spans="1:10" x14ac:dyDescent="0.25">
      <c r="A10" t="s">
        <v>16</v>
      </c>
      <c r="B10">
        <v>0.752</v>
      </c>
      <c r="C10" t="s">
        <v>9</v>
      </c>
    </row>
    <row r="12" spans="1:10" x14ac:dyDescent="0.25">
      <c r="A12" t="s">
        <v>42</v>
      </c>
      <c r="B12">
        <f>B8*B9*B10</f>
        <v>1.5987929088000001</v>
      </c>
      <c r="C12" t="s">
        <v>43</v>
      </c>
    </row>
    <row r="13" spans="1:10" x14ac:dyDescent="0.25">
      <c r="B13" s="3">
        <f>B12*J6</f>
        <v>1.5987929088000003E-15</v>
      </c>
      <c r="C13" t="s">
        <v>112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43.42578125" bestFit="1" customWidth="1"/>
    <col min="2" max="2" width="12" bestFit="1" customWidth="1"/>
  </cols>
  <sheetData>
    <row r="1" spans="1:10" ht="15.75" thickBot="1" x14ac:dyDescent="0.3">
      <c r="A1" s="52" t="s">
        <v>3</v>
      </c>
      <c r="B1" s="52"/>
      <c r="C1" s="52"/>
    </row>
    <row r="2" spans="1:10" ht="15.75" thickTop="1" x14ac:dyDescent="0.25">
      <c r="A2" t="s">
        <v>12</v>
      </c>
      <c r="B2" t="s">
        <v>23</v>
      </c>
    </row>
    <row r="3" spans="1:10" x14ac:dyDescent="0.25">
      <c r="A3" t="s">
        <v>4</v>
      </c>
      <c r="B3">
        <v>18.015280000000001</v>
      </c>
      <c r="C3" t="s">
        <v>17</v>
      </c>
      <c r="D3" t="s">
        <v>45</v>
      </c>
    </row>
    <row r="4" spans="1:10" x14ac:dyDescent="0.25">
      <c r="A4" t="s">
        <v>129</v>
      </c>
      <c r="B4">
        <f>((3*B3)/(4*PI()))^(1/3)</f>
        <v>1.6262381153258907</v>
      </c>
      <c r="C4" t="s">
        <v>130</v>
      </c>
      <c r="D4" t="s">
        <v>44</v>
      </c>
    </row>
    <row r="5" spans="1:10" x14ac:dyDescent="0.25">
      <c r="A5" t="s">
        <v>131</v>
      </c>
      <c r="B5">
        <f>B4*0.0001</f>
        <v>1.6262381153258907E-4</v>
      </c>
      <c r="C5" t="s">
        <v>132</v>
      </c>
    </row>
    <row r="6" spans="1:10" x14ac:dyDescent="0.25">
      <c r="A6" t="s">
        <v>19</v>
      </c>
      <c r="B6">
        <v>2900</v>
      </c>
      <c r="C6" s="1" t="s">
        <v>5</v>
      </c>
    </row>
    <row r="7" spans="1:10" x14ac:dyDescent="0.25">
      <c r="A7" t="s">
        <v>57</v>
      </c>
      <c r="B7">
        <v>1600</v>
      </c>
      <c r="C7" s="1" t="s">
        <v>5</v>
      </c>
    </row>
    <row r="8" spans="1:10" x14ac:dyDescent="0.25">
      <c r="A8" t="s">
        <v>20</v>
      </c>
      <c r="B8">
        <v>1600</v>
      </c>
      <c r="C8" s="1" t="s">
        <v>5</v>
      </c>
    </row>
    <row r="9" spans="1:10" x14ac:dyDescent="0.25">
      <c r="A9" t="s">
        <v>21</v>
      </c>
      <c r="B9">
        <v>1600</v>
      </c>
      <c r="C9" s="1" t="s">
        <v>5</v>
      </c>
      <c r="J9" t="s">
        <v>46</v>
      </c>
    </row>
    <row r="10" spans="1:10" x14ac:dyDescent="0.25">
      <c r="A10" t="s">
        <v>20</v>
      </c>
      <c r="B10">
        <v>1600</v>
      </c>
      <c r="C10" s="1" t="s">
        <v>5</v>
      </c>
    </row>
    <row r="11" spans="1:10" x14ac:dyDescent="0.25">
      <c r="A11" t="s">
        <v>58</v>
      </c>
      <c r="B11">
        <v>1600</v>
      </c>
      <c r="C11" s="1" t="s">
        <v>5</v>
      </c>
    </row>
    <row r="12" spans="1:10" x14ac:dyDescent="0.25">
      <c r="A12" t="s">
        <v>22</v>
      </c>
      <c r="B12">
        <v>1600</v>
      </c>
      <c r="C12" s="1" t="s">
        <v>5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0.7109375" bestFit="1" customWidth="1"/>
    <col min="2" max="2" width="24.5703125" bestFit="1" customWidth="1"/>
    <col min="3" max="3" width="21.5703125" bestFit="1" customWidth="1"/>
  </cols>
  <sheetData>
    <row r="1" spans="1:8" ht="15.75" thickBot="1" x14ac:dyDescent="0.3">
      <c r="A1" s="52" t="s">
        <v>24</v>
      </c>
      <c r="B1" s="52"/>
      <c r="C1" s="52"/>
    </row>
    <row r="2" spans="1:8" ht="15.75" thickTop="1" x14ac:dyDescent="0.25">
      <c r="A2" s="44" t="s">
        <v>25</v>
      </c>
      <c r="B2" s="44" t="s">
        <v>39</v>
      </c>
      <c r="C2" s="44"/>
    </row>
    <row r="3" spans="1:8" x14ac:dyDescent="0.25">
      <c r="A3" s="45" t="s">
        <v>30</v>
      </c>
      <c r="B3" s="51">
        <v>0.376</v>
      </c>
      <c r="C3" s="44" t="s">
        <v>9</v>
      </c>
      <c r="D3" t="s">
        <v>55</v>
      </c>
    </row>
    <row r="4" spans="1:8" x14ac:dyDescent="0.25">
      <c r="A4" s="45" t="s">
        <v>31</v>
      </c>
      <c r="B4" s="44">
        <v>2</v>
      </c>
      <c r="C4" s="44" t="s">
        <v>9</v>
      </c>
      <c r="D4" t="s">
        <v>55</v>
      </c>
    </row>
    <row r="5" spans="1:8" x14ac:dyDescent="0.25">
      <c r="A5" s="44" t="s">
        <v>7</v>
      </c>
      <c r="B5" s="44" t="s">
        <v>32</v>
      </c>
      <c r="C5" s="44" t="s">
        <v>8</v>
      </c>
    </row>
    <row r="6" spans="1:8" x14ac:dyDescent="0.25">
      <c r="A6" s="44" t="s">
        <v>26</v>
      </c>
      <c r="B6" s="44">
        <v>1</v>
      </c>
      <c r="C6" s="44"/>
    </row>
    <row r="7" spans="1:8" x14ac:dyDescent="0.25">
      <c r="A7" s="44" t="s">
        <v>27</v>
      </c>
      <c r="B7" s="44" t="s">
        <v>110</v>
      </c>
      <c r="C7" s="44" t="s">
        <v>28</v>
      </c>
    </row>
    <row r="8" spans="1:8" x14ac:dyDescent="0.25">
      <c r="A8" s="44" t="s">
        <v>29</v>
      </c>
      <c r="B8" s="44">
        <v>3</v>
      </c>
      <c r="C8" s="44"/>
      <c r="H8" s="43"/>
    </row>
    <row r="9" spans="1:8" x14ac:dyDescent="0.25">
      <c r="A9" s="44" t="s">
        <v>40</v>
      </c>
      <c r="B9" s="50">
        <v>1.2999999999999999E-2</v>
      </c>
      <c r="C9" s="44" t="s">
        <v>9</v>
      </c>
      <c r="H9" t="s">
        <v>107</v>
      </c>
    </row>
    <row r="10" spans="1:8" x14ac:dyDescent="0.25">
      <c r="A10" s="44" t="s">
        <v>121</v>
      </c>
      <c r="B10" s="44">
        <f>PI()*POWER(B3,2)*(4/3*B3+B4)</f>
        <v>1.1109567018887683</v>
      </c>
      <c r="C10" s="44" t="s">
        <v>43</v>
      </c>
    </row>
    <row r="11" spans="1:8" x14ac:dyDescent="0.25">
      <c r="A11" s="44" t="s">
        <v>122</v>
      </c>
      <c r="B11" s="44">
        <f>2/3*PI()*POWER(B3,3)</f>
        <v>0.11133254795047358</v>
      </c>
      <c r="C11" s="44" t="s">
        <v>43</v>
      </c>
      <c r="H11" t="s">
        <v>108</v>
      </c>
    </row>
    <row r="12" spans="1:8" x14ac:dyDescent="0.25">
      <c r="A12" s="44"/>
      <c r="B12" s="44"/>
      <c r="C12" s="44"/>
    </row>
    <row r="13" spans="1:8" ht="15.75" thickBot="1" x14ac:dyDescent="0.3">
      <c r="A13" s="52" t="s">
        <v>37</v>
      </c>
      <c r="B13" s="52"/>
      <c r="C13" s="52"/>
      <c r="H13" t="s">
        <v>109</v>
      </c>
    </row>
    <row r="14" spans="1:8" ht="15.75" thickTop="1" x14ac:dyDescent="0.25">
      <c r="A14" s="44" t="s">
        <v>6</v>
      </c>
      <c r="B14" s="44" t="s">
        <v>106</v>
      </c>
      <c r="C14" s="44"/>
      <c r="D14" s="44"/>
    </row>
    <row r="15" spans="1:8" x14ac:dyDescent="0.25">
      <c r="A15" s="45" t="s">
        <v>30</v>
      </c>
      <c r="B15" s="44">
        <v>0.36299999999999999</v>
      </c>
      <c r="C15" s="44" t="s">
        <v>9</v>
      </c>
      <c r="D15" s="44"/>
    </row>
    <row r="16" spans="1:8" x14ac:dyDescent="0.25">
      <c r="A16" s="45" t="s">
        <v>31</v>
      </c>
      <c r="B16" s="44">
        <v>2</v>
      </c>
      <c r="C16" s="44" t="s">
        <v>9</v>
      </c>
      <c r="D16" s="44"/>
    </row>
    <row r="17" spans="1:4" x14ac:dyDescent="0.25">
      <c r="A17" s="44" t="s">
        <v>7</v>
      </c>
      <c r="B17" s="44" t="s">
        <v>32</v>
      </c>
      <c r="C17" s="44" t="s">
        <v>8</v>
      </c>
      <c r="D17" s="44"/>
    </row>
    <row r="18" spans="1:4" x14ac:dyDescent="0.25">
      <c r="A18" s="44" t="s">
        <v>40</v>
      </c>
      <c r="B18" s="44">
        <v>1.2E-2</v>
      </c>
      <c r="C18" s="44" t="s">
        <v>9</v>
      </c>
      <c r="D18" s="44"/>
    </row>
    <row r="19" spans="1:4" x14ac:dyDescent="0.25">
      <c r="A19" s="44"/>
      <c r="B19" s="44"/>
      <c r="C19" s="44"/>
      <c r="D19" s="44"/>
    </row>
    <row r="20" spans="1:4" x14ac:dyDescent="0.25">
      <c r="A20" s="44" t="s">
        <v>6</v>
      </c>
      <c r="B20" s="44" t="s">
        <v>18</v>
      </c>
      <c r="C20" s="44"/>
      <c r="D20" s="44"/>
    </row>
    <row r="21" spans="1:4" x14ac:dyDescent="0.25">
      <c r="A21" s="45" t="s">
        <v>30</v>
      </c>
      <c r="B21" s="50">
        <v>0.35099999999999998</v>
      </c>
      <c r="C21" s="44" t="s">
        <v>9</v>
      </c>
      <c r="D21" s="44"/>
    </row>
    <row r="22" spans="1:4" x14ac:dyDescent="0.25">
      <c r="A22" s="45" t="s">
        <v>31</v>
      </c>
      <c r="B22" s="44">
        <v>2</v>
      </c>
      <c r="C22" s="44" t="s">
        <v>9</v>
      </c>
      <c r="D22" s="44"/>
    </row>
    <row r="23" spans="1:4" x14ac:dyDescent="0.25">
      <c r="A23" s="44" t="s">
        <v>7</v>
      </c>
      <c r="B23" s="44" t="s">
        <v>32</v>
      </c>
      <c r="C23" s="44" t="s">
        <v>8</v>
      </c>
      <c r="D23" s="44"/>
    </row>
    <row r="24" spans="1:4" x14ac:dyDescent="0.25">
      <c r="A24" s="44" t="s">
        <v>40</v>
      </c>
      <c r="B24" s="50">
        <v>4.0000000000000001E-3</v>
      </c>
      <c r="C24" s="44" t="s">
        <v>9</v>
      </c>
      <c r="D24" s="44"/>
    </row>
    <row r="25" spans="1:4" x14ac:dyDescent="0.25">
      <c r="A25" s="44"/>
      <c r="B25" s="44"/>
      <c r="C25" s="44"/>
      <c r="D25" s="44"/>
    </row>
    <row r="26" spans="1:4" x14ac:dyDescent="0.25">
      <c r="A26" s="44" t="s">
        <v>6</v>
      </c>
      <c r="B26" s="44" t="s">
        <v>41</v>
      </c>
      <c r="C26" s="44"/>
      <c r="D26" s="44"/>
    </row>
    <row r="27" spans="1:4" x14ac:dyDescent="0.25">
      <c r="A27" s="45" t="s">
        <v>30</v>
      </c>
      <c r="B27" s="44">
        <v>0.34699999999999998</v>
      </c>
      <c r="C27" s="44" t="s">
        <v>9</v>
      </c>
      <c r="D27" s="44"/>
    </row>
    <row r="28" spans="1:4" x14ac:dyDescent="0.25">
      <c r="A28" s="45" t="s">
        <v>31</v>
      </c>
      <c r="B28" s="44">
        <v>2</v>
      </c>
      <c r="C28" s="44" t="s">
        <v>9</v>
      </c>
      <c r="D28" s="44"/>
    </row>
    <row r="29" spans="1:4" x14ac:dyDescent="0.25">
      <c r="A29" s="44" t="s">
        <v>7</v>
      </c>
      <c r="B29" s="44" t="s">
        <v>32</v>
      </c>
      <c r="C29" s="44" t="s">
        <v>8</v>
      </c>
      <c r="D29" s="44"/>
    </row>
  </sheetData>
  <mergeCells count="2">
    <mergeCell ref="A13:C13"/>
    <mergeCell ref="A1:C1"/>
  </mergeCells>
  <pageMargins left="0.7" right="0.7" top="0.75" bottom="0.75" header="0.3" footer="0.3"/>
  <pageSetup paperSize="9" orientation="landscape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8" sqref="D8"/>
    </sheetView>
  </sheetViews>
  <sheetFormatPr baseColWidth="10" defaultColWidth="11.42578125" defaultRowHeight="15" x14ac:dyDescent="0.25"/>
  <cols>
    <col min="1" max="1" width="35.7109375" bestFit="1" customWidth="1"/>
    <col min="2" max="2" width="12" bestFit="1" customWidth="1"/>
    <col min="3" max="3" width="12.28515625" bestFit="1" customWidth="1"/>
    <col min="4" max="4" width="24.5703125" bestFit="1" customWidth="1"/>
    <col min="9" max="9" width="12" bestFit="1" customWidth="1"/>
    <col min="10" max="10" width="12" customWidth="1"/>
  </cols>
  <sheetData>
    <row r="1" spans="1:7" ht="15.75" thickBot="1" x14ac:dyDescent="0.3">
      <c r="A1" s="52" t="s">
        <v>11</v>
      </c>
      <c r="B1" s="52"/>
      <c r="C1" s="52"/>
    </row>
    <row r="2" spans="1:7" ht="15.75" thickTop="1" x14ac:dyDescent="0.25">
      <c r="A2" t="s">
        <v>12</v>
      </c>
      <c r="B2" s="49" t="s">
        <v>56</v>
      </c>
      <c r="G2" t="s">
        <v>53</v>
      </c>
    </row>
    <row r="3" spans="1:7" x14ac:dyDescent="0.25">
      <c r="A3" t="s">
        <v>33</v>
      </c>
      <c r="B3">
        <f>'Radius and diffusion coeff.'!Q11</f>
        <v>122.10556282912214</v>
      </c>
      <c r="C3" t="s">
        <v>17</v>
      </c>
    </row>
    <row r="4" spans="1:7" x14ac:dyDescent="0.25">
      <c r="A4" t="s">
        <v>34</v>
      </c>
      <c r="B4">
        <f>'Radius and diffusion coeff.'!V11</f>
        <v>3.0776243788185876E-4</v>
      </c>
      <c r="C4" t="s">
        <v>9</v>
      </c>
      <c r="G4" t="s">
        <v>47</v>
      </c>
    </row>
    <row r="5" spans="1:7" x14ac:dyDescent="0.25">
      <c r="A5" t="s">
        <v>133</v>
      </c>
      <c r="B5">
        <f>B4/Unity!B5</f>
        <v>1.8924807811443072</v>
      </c>
      <c r="C5" t="s">
        <v>132</v>
      </c>
      <c r="D5" t="s">
        <v>55</v>
      </c>
      <c r="G5" t="s">
        <v>48</v>
      </c>
    </row>
    <row r="6" spans="1:7" x14ac:dyDescent="0.25">
      <c r="A6" t="s">
        <v>19</v>
      </c>
      <c r="B6">
        <f>(1.01*10^-9)*10^12</f>
        <v>1010</v>
      </c>
      <c r="C6" s="1" t="s">
        <v>5</v>
      </c>
    </row>
    <row r="7" spans="1:7" x14ac:dyDescent="0.25">
      <c r="A7" t="s">
        <v>126</v>
      </c>
      <c r="B7">
        <f>B6/Unity!B6</f>
        <v>0.34827586206896549</v>
      </c>
      <c r="C7" s="1" t="s">
        <v>5</v>
      </c>
      <c r="D7" t="s">
        <v>104</v>
      </c>
      <c r="G7" t="s">
        <v>60</v>
      </c>
    </row>
    <row r="8" spans="1:7" x14ac:dyDescent="0.25">
      <c r="A8" t="s">
        <v>134</v>
      </c>
      <c r="B8">
        <v>0.16059100000000001</v>
      </c>
      <c r="C8" s="1" t="s">
        <v>5</v>
      </c>
      <c r="G8" t="s">
        <v>49</v>
      </c>
    </row>
    <row r="9" spans="1:7" x14ac:dyDescent="0.25">
      <c r="A9" t="s">
        <v>57</v>
      </c>
      <c r="B9">
        <v>0.77600000000000002</v>
      </c>
      <c r="C9" s="1" t="s">
        <v>59</v>
      </c>
      <c r="G9" t="s">
        <v>50</v>
      </c>
    </row>
    <row r="10" spans="1:7" x14ac:dyDescent="0.25">
      <c r="A10" t="s">
        <v>20</v>
      </c>
      <c r="B10">
        <f>(4.61*10^-10)*10^12</f>
        <v>461.00000000000006</v>
      </c>
      <c r="C10" s="1" t="s">
        <v>5</v>
      </c>
    </row>
    <row r="11" spans="1:7" x14ac:dyDescent="0.25">
      <c r="A11" t="s">
        <v>102</v>
      </c>
      <c r="B11">
        <f>B10/Unity!B10</f>
        <v>0.28812500000000002</v>
      </c>
      <c r="C11" s="1" t="s">
        <v>5</v>
      </c>
      <c r="D11" t="s">
        <v>104</v>
      </c>
      <c r="G11" t="s">
        <v>61</v>
      </c>
    </row>
    <row r="12" spans="1:7" x14ac:dyDescent="0.25">
      <c r="A12" t="s">
        <v>58</v>
      </c>
      <c r="B12">
        <v>0.77600000000000002</v>
      </c>
      <c r="C12" s="1" t="s">
        <v>59</v>
      </c>
      <c r="G12" t="s">
        <v>49</v>
      </c>
    </row>
    <row r="13" spans="1:7" x14ac:dyDescent="0.25">
      <c r="A13" t="s">
        <v>22</v>
      </c>
      <c r="B13">
        <f>(4.61*10^-10)*10^12</f>
        <v>461.00000000000006</v>
      </c>
      <c r="C13" s="1" t="s">
        <v>5</v>
      </c>
      <c r="G13" t="s">
        <v>62</v>
      </c>
    </row>
    <row r="14" spans="1:7" x14ac:dyDescent="0.25">
      <c r="A14" t="s">
        <v>103</v>
      </c>
      <c r="B14">
        <f>B13/Unity!B12</f>
        <v>0.28812500000000002</v>
      </c>
      <c r="C14" s="1" t="s">
        <v>5</v>
      </c>
      <c r="D14" t="s">
        <v>104</v>
      </c>
    </row>
    <row r="15" spans="1:7" x14ac:dyDescent="0.25">
      <c r="A15" t="s">
        <v>13</v>
      </c>
      <c r="B15" s="49" t="s">
        <v>35</v>
      </c>
      <c r="C15" s="1" t="s">
        <v>8</v>
      </c>
      <c r="G15" t="s">
        <v>51</v>
      </c>
    </row>
    <row r="16" spans="1:7" x14ac:dyDescent="0.25">
      <c r="A16" t="s">
        <v>127</v>
      </c>
      <c r="B16">
        <v>25000</v>
      </c>
      <c r="C16" s="1" t="s">
        <v>10</v>
      </c>
      <c r="G16" t="s">
        <v>52</v>
      </c>
    </row>
    <row r="17" spans="1:7" x14ac:dyDescent="0.25">
      <c r="A17" t="s">
        <v>14</v>
      </c>
      <c r="B17" s="49" t="s">
        <v>128</v>
      </c>
      <c r="C17" s="1" t="s">
        <v>36</v>
      </c>
    </row>
    <row r="18" spans="1:7" x14ac:dyDescent="0.25">
      <c r="A18" t="s">
        <v>15</v>
      </c>
      <c r="B18" s="49" t="s">
        <v>128</v>
      </c>
      <c r="C18" s="1" t="s">
        <v>36</v>
      </c>
      <c r="G18" t="s">
        <v>54</v>
      </c>
    </row>
    <row r="19" spans="1:7" x14ac:dyDescent="0.25">
      <c r="B19" s="2"/>
      <c r="C19" s="1"/>
    </row>
    <row r="20" spans="1:7" x14ac:dyDescent="0.25">
      <c r="B20" s="2"/>
      <c r="C20" s="1"/>
    </row>
    <row r="21" spans="1:7" x14ac:dyDescent="0.25">
      <c r="C21" s="1"/>
    </row>
    <row r="22" spans="1:7" x14ac:dyDescent="0.25">
      <c r="C22" s="1"/>
    </row>
    <row r="23" spans="1:7" x14ac:dyDescent="0.25">
      <c r="C23" s="1"/>
    </row>
    <row r="24" spans="1:7" x14ac:dyDescent="0.25">
      <c r="C24" s="1"/>
    </row>
    <row r="25" spans="1:7" x14ac:dyDescent="0.25">
      <c r="C25" s="1"/>
    </row>
    <row r="26" spans="1:7" x14ac:dyDescent="0.25">
      <c r="C26" s="1"/>
    </row>
    <row r="27" spans="1:7" x14ac:dyDescent="0.25">
      <c r="B27" s="48"/>
      <c r="C27" s="47"/>
    </row>
    <row r="28" spans="1:7" x14ac:dyDescent="0.25">
      <c r="B28" s="3"/>
      <c r="C28" s="1"/>
    </row>
    <row r="29" spans="1:7" x14ac:dyDescent="0.25">
      <c r="C29" s="1"/>
    </row>
    <row r="31" spans="1:7" x14ac:dyDescent="0.25">
      <c r="D31" s="3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F17" sqref="F17"/>
    </sheetView>
  </sheetViews>
  <sheetFormatPr baseColWidth="10" defaultColWidth="11.42578125" defaultRowHeight="15" x14ac:dyDescent="0.25"/>
  <cols>
    <col min="2" max="2" width="14.85546875" bestFit="1" customWidth="1"/>
    <col min="3" max="3" width="12.42578125" bestFit="1" customWidth="1"/>
    <col min="5" max="5" width="24" bestFit="1" customWidth="1"/>
    <col min="6" max="6" width="21.5703125" bestFit="1" customWidth="1"/>
    <col min="12" max="12" width="18.140625" bestFit="1" customWidth="1"/>
  </cols>
  <sheetData>
    <row r="1" spans="2:8" x14ac:dyDescent="0.25">
      <c r="B1" t="s">
        <v>38</v>
      </c>
      <c r="C1">
        <f>6.022*1E+23</f>
        <v>6.0219999999999996E+23</v>
      </c>
    </row>
    <row r="2" spans="2:8" x14ac:dyDescent="0.25">
      <c r="B2" t="s">
        <v>114</v>
      </c>
      <c r="C2" s="3">
        <f>1/(C1*Environment!B13)*1000</f>
        <v>1.0386447625346282E-6</v>
      </c>
      <c r="E2" t="s">
        <v>117</v>
      </c>
      <c r="F2" s="3">
        <f>1/(C1*Environment!F7)*1000</f>
        <v>7.0997496920645577E-6</v>
      </c>
    </row>
    <row r="3" spans="2:8" x14ac:dyDescent="0.25">
      <c r="B3" t="s">
        <v>113</v>
      </c>
      <c r="C3" s="3">
        <v>2050000000</v>
      </c>
    </row>
    <row r="5" spans="2:8" x14ac:dyDescent="0.25">
      <c r="B5" t="s">
        <v>115</v>
      </c>
      <c r="C5" t="s">
        <v>116</v>
      </c>
      <c r="E5" t="s">
        <v>118</v>
      </c>
      <c r="F5" t="s">
        <v>119</v>
      </c>
    </row>
    <row r="6" spans="2:8" x14ac:dyDescent="0.25">
      <c r="B6" s="46">
        <f>Agents!B16</f>
        <v>25000</v>
      </c>
      <c r="C6" s="3">
        <f>B6*C2</f>
        <v>2.5966119063365704E-2</v>
      </c>
      <c r="E6" s="3">
        <v>2.5966119063365711E-2</v>
      </c>
      <c r="F6" s="46">
        <f>E6/F2</f>
        <v>3657.3288058856824</v>
      </c>
      <c r="H6" t="s">
        <v>120</v>
      </c>
    </row>
    <row r="19" spans="2:7" x14ac:dyDescent="0.25">
      <c r="B19" s="3"/>
    </row>
    <row r="20" spans="2:7" x14ac:dyDescent="0.25">
      <c r="B20" s="4"/>
    </row>
    <row r="21" spans="2:7" x14ac:dyDescent="0.25">
      <c r="B21" s="3"/>
    </row>
    <row r="23" spans="2:7" x14ac:dyDescent="0.25">
      <c r="G23" s="15"/>
    </row>
    <row r="25" spans="2:7" x14ac:dyDescent="0.25">
      <c r="B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O11" sqref="O11"/>
    </sheetView>
  </sheetViews>
  <sheetFormatPr baseColWidth="10" defaultColWidth="9.140625" defaultRowHeight="15" x14ac:dyDescent="0.25"/>
  <cols>
    <col min="1" max="1" width="15.7109375" style="14" customWidth="1"/>
    <col min="2" max="2" width="14.42578125" style="13" customWidth="1"/>
    <col min="3" max="4" width="5.42578125" style="12" customWidth="1"/>
    <col min="5" max="5" width="6.140625" style="12" customWidth="1"/>
    <col min="6" max="6" width="5.85546875" style="12" customWidth="1"/>
    <col min="7" max="9" width="6" style="12" customWidth="1"/>
    <col min="10" max="10" width="6.5703125" style="12" customWidth="1"/>
    <col min="11" max="11" width="5.85546875" style="12" customWidth="1"/>
    <col min="12" max="13" width="6.5703125" style="12" customWidth="1"/>
    <col min="14" max="14" width="6.85546875" style="11" customWidth="1"/>
    <col min="15" max="15" width="8.28515625" style="6" customWidth="1"/>
    <col min="16" max="16" width="8.28515625" style="10" customWidth="1"/>
    <col min="17" max="17" width="15.42578125" style="7" customWidth="1"/>
    <col min="18" max="18" width="9.140625" style="9"/>
    <col min="19" max="19" width="17.28515625" style="8" customWidth="1"/>
    <col min="20" max="20" width="11.140625" style="7" customWidth="1"/>
    <col min="21" max="21" width="12.42578125" style="6" bestFit="1" customWidth="1"/>
    <col min="22" max="22" width="11.85546875" bestFit="1" customWidth="1"/>
    <col min="23" max="23" width="15.7109375" style="5" bestFit="1" customWidth="1"/>
    <col min="24" max="16384" width="9.140625" style="5"/>
  </cols>
  <sheetData>
    <row r="1" spans="1:26" x14ac:dyDescent="0.25">
      <c r="A1" s="42"/>
      <c r="B1" s="13" t="s">
        <v>101</v>
      </c>
    </row>
    <row r="2" spans="1:26" x14ac:dyDescent="0.25">
      <c r="A2" s="42"/>
      <c r="B2" s="13" t="s">
        <v>100</v>
      </c>
      <c r="Q2" s="7" t="s">
        <v>99</v>
      </c>
      <c r="U2" s="41" t="s">
        <v>98</v>
      </c>
    </row>
    <row r="3" spans="1:26" s="28" customFormat="1" ht="12.75" x14ac:dyDescent="0.2">
      <c r="C3" s="28" t="s">
        <v>90</v>
      </c>
      <c r="D3" s="28" t="s">
        <v>89</v>
      </c>
      <c r="E3" s="28" t="s">
        <v>88</v>
      </c>
      <c r="F3" s="28" t="s">
        <v>87</v>
      </c>
      <c r="G3" s="28" t="s">
        <v>86</v>
      </c>
      <c r="H3" s="28" t="s">
        <v>85</v>
      </c>
      <c r="I3" s="28" t="s">
        <v>84</v>
      </c>
      <c r="J3" s="28" t="s">
        <v>83</v>
      </c>
      <c r="K3" s="28" t="s">
        <v>82</v>
      </c>
      <c r="L3" s="28" t="s">
        <v>81</v>
      </c>
      <c r="M3" s="28" t="s">
        <v>80</v>
      </c>
      <c r="N3" s="28" t="s">
        <v>79</v>
      </c>
      <c r="O3" s="28" t="s">
        <v>97</v>
      </c>
      <c r="P3" s="28" t="s">
        <v>96</v>
      </c>
      <c r="Q3" s="29" t="s">
        <v>95</v>
      </c>
      <c r="R3" s="29"/>
      <c r="S3" s="29"/>
      <c r="U3" s="29"/>
    </row>
    <row r="4" spans="1:26" s="6" customFormat="1" ht="12.75" x14ac:dyDescent="0.2">
      <c r="B4" s="40" t="s">
        <v>94</v>
      </c>
      <c r="C4" s="39">
        <v>20.579525925066665</v>
      </c>
      <c r="D4" s="39">
        <v>7.2382293504000002</v>
      </c>
      <c r="E4" s="39">
        <v>15.598530857766669</v>
      </c>
      <c r="F4" s="39">
        <v>14.710226700561067</v>
      </c>
      <c r="G4" s="39">
        <v>22.449297120833336</v>
      </c>
      <c r="H4" s="39">
        <v>26.521848327966669</v>
      </c>
      <c r="I4" s="39">
        <v>13.305788200706397</v>
      </c>
      <c r="J4" s="39">
        <v>32.515031020665596</v>
      </c>
      <c r="K4" s="39">
        <v>24.429024057600003</v>
      </c>
      <c r="L4" s="39">
        <v>24.429024057600003</v>
      </c>
      <c r="M4" s="39">
        <v>26.521848327966669</v>
      </c>
      <c r="N4" s="39"/>
      <c r="O4" s="39">
        <v>28.73091152453333</v>
      </c>
      <c r="P4" s="39">
        <v>38.79238542480001</v>
      </c>
      <c r="Q4" s="7"/>
      <c r="R4" s="7" t="s">
        <v>93</v>
      </c>
      <c r="S4" s="7"/>
      <c r="T4" s="7"/>
      <c r="U4" s="7"/>
      <c r="W4" s="7"/>
    </row>
    <row r="5" spans="1:26" s="11" customFormat="1" ht="12.75" x14ac:dyDescent="0.2">
      <c r="B5" s="38" t="s">
        <v>92</v>
      </c>
      <c r="C5" s="37">
        <v>16.350000000000001</v>
      </c>
      <c r="D5" s="37">
        <v>8.7100000000000009</v>
      </c>
      <c r="E5" s="37">
        <v>14.39</v>
      </c>
      <c r="F5" s="37">
        <v>12.43</v>
      </c>
      <c r="G5" s="37">
        <v>20.95</v>
      </c>
      <c r="H5" s="37">
        <v>26.21</v>
      </c>
      <c r="I5" s="37">
        <v>10.47</v>
      </c>
      <c r="J5" s="37">
        <v>34.54</v>
      </c>
      <c r="K5" s="37">
        <v>22.91</v>
      </c>
      <c r="L5" s="37">
        <v>24.87</v>
      </c>
      <c r="M5" s="37">
        <v>29.42</v>
      </c>
      <c r="N5" s="37">
        <v>18.309999999999999</v>
      </c>
      <c r="O5" s="37">
        <v>27.81</v>
      </c>
      <c r="P5" s="37">
        <v>26.83</v>
      </c>
      <c r="Q5" s="9"/>
      <c r="R5" s="24">
        <f>6.92*10^-4</f>
        <v>6.9200000000000002E-4</v>
      </c>
      <c r="S5" s="7"/>
      <c r="T5" s="7"/>
      <c r="U5" s="7"/>
      <c r="W5" s="9"/>
    </row>
    <row r="6" spans="1:26" s="11" customFormat="1" ht="12.75" x14ac:dyDescent="0.2">
      <c r="B6" s="36" t="s">
        <v>74</v>
      </c>
      <c r="C6" s="35">
        <v>12.010999999999999</v>
      </c>
      <c r="D6" s="35">
        <v>1.0079</v>
      </c>
      <c r="E6" s="35">
        <v>14.007</v>
      </c>
      <c r="F6" s="35">
        <v>15.999000000000001</v>
      </c>
      <c r="G6" s="35">
        <v>35.453000000000003</v>
      </c>
      <c r="H6" s="35">
        <v>79.903999999999996</v>
      </c>
      <c r="I6" s="35">
        <v>18.998000000000001</v>
      </c>
      <c r="J6" s="35">
        <v>126.9</v>
      </c>
      <c r="K6" s="35">
        <v>32.066000000000003</v>
      </c>
      <c r="L6" s="35">
        <v>30.974</v>
      </c>
      <c r="M6" s="35">
        <v>74.921999999999997</v>
      </c>
      <c r="N6" s="35">
        <v>10.811</v>
      </c>
      <c r="O6" s="35">
        <v>78.959999999999994</v>
      </c>
      <c r="P6" s="35">
        <v>28.085999999999999</v>
      </c>
      <c r="Q6" s="9"/>
      <c r="R6" s="9"/>
      <c r="S6" s="9"/>
      <c r="T6" s="9"/>
      <c r="U6" s="7"/>
      <c r="W6" s="7"/>
      <c r="X6" s="7"/>
      <c r="Y6" s="9"/>
    </row>
    <row r="7" spans="1:26" s="11" customFormat="1" ht="12.75" x14ac:dyDescent="0.2">
      <c r="B7" s="32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8"/>
      <c r="U7" s="7"/>
      <c r="W7" s="7"/>
      <c r="X7" s="7"/>
      <c r="Y7" s="9"/>
      <c r="Z7" s="9"/>
    </row>
    <row r="8" spans="1:26" s="13" customFormat="1" ht="12.75" x14ac:dyDescent="0.2">
      <c r="A8" s="34" t="s">
        <v>12</v>
      </c>
      <c r="B8" s="33" t="s">
        <v>91</v>
      </c>
      <c r="C8" s="33" t="s">
        <v>90</v>
      </c>
      <c r="D8" s="33" t="s">
        <v>89</v>
      </c>
      <c r="E8" s="33" t="s">
        <v>88</v>
      </c>
      <c r="F8" s="33" t="s">
        <v>87</v>
      </c>
      <c r="G8" s="33" t="s">
        <v>86</v>
      </c>
      <c r="H8" s="33" t="s">
        <v>85</v>
      </c>
      <c r="I8" s="33" t="s">
        <v>84</v>
      </c>
      <c r="J8" s="33" t="s">
        <v>83</v>
      </c>
      <c r="K8" s="33" t="s">
        <v>82</v>
      </c>
      <c r="L8" s="33" t="s">
        <v>81</v>
      </c>
      <c r="M8" s="33" t="s">
        <v>80</v>
      </c>
      <c r="N8" s="27" t="s">
        <v>79</v>
      </c>
      <c r="O8" s="32" t="s">
        <v>78</v>
      </c>
      <c r="P8" s="27" t="s">
        <v>77</v>
      </c>
      <c r="Q8" s="31" t="s">
        <v>76</v>
      </c>
      <c r="R8" s="31" t="s">
        <v>75</v>
      </c>
      <c r="S8" s="31" t="s">
        <v>74</v>
      </c>
      <c r="T8" s="30" t="s">
        <v>73</v>
      </c>
      <c r="U8" s="28" t="s">
        <v>72</v>
      </c>
      <c r="V8" s="28" t="s">
        <v>125</v>
      </c>
      <c r="W8" s="29" t="s">
        <v>71</v>
      </c>
      <c r="X8" s="28" t="s">
        <v>70</v>
      </c>
      <c r="Y8" s="27" t="s">
        <v>69</v>
      </c>
      <c r="Z8" s="27" t="s">
        <v>68</v>
      </c>
    </row>
    <row r="9" spans="1:26" x14ac:dyDescent="0.25">
      <c r="A9" s="21"/>
      <c r="B9" s="20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9"/>
      <c r="O9" s="19"/>
      <c r="P9" s="19"/>
      <c r="R9" s="7"/>
      <c r="S9" s="7"/>
      <c r="T9" s="26"/>
      <c r="U9" s="17"/>
      <c r="W9" s="16"/>
      <c r="X9" s="8"/>
      <c r="Y9" s="11"/>
      <c r="Z9" s="17"/>
    </row>
    <row r="10" spans="1:26" x14ac:dyDescent="0.25">
      <c r="A10" s="14" t="s">
        <v>66</v>
      </c>
      <c r="B10" s="5" t="s">
        <v>67</v>
      </c>
      <c r="C10" s="12">
        <v>12</v>
      </c>
      <c r="D10" s="12">
        <v>19</v>
      </c>
      <c r="E10" s="12">
        <v>1</v>
      </c>
      <c r="F10" s="12">
        <v>3</v>
      </c>
      <c r="O10" s="6">
        <v>2</v>
      </c>
      <c r="P10" s="10">
        <v>0</v>
      </c>
      <c r="Q10" s="7">
        <f>C10*C$4+D10*D$4+E10*E$4+F10*F$4+G10*G$4+H10*H$4+I10*I$4+J10*J$4+K10*K$4+L10*L$4+M10*M$4+N10*N$4-(SUM(C10:P10)-1)*5.92-O10*14.7-P10*3.8</f>
        <v>201.68987971784989</v>
      </c>
      <c r="R10" s="7">
        <f>C10*C$5+D10*D$5+E10*E$5+F10*F$5+G10*G$5+H10*H$5+I10*I$5+J10*J$5+K10*K$5+L10*L$5+M10*M$5+N10*N$5-(SUM(C10:P10)-1)*6.56</f>
        <v>177.21000000000006</v>
      </c>
      <c r="S10" s="7">
        <f>C10*C$6+D10*D$6+E10*E$6+F10*F$6+G10*G$6+H10*H$6+I10*I$6+J10*J$6+K10*K$6+L10*L$6+M10*M$6+N10*O$6</f>
        <v>225.28610000000003</v>
      </c>
      <c r="T10" s="26">
        <f>((3*Q10)/(4*PI()))^(1/3)</f>
        <v>3.6380207005074716</v>
      </c>
      <c r="U10" s="17">
        <f>T10*0.1</f>
        <v>0.36380207005074716</v>
      </c>
      <c r="V10">
        <f>U10*0.001</f>
        <v>3.6380207005074714E-4</v>
      </c>
      <c r="W10" s="25">
        <f>+(1.3806E-23*310)/(6*3.14*0.000692*U10*10^-9)</f>
        <v>9.0235494796380012E-10</v>
      </c>
      <c r="X10" s="23">
        <f>+(((0.51/42)^2 + (0.51/U10)^2))^(-0.53/2)</f>
        <v>0.83606050849780345</v>
      </c>
      <c r="Y10" s="24">
        <f>EXP(X10)*$R$5</f>
        <v>1.5966236568438266E-3</v>
      </c>
      <c r="Z10" s="23">
        <f>(1.3806E-23*310)/(6*3.14*Y10*U10*10^-9)</f>
        <v>3.9109380680561227E-10</v>
      </c>
    </row>
    <row r="11" spans="1:26" x14ac:dyDescent="0.25">
      <c r="A11" s="14" t="s">
        <v>56</v>
      </c>
      <c r="B11" s="13" t="s">
        <v>65</v>
      </c>
      <c r="C11" s="12">
        <v>9</v>
      </c>
      <c r="D11" s="12">
        <v>6</v>
      </c>
      <c r="F11" s="12">
        <v>2</v>
      </c>
      <c r="O11" s="6">
        <v>2</v>
      </c>
      <c r="P11" s="10">
        <v>0</v>
      </c>
      <c r="Q11" s="7">
        <f>C11*C$4+D11*D$4+E11*E$4+F11*F$4+G11*G$4+H11*H$4+I11*I$4+J11*J$4+K11*K$4+L11*L$4+M11*M$4+N11*N$4-(SUM(C11:P11)-1)*5.92-O11*14.7-P11*3.8</f>
        <v>122.10556282912214</v>
      </c>
      <c r="R11" s="7">
        <f>C11*C$5+D11*D$5+E11*E$5+F11*F$5+G11*G$5+H11*H$5+I11*I$5+J11*J$5+K11*K$5+L11*L$5+M11*M$5+N11*N$5-(SUM(C11:P11)-1)*6.56</f>
        <v>106.19000000000004</v>
      </c>
      <c r="S11" s="7">
        <f>C11*C$6+D11*D$6+E11*E$6+F11*F$6+G11*G$6+H11*H$6+I11*I$6+J11*J$6+K11*K$6+L11*L$6+M11*M$6+N11*O$6</f>
        <v>146.14439999999999</v>
      </c>
      <c r="T11" s="26">
        <f>((3*Q11)/(4*PI()))^(1/3)</f>
        <v>3.0776243788185873</v>
      </c>
      <c r="U11" s="17">
        <f>T11*0.1</f>
        <v>0.30776243788185875</v>
      </c>
      <c r="V11">
        <f t="shared" ref="V11:V12" si="0">U11*0.001</f>
        <v>3.0776243788185876E-4</v>
      </c>
      <c r="W11" s="25">
        <f>+(1.3806E-23*310)/(6*3.14*0.000692*U11*10^-9)</f>
        <v>1.066662326465524E-9</v>
      </c>
      <c r="X11" s="23">
        <f>+(((0.51/42)^2 + (0.51/U11)^2))^(-0.53/2)</f>
        <v>0.76513118354571041</v>
      </c>
      <c r="Y11" s="24">
        <f>EXP(X11)*$R$5</f>
        <v>1.4872992036474816E-3</v>
      </c>
      <c r="Z11" s="23">
        <f>(1.3806E-23*310)/(6*3.14*Y11*U11*10^-9)</f>
        <v>4.9628906416673736E-10</v>
      </c>
    </row>
    <row r="12" spans="1:26" x14ac:dyDescent="0.25">
      <c r="A12" s="21" t="s">
        <v>64</v>
      </c>
      <c r="B12" s="13" t="s">
        <v>63</v>
      </c>
      <c r="C12" s="12">
        <v>27</v>
      </c>
      <c r="D12" s="12">
        <v>29</v>
      </c>
      <c r="E12" s="12">
        <v>5</v>
      </c>
      <c r="F12" s="12">
        <v>6</v>
      </c>
      <c r="K12" s="12">
        <v>1</v>
      </c>
      <c r="N12" s="6"/>
      <c r="O12" s="11">
        <v>4</v>
      </c>
      <c r="P12" s="6"/>
      <c r="Q12" s="7">
        <f>C12*C$4+D12*D$4+E12*E$4+F12*F$4+G12*G$4+H12*H$4+I12*I$4+J12*J$4+K12*K$4+L12*L$4+M12*M$4+N12*N$4-(SUM(C12:P12)-1)*5.92-O12*14.7-P12*3.8</f>
        <v>477.11888968819966</v>
      </c>
      <c r="R12" s="7">
        <f>C12*C$5+D12*D$5+E12*E$5+F12*F$5+G12*G$5+H12*H$5+I12*I$5+J12*J$5+K12*K$5+L12*L$5+M12*M$5+N12*N$5-(SUM(C12:P12)-1)*6.56</f>
        <v>397.72000000000014</v>
      </c>
      <c r="S12" s="7">
        <f>C12*C$6+D12*D$6+E12*E$6+F12*F$6+G12*G$6+H12*H$6+I12*I$6+J12*J$6+K12*K$6+L12*L$6+M12*M$6+N12*O$6</f>
        <v>551.62110000000007</v>
      </c>
      <c r="T12" s="26">
        <f>((3*Q12)/(4*PI()))^(1/3)</f>
        <v>4.8474425118286426</v>
      </c>
      <c r="U12" s="17">
        <f>T12*0.1</f>
        <v>0.48474425118286429</v>
      </c>
      <c r="V12">
        <f t="shared" si="0"/>
        <v>4.8474425118286428E-4</v>
      </c>
      <c r="W12" s="25">
        <f>+(1.3806E-23*310)/(6*3.14*0.000692*U12*10^-9)</f>
        <v>6.7722019846280821E-10</v>
      </c>
      <c r="X12" s="23">
        <f>+(((0.51/42)^2 + (0.51/U12)^2))^(-0.53/2)</f>
        <v>0.97340638539561242</v>
      </c>
      <c r="Y12" s="24">
        <f>EXP(X12)*$R$5</f>
        <v>1.831686380714745E-3</v>
      </c>
      <c r="Z12" s="23">
        <f>(1.3806E-23*310)/(6*3.14*Y12*U12*10^-9)</f>
        <v>2.5584968162147715E-10</v>
      </c>
    </row>
    <row r="13" spans="1:26" x14ac:dyDescent="0.25">
      <c r="A13" s="21"/>
      <c r="N13" s="6"/>
      <c r="O13" s="11"/>
      <c r="P13" s="6"/>
      <c r="R13" s="7"/>
      <c r="S13" s="7"/>
      <c r="T13" s="18"/>
      <c r="U13" s="22"/>
      <c r="W13" s="16"/>
      <c r="X13" s="6"/>
      <c r="Y13" s="11"/>
      <c r="Z13" s="11"/>
    </row>
    <row r="14" spans="1:26" x14ac:dyDescent="0.25">
      <c r="A14" s="21"/>
      <c r="N14" s="6"/>
      <c r="O14" s="11"/>
      <c r="P14" s="6"/>
      <c r="R14" s="7"/>
      <c r="S14" s="7"/>
      <c r="T14" s="18"/>
      <c r="U14" s="17"/>
      <c r="W14" s="16"/>
      <c r="X14" s="6"/>
      <c r="Y14" s="11"/>
      <c r="Z14" s="11"/>
    </row>
    <row r="15" spans="1:26" x14ac:dyDescent="0.25">
      <c r="A15" s="21"/>
      <c r="B15" s="20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9"/>
      <c r="O15" s="11"/>
      <c r="P15" s="19"/>
      <c r="R15" s="7"/>
      <c r="S15" s="7"/>
      <c r="T15" s="18"/>
      <c r="U15" s="17"/>
      <c r="W15" s="16"/>
      <c r="X15" s="6"/>
      <c r="Y15" s="11"/>
      <c r="Z15" s="11"/>
    </row>
    <row r="16" spans="1:26" x14ac:dyDescent="0.25">
      <c r="A16" s="21"/>
      <c r="B16" s="2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9"/>
      <c r="O16" s="11"/>
      <c r="P16" s="19"/>
      <c r="R16" s="7"/>
      <c r="S16" s="7"/>
      <c r="T16" s="18"/>
      <c r="U16" s="17"/>
      <c r="W16" s="16"/>
      <c r="X16" s="6"/>
      <c r="Y16" s="11"/>
      <c r="Z16" s="11"/>
    </row>
    <row r="17" spans="1:26" x14ac:dyDescent="0.25">
      <c r="A17" s="21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9"/>
      <c r="O17" s="11"/>
      <c r="P17" s="19"/>
      <c r="R17" s="7"/>
      <c r="S17" s="7"/>
      <c r="T17" s="18"/>
      <c r="U17" s="17"/>
      <c r="W17" s="16"/>
      <c r="X17" s="6"/>
      <c r="Y17" s="11"/>
      <c r="Z17" s="11"/>
    </row>
    <row r="18" spans="1:26" x14ac:dyDescent="0.25">
      <c r="A18" s="21"/>
      <c r="B18" s="20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9"/>
      <c r="O18" s="11"/>
      <c r="P18" s="19"/>
      <c r="R18" s="7"/>
      <c r="S18" s="7"/>
      <c r="T18" s="18"/>
      <c r="U18" s="17"/>
      <c r="W18" s="16"/>
      <c r="X18" s="6"/>
      <c r="Y18" s="11"/>
      <c r="Z18" s="11"/>
    </row>
    <row r="19" spans="1:26" x14ac:dyDescent="0.25">
      <c r="A19" s="21"/>
      <c r="B19" s="20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9"/>
      <c r="O19" s="19"/>
      <c r="P19" s="19"/>
      <c r="R19" s="7"/>
      <c r="S19" s="7"/>
      <c r="T19" s="18"/>
      <c r="U19" s="17"/>
      <c r="W19" s="16"/>
      <c r="X19" s="6"/>
      <c r="Y19" s="11"/>
      <c r="Z19" s="11"/>
    </row>
    <row r="20" spans="1:26" x14ac:dyDescent="0.25">
      <c r="A20" s="21"/>
      <c r="B20" s="20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9"/>
      <c r="O20" s="19"/>
      <c r="P20" s="19"/>
      <c r="R20" s="7"/>
      <c r="S20" s="7"/>
      <c r="T20" s="18"/>
      <c r="U20" s="17"/>
      <c r="W20" s="16"/>
      <c r="X20" s="6"/>
      <c r="Y20" s="11"/>
      <c r="Z20" s="11"/>
    </row>
    <row r="21" spans="1:26" x14ac:dyDescent="0.25">
      <c r="A21" s="21"/>
      <c r="B21" s="2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9"/>
      <c r="O21" s="19"/>
      <c r="P21" s="19"/>
      <c r="R21" s="7"/>
      <c r="S21" s="7"/>
      <c r="T21" s="18"/>
      <c r="U21" s="17"/>
      <c r="W21" s="16"/>
      <c r="X21" s="6"/>
      <c r="Y21" s="11"/>
      <c r="Z21" s="11"/>
    </row>
    <row r="22" spans="1:26" x14ac:dyDescent="0.25">
      <c r="A22" s="21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9"/>
      <c r="O22" s="19"/>
      <c r="P22" s="19"/>
      <c r="R22" s="7"/>
      <c r="S22" s="7"/>
      <c r="T22" s="18"/>
      <c r="U22" s="17"/>
      <c r="W22" s="16"/>
      <c r="X22" s="6"/>
      <c r="Y22" s="11"/>
      <c r="Z22" s="11"/>
    </row>
    <row r="23" spans="1:26" x14ac:dyDescent="0.25">
      <c r="T23" s="18"/>
      <c r="U23" s="17"/>
      <c r="W23" s="16"/>
      <c r="X23" s="6"/>
      <c r="Y23" s="11"/>
      <c r="Z23" s="11"/>
    </row>
    <row r="24" spans="1:26" x14ac:dyDescent="0.25">
      <c r="T24" s="6"/>
      <c r="U24" s="11"/>
      <c r="W24" s="11"/>
      <c r="X24" s="11"/>
      <c r="Y24" s="11"/>
      <c r="Z24" s="11"/>
    </row>
    <row r="25" spans="1:26" x14ac:dyDescent="0.25">
      <c r="T25" s="6"/>
      <c r="U25" s="11"/>
    </row>
    <row r="26" spans="1:26" x14ac:dyDescent="0.25">
      <c r="R26" s="7"/>
      <c r="S26" s="7"/>
      <c r="T26" s="6"/>
      <c r="U26" s="11"/>
    </row>
    <row r="27" spans="1:26" x14ac:dyDescent="0.25">
      <c r="B27" s="15"/>
      <c r="R27" s="7"/>
      <c r="S27" s="7"/>
      <c r="T27" s="6"/>
      <c r="U27" s="11"/>
    </row>
    <row r="28" spans="1:26" x14ac:dyDescent="0.25">
      <c r="B28" s="15"/>
      <c r="R28" s="7"/>
      <c r="S28" s="7"/>
      <c r="T28" s="6"/>
      <c r="U28" s="11"/>
    </row>
    <row r="29" spans="1:26" x14ac:dyDescent="0.25">
      <c r="B29" s="15"/>
      <c r="R29" s="7"/>
      <c r="S29" s="7"/>
      <c r="T29" s="6"/>
      <c r="U29" s="11"/>
    </row>
    <row r="30" spans="1:26" x14ac:dyDescent="0.25">
      <c r="B30" s="15"/>
      <c r="R30" s="7"/>
      <c r="S30" s="7"/>
      <c r="T30" s="6"/>
      <c r="U30" s="11"/>
    </row>
    <row r="31" spans="1:26" x14ac:dyDescent="0.25">
      <c r="B31" s="15"/>
      <c r="R31" s="7"/>
      <c r="S31" s="7"/>
      <c r="T31" s="6"/>
      <c r="U31" s="11"/>
    </row>
    <row r="32" spans="1:26" x14ac:dyDescent="0.25">
      <c r="B32" s="15"/>
      <c r="R32" s="7"/>
      <c r="S32" s="7"/>
      <c r="T32" s="6"/>
      <c r="U32" s="11"/>
    </row>
    <row r="33" spans="2:21" x14ac:dyDescent="0.25">
      <c r="B33" s="15"/>
      <c r="R33" s="7"/>
      <c r="S33" s="7"/>
      <c r="T33" s="6"/>
      <c r="U33" s="11"/>
    </row>
    <row r="34" spans="2:21" x14ac:dyDescent="0.25">
      <c r="B34" s="15"/>
      <c r="R34" s="7"/>
      <c r="S34" s="7"/>
      <c r="T34" s="6"/>
      <c r="U34" s="11"/>
    </row>
    <row r="35" spans="2:21" x14ac:dyDescent="0.25">
      <c r="B35" s="15"/>
      <c r="R35" s="7"/>
      <c r="S35" s="7"/>
      <c r="T35" s="6"/>
      <c r="U35" s="11"/>
    </row>
    <row r="36" spans="2:21" x14ac:dyDescent="0.25">
      <c r="B36" s="15"/>
      <c r="R36" s="7"/>
      <c r="S36" s="7"/>
      <c r="T36" s="6"/>
      <c r="U36" s="11"/>
    </row>
    <row r="37" spans="2:21" x14ac:dyDescent="0.25">
      <c r="B37" s="15"/>
      <c r="R37" s="7"/>
      <c r="S37" s="7"/>
      <c r="T37" s="6"/>
      <c r="U37" s="11"/>
    </row>
    <row r="38" spans="2:21" x14ac:dyDescent="0.25">
      <c r="B38" s="15"/>
      <c r="R38" s="7"/>
      <c r="S38" s="7"/>
      <c r="T38" s="6"/>
      <c r="U38" s="11"/>
    </row>
    <row r="39" spans="2:21" x14ac:dyDescent="0.25">
      <c r="B39" s="15"/>
      <c r="R39" s="7"/>
      <c r="S39" s="7"/>
      <c r="T39" s="6"/>
      <c r="U39" s="11"/>
    </row>
    <row r="40" spans="2:21" x14ac:dyDescent="0.25">
      <c r="B40" s="15"/>
      <c r="R40" s="7"/>
      <c r="S40" s="7"/>
      <c r="T40" s="6"/>
      <c r="U40" s="11"/>
    </row>
    <row r="41" spans="2:21" x14ac:dyDescent="0.25">
      <c r="B41" s="15"/>
      <c r="R41" s="7"/>
      <c r="S41" s="7"/>
    </row>
    <row r="42" spans="2:21" x14ac:dyDescent="0.25">
      <c r="B42" s="15"/>
      <c r="R42" s="7"/>
      <c r="S42" s="7"/>
    </row>
    <row r="43" spans="2:21" x14ac:dyDescent="0.25">
      <c r="B43" s="15"/>
      <c r="R43" s="7"/>
      <c r="S43" s="7"/>
    </row>
    <row r="44" spans="2:21" x14ac:dyDescent="0.25">
      <c r="R44" s="7"/>
      <c r="S44" s="7"/>
    </row>
  </sheetData>
  <hyperlinks>
    <hyperlink ref="U2" r:id="rId1"/>
  </hyperlinks>
  <pageMargins left="0.75" right="0.75" top="1" bottom="1" header="0.5" footer="0.5"/>
  <pageSetup paperSize="9" orientation="portrait" horizontalDpi="1200" verticalDpi="1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Environment</vt:lpstr>
      <vt:lpstr>Unity</vt:lpstr>
      <vt:lpstr>Cells</vt:lpstr>
      <vt:lpstr>Agents</vt:lpstr>
      <vt:lpstr>Concentration-&gt;Number</vt:lpstr>
      <vt:lpstr>Radius and diffusion coeff.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2016-04-04T10:57:38Z</dcterms:modified>
</cp:coreProperties>
</file>